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ml.chartshape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ml.chartshape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ml.chartshapes+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0.xml" ContentType="application/vnd.openxmlformats-officedocument.drawingml.chartshapes+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1.xml" ContentType="application/vnd.openxmlformats-officedocument.drawingml.chartshapes+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2.xml" ContentType="application/vnd.openxmlformats-officedocument.drawingml.chartshapes+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3.xml" ContentType="application/vnd.openxmlformats-officedocument.drawingml.chartshapes+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omments2.xml" ContentType="application/vnd.openxmlformats-officedocument.spreadsheetml.comments+xml"/>
  <Override PartName="/xl/drawings/drawing14.xml" ContentType="application/vnd.openxmlformats-officedocument.drawing+xml"/>
  <Override PartName="/xl/comments3.xml" ContentType="application/vnd.openxmlformats-officedocument.spreadsheetml.comments+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15.xml" ContentType="application/vnd.openxmlformats-officedocument.drawingml.chartshapes+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16.xml" ContentType="application/vnd.openxmlformats-officedocument.drawingml.chartshapes+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17.xml" ContentType="application/vnd.openxmlformats-officedocument.drawingml.chartshapes+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18.xml" ContentType="application/vnd.openxmlformats-officedocument.drawingml.chartshapes+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drawings/drawing19.xml" ContentType="application/vnd.openxmlformats-officedocument.drawingml.chartshapes+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drawings/drawing20.xml" ContentType="application/vnd.openxmlformats-officedocument.drawingml.chartshapes+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drawings/drawing21.xml" ContentType="application/vnd.openxmlformats-officedocument.drawingml.chartshapes+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drawings/drawing22.xml" ContentType="application/vnd.openxmlformats-officedocument.drawingml.chartshapes+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drawings/drawing23.xml" ContentType="application/vnd.openxmlformats-officedocument.drawingml.chartshapes+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drawings/drawing24.xml" ContentType="application/vnd.openxmlformats-officedocument.drawingml.chartshapes+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drawings/drawing25.xml" ContentType="application/vnd.openxmlformats-officedocument.drawingml.chartshapes+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drawings/drawing26.xml" ContentType="application/vnd.openxmlformats-officedocument.drawingml.chartshapes+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drawings/drawing27.xml" ContentType="application/vnd.openxmlformats-officedocument.drawingml.chartshapes+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drawings/drawing28.xml" ContentType="application/vnd.openxmlformats-officedocument.drawingml.chartshapes+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drawings/drawing29.xml" ContentType="application/vnd.openxmlformats-officedocument.drawingml.chartshapes+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drawings/drawing30.xml" ContentType="application/vnd.openxmlformats-officedocument.drawingml.chartshapes+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drawings/drawing31.xml" ContentType="application/vnd.openxmlformats-officedocument.drawingml.chartshapes+xml"/>
  <Override PartName="/xl/charts/chart32.xml" ContentType="application/vnd.openxmlformats-officedocument.drawingml.chart+xml"/>
  <Override PartName="/xl/charts/style32.xml" ContentType="application/vnd.ms-office.chartstyle+xml"/>
  <Override PartName="/xl/charts/colors32.xml" ContentType="application/vnd.ms-office.chartcolorstyle+xml"/>
  <Override PartName="/xl/drawings/drawing32.xml" ContentType="application/vnd.openxmlformats-officedocument.drawingml.chartshapes+xml"/>
  <Override PartName="/xl/drawings/drawing33.xml" ContentType="application/vnd.openxmlformats-officedocument.drawing+xml"/>
  <Override PartName="/xl/charts/chart33.xml" ContentType="application/vnd.openxmlformats-officedocument.drawingml.chart+xml"/>
  <Override PartName="/xl/charts/style33.xml" ContentType="application/vnd.ms-office.chartstyle+xml"/>
  <Override PartName="/xl/charts/colors33.xml" ContentType="application/vnd.ms-office.chartcolorstyle+xml"/>
  <Override PartName="/xl/drawings/drawing34.xml" ContentType="application/vnd.openxmlformats-officedocument.drawingml.chartshapes+xml"/>
  <Override PartName="/xl/charts/chart34.xml" ContentType="application/vnd.openxmlformats-officedocument.drawingml.chart+xml"/>
  <Override PartName="/xl/charts/style34.xml" ContentType="application/vnd.ms-office.chartstyle+xml"/>
  <Override PartName="/xl/charts/colors34.xml" ContentType="application/vnd.ms-office.chartcolorstyle+xml"/>
  <Override PartName="/xl/drawings/drawing35.xml" ContentType="application/vnd.openxmlformats-officedocument.drawingml.chartshapes+xml"/>
  <Override PartName="/xl/charts/chart35.xml" ContentType="application/vnd.openxmlformats-officedocument.drawingml.chart+xml"/>
  <Override PartName="/xl/charts/style35.xml" ContentType="application/vnd.ms-office.chartstyle+xml"/>
  <Override PartName="/xl/charts/colors35.xml" ContentType="application/vnd.ms-office.chartcolorstyle+xml"/>
  <Override PartName="/xl/drawings/drawing36.xml" ContentType="application/vnd.openxmlformats-officedocument.drawingml.chartshapes+xml"/>
  <Override PartName="/xl/charts/chart36.xml" ContentType="application/vnd.openxmlformats-officedocument.drawingml.chart+xml"/>
  <Override PartName="/xl/charts/style36.xml" ContentType="application/vnd.ms-office.chartstyle+xml"/>
  <Override PartName="/xl/charts/colors36.xml" ContentType="application/vnd.ms-office.chartcolorstyle+xml"/>
  <Override PartName="/xl/drawings/drawing37.xml" ContentType="application/vnd.openxmlformats-officedocument.drawingml.chartshapes+xml"/>
  <Override PartName="/xl/charts/chart37.xml" ContentType="application/vnd.openxmlformats-officedocument.drawingml.chart+xml"/>
  <Override PartName="/xl/charts/style37.xml" ContentType="application/vnd.ms-office.chartstyle+xml"/>
  <Override PartName="/xl/charts/colors37.xml" ContentType="application/vnd.ms-office.chartcolorstyle+xml"/>
  <Override PartName="/xl/drawings/drawing38.xml" ContentType="application/vnd.openxmlformats-officedocument.drawingml.chartshapes+xml"/>
  <Override PartName="/xl/charts/chart38.xml" ContentType="application/vnd.openxmlformats-officedocument.drawingml.chart+xml"/>
  <Override PartName="/xl/charts/style38.xml" ContentType="application/vnd.ms-office.chartstyle+xml"/>
  <Override PartName="/xl/charts/colors38.xml" ContentType="application/vnd.ms-office.chartcolorstyle+xml"/>
  <Override PartName="/xl/drawings/drawing39.xml" ContentType="application/vnd.openxmlformats-officedocument.drawingml.chartshapes+xml"/>
  <Override PartName="/xl/charts/chart39.xml" ContentType="application/vnd.openxmlformats-officedocument.drawingml.chart+xml"/>
  <Override PartName="/xl/charts/style39.xml" ContentType="application/vnd.ms-office.chartstyle+xml"/>
  <Override PartName="/xl/charts/colors39.xml" ContentType="application/vnd.ms-office.chartcolorstyle+xml"/>
  <Override PartName="/xl/drawings/drawing40.xml" ContentType="application/vnd.openxmlformats-officedocument.drawingml.chartshapes+xml"/>
  <Override PartName="/xl/charts/chart40.xml" ContentType="application/vnd.openxmlformats-officedocument.drawingml.chart+xml"/>
  <Override PartName="/xl/charts/style40.xml" ContentType="application/vnd.ms-office.chartstyle+xml"/>
  <Override PartName="/xl/charts/colors40.xml" ContentType="application/vnd.ms-office.chartcolorstyle+xml"/>
  <Override PartName="/xl/drawings/drawing41.xml" ContentType="application/vnd.openxmlformats-officedocument.drawingml.chartshapes+xml"/>
  <Override PartName="/xl/charts/chart41.xml" ContentType="application/vnd.openxmlformats-officedocument.drawingml.chart+xml"/>
  <Override PartName="/xl/charts/style41.xml" ContentType="application/vnd.ms-office.chartstyle+xml"/>
  <Override PartName="/xl/charts/colors41.xml" ContentType="application/vnd.ms-office.chartcolorstyle+xml"/>
  <Override PartName="/xl/drawings/drawing42.xml" ContentType="application/vnd.openxmlformats-officedocument.drawingml.chartshapes+xml"/>
  <Override PartName="/xl/charts/chart42.xml" ContentType="application/vnd.openxmlformats-officedocument.drawingml.chart+xml"/>
  <Override PartName="/xl/charts/style42.xml" ContentType="application/vnd.ms-office.chartstyle+xml"/>
  <Override PartName="/xl/charts/colors42.xml" ContentType="application/vnd.ms-office.chartcolorstyle+xml"/>
  <Override PartName="/xl/drawings/drawing43.xml" ContentType="application/vnd.openxmlformats-officedocument.drawingml.chartshapes+xml"/>
  <Override PartName="/xl/charts/chart43.xml" ContentType="application/vnd.openxmlformats-officedocument.drawingml.chart+xml"/>
  <Override PartName="/xl/charts/style43.xml" ContentType="application/vnd.ms-office.chartstyle+xml"/>
  <Override PartName="/xl/charts/colors43.xml" ContentType="application/vnd.ms-office.chartcolorstyle+xml"/>
  <Override PartName="/xl/drawings/drawing44.xml" ContentType="application/vnd.openxmlformats-officedocument.drawingml.chartshapes+xml"/>
  <Override PartName="/xl/charts/chart44.xml" ContentType="application/vnd.openxmlformats-officedocument.drawingml.chart+xml"/>
  <Override PartName="/xl/charts/style44.xml" ContentType="application/vnd.ms-office.chartstyle+xml"/>
  <Override PartName="/xl/charts/colors44.xml" ContentType="application/vnd.ms-office.chartcolorstyle+xml"/>
  <Override PartName="/xl/drawings/drawing45.xml" ContentType="application/vnd.openxmlformats-officedocument.drawingml.chartshapes+xml"/>
  <Override PartName="/xl/charts/chart45.xml" ContentType="application/vnd.openxmlformats-officedocument.drawingml.chart+xml"/>
  <Override PartName="/xl/charts/style45.xml" ContentType="application/vnd.ms-office.chartstyle+xml"/>
  <Override PartName="/xl/charts/colors45.xml" ContentType="application/vnd.ms-office.chartcolorstyle+xml"/>
  <Override PartName="/xl/drawings/drawing46.xml" ContentType="application/vnd.openxmlformats-officedocument.drawingml.chartshapes+xml"/>
  <Override PartName="/xl/charts/chart46.xml" ContentType="application/vnd.openxmlformats-officedocument.drawingml.chart+xml"/>
  <Override PartName="/xl/charts/style46.xml" ContentType="application/vnd.ms-office.chartstyle+xml"/>
  <Override PartName="/xl/charts/colors46.xml" ContentType="application/vnd.ms-office.chartcolorstyle+xml"/>
  <Override PartName="/xl/drawings/drawing47.xml" ContentType="application/vnd.openxmlformats-officedocument.drawingml.chartshapes+xml"/>
  <Override PartName="/xl/charts/chart47.xml" ContentType="application/vnd.openxmlformats-officedocument.drawingml.chart+xml"/>
  <Override PartName="/xl/charts/style47.xml" ContentType="application/vnd.ms-office.chartstyle+xml"/>
  <Override PartName="/xl/charts/colors47.xml" ContentType="application/vnd.ms-office.chartcolorstyle+xml"/>
  <Override PartName="/xl/drawings/drawing48.xml" ContentType="application/vnd.openxmlformats-officedocument.drawingml.chartshapes+xml"/>
  <Override PartName="/xl/charts/chart48.xml" ContentType="application/vnd.openxmlformats-officedocument.drawingml.chart+xml"/>
  <Override PartName="/xl/charts/style48.xml" ContentType="application/vnd.ms-office.chartstyle+xml"/>
  <Override PartName="/xl/charts/colors48.xml" ContentType="application/vnd.ms-office.chartcolorstyle+xml"/>
  <Override PartName="/xl/drawings/drawing49.xml" ContentType="application/vnd.openxmlformats-officedocument.drawingml.chartshapes+xml"/>
  <Override PartName="/xl/charts/chart49.xml" ContentType="application/vnd.openxmlformats-officedocument.drawingml.chart+xml"/>
  <Override PartName="/xl/charts/style49.xml" ContentType="application/vnd.ms-office.chartstyle+xml"/>
  <Override PartName="/xl/charts/colors49.xml" ContentType="application/vnd.ms-office.chartcolorstyle+xml"/>
  <Override PartName="/xl/drawings/drawing50.xml" ContentType="application/vnd.openxmlformats-officedocument.drawingml.chartshapes+xml"/>
  <Override PartName="/xl/tables/table1.xml" ContentType="application/vnd.openxmlformats-officedocument.spreadsheetml.table+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drawings/drawing51.xml" ContentType="application/vnd.openxmlformats-officedocument.drawing+xml"/>
  <Override PartName="/xl/tables/table2.xml" ContentType="application/vnd.openxmlformats-officedocument.spreadsheetml.table+xml"/>
  <Override PartName="/xl/comments7.xml" ContentType="application/vnd.openxmlformats-officedocument.spreadsheetml.comments+xml"/>
  <Override PartName="/xl/charts/chart50.xml" ContentType="application/vnd.openxmlformats-officedocument.drawingml.chart+xml"/>
  <Override PartName="/xl/charts/style50.xml" ContentType="application/vnd.ms-office.chartstyle+xml"/>
  <Override PartName="/xl/charts/colors50.xml" ContentType="application/vnd.ms-office.chartcolorstyle+xml"/>
  <Override PartName="/xl/drawings/drawing52.xml" ContentType="application/vnd.openxmlformats-officedocument.drawingml.chartshapes+xml"/>
  <Override PartName="/xl/comments8.xml" ContentType="application/vnd.openxmlformats-officedocument.spreadsheetml.comments+xml"/>
  <Override PartName="/xl/comments9.xml" ContentType="application/vnd.openxmlformats-officedocument.spreadsheetml.comments+xml"/>
  <Override PartName="/xl/tables/table3.xml" ContentType="application/vnd.openxmlformats-officedocument.spreadsheetml.table+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codeName="ThisWorkbook"/>
  <mc:AlternateContent xmlns:mc="http://schemas.openxmlformats.org/markup-compatibility/2006">
    <mc:Choice Requires="x15">
      <x15ac:absPath xmlns:x15ac="http://schemas.microsoft.com/office/spreadsheetml/2010/11/ac" url="C:\Users\Sumit\Downloads\"/>
    </mc:Choice>
  </mc:AlternateContent>
  <xr:revisionPtr revIDLastSave="0" documentId="13_ncr:1_{E45678CB-1529-452A-9808-58CCE707B59E}" xr6:coauthVersionLast="47" xr6:coauthVersionMax="47" xr10:uidLastSave="{00000000-0000-0000-0000-000000000000}"/>
  <bookViews>
    <workbookView xWindow="-120" yWindow="-120" windowWidth="24240" windowHeight="13140" tabRatio="719" firstSheet="7" activeTab="7" xr2:uid="{00000000-000D-0000-FFFF-FFFF00000000}"/>
  </bookViews>
  <sheets>
    <sheet name="Instructions" sheetId="16" state="hidden" r:id="rId1"/>
    <sheet name="VM_Checklist" sheetId="27" state="hidden" r:id="rId2"/>
    <sheet name="Phil Fisher" sheetId="25" state="hidden" r:id="rId3"/>
    <sheet name="Buffett" sheetId="14" state="hidden" r:id="rId4"/>
    <sheet name="ChartReport (2)" sheetId="29" state="hidden" r:id="rId5"/>
    <sheet name="VMpara" sheetId="28" r:id="rId6"/>
    <sheet name="ChartsData" sheetId="18" r:id="rId7"/>
    <sheet name="ChartReport" sheetId="24" r:id="rId8"/>
    <sheet name="ppt" sheetId="30" r:id="rId9"/>
    <sheet name="VMAnalysis" sheetId="23" r:id="rId10"/>
    <sheet name="QA" sheetId="32" r:id="rId11"/>
    <sheet name="Key Ratios" sheetId="17" r:id="rId12"/>
    <sheet name="Common Size Analysis" sheetId="13" r:id="rId13"/>
    <sheet name="Profit &amp; Loss" sheetId="1" r:id="rId14"/>
    <sheet name="Balance Sheet" sheetId="2" r:id="rId15"/>
    <sheet name="Cash Flow" sheetId="4" r:id="rId16"/>
    <sheet name="Screener Output" sheetId="22" r:id="rId17"/>
    <sheet name="Quarters" sheetId="3" r:id="rId18"/>
    <sheet name="AtGlance" sheetId="15" r:id="rId19"/>
    <sheet name="FutureEPS" sheetId="26" r:id="rId20"/>
    <sheet name="Intrinsic Values" sheetId="10" r:id="rId21"/>
    <sheet name="Dhandho IV" sheetId="9" r:id="rId22"/>
    <sheet name="Ben Graham Formula" sheetId="8" r:id="rId23"/>
    <sheet name="DCF" sheetId="11" r:id="rId24"/>
    <sheet name="Expected Returns" sheetId="12" r:id="rId25"/>
    <sheet name="Customization" sheetId="5" r:id="rId26"/>
    <sheet name="Data Sheet" sheetId="6" r:id="rId27"/>
  </sheets>
  <externalReferences>
    <externalReference r:id="rId28"/>
  </externalReference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LiveUpdatePeriod" hidden="1">-1</definedName>
    <definedName name="_AtRisk_SimSetting_MacroMode" hidden="1">0</definedName>
    <definedName name="_AtRisk_SimSetting_MacroRecalculationBehavior" hidden="1">0</definedName>
    <definedName name="_AtRisk_SimSetting_MultipleCPUManualCount" hidden="1">4</definedName>
    <definedName name="_AtRisk_SimSetting_MultipleCPUMode" hidden="1">0</definedName>
    <definedName name="_AtRisk_SimSetting_RandomNumberGenerator" hidden="1">0</definedName>
    <definedName name="_AtRisk_SimSetting_ReportOptionCustomItemCumulativeOverlay01" hidden="1">0</definedName>
    <definedName name="_AtRisk_SimSetting_ReportOptionCustomItemCumulativeOverlay02" hidden="1">0</definedName>
    <definedName name="_AtRisk_SimSetting_ReportOptionCustomItemCumulativeOverlay03" hidden="1">0</definedName>
    <definedName name="_AtRisk_SimSetting_ReportOptionCustomItemCumulativeOverlay04" hidden="1">0</definedName>
    <definedName name="_AtRisk_SimSetting_ReportOptionCustomItemCumulativeOverlay05" hidden="1">0</definedName>
    <definedName name="_AtRisk_SimSetting_ReportOptionCustomItemCumulativeOverlay06" hidden="1">0</definedName>
    <definedName name="_AtRisk_SimSetting_ReportOptionCustomItemDistributionFormat01" hidden="1">1</definedName>
    <definedName name="_AtRisk_SimSetting_ReportOptionCustomItemDistributionFormat02" hidden="1">1</definedName>
    <definedName name="_AtRisk_SimSetting_ReportOptionCustomItemDistributionFormat03" hidden="1">4</definedName>
    <definedName name="_AtRisk_SimSetting_ReportOptionCustomItemDistributionFormat04" hidden="1">1</definedName>
    <definedName name="_AtRisk_SimSetting_ReportOptionCustomItemDistributionFormat05" hidden="1">1</definedName>
    <definedName name="_AtRisk_SimSetting_ReportOptionCustomItemDistributionFormat06" hidden="1">1</definedName>
    <definedName name="_AtRisk_SimSetting_ReportOptionCustomItemGraphFormat01" hidden="1">1</definedName>
    <definedName name="_AtRisk_SimSetting_ReportOptionCustomItemGraphFormat02" hidden="1">1</definedName>
    <definedName name="_AtRisk_SimSetting_ReportOptionCustomItemGraphFormat03" hidden="1">1</definedName>
    <definedName name="_AtRisk_SimSetting_ReportOptionCustomItemGraphFormat04" hidden="1">1</definedName>
    <definedName name="_AtRisk_SimSetting_ReportOptionCustomItemGraphFormat05" hidden="1">1</definedName>
    <definedName name="_AtRisk_SimSetting_ReportOptionCustomItemGraphFormat06" hidden="1">1</definedName>
    <definedName name="_AtRisk_SimSetting_ReportOptionCustomItemItemIndex01" hidden="1">0</definedName>
    <definedName name="_AtRisk_SimSetting_ReportOptionCustomItemItemIndex02" hidden="1">1</definedName>
    <definedName name="_AtRisk_SimSetting_ReportOptionCustomItemItemIndex03" hidden="1">2</definedName>
    <definedName name="_AtRisk_SimSetting_ReportOptionCustomItemItemIndex04" hidden="1">3</definedName>
    <definedName name="_AtRisk_SimSetting_ReportOptionCustomItemItemIndex05" hidden="1">4</definedName>
    <definedName name="_AtRisk_SimSetting_ReportOptionCustomItemItemIndex06" hidden="1">5</definedName>
    <definedName name="_AtRisk_SimSetting_ReportOptionCustomItemItemSize01" hidden="1">0</definedName>
    <definedName name="_AtRisk_SimSetting_ReportOptionCustomItemItemSize02" hidden="1">0</definedName>
    <definedName name="_AtRisk_SimSetting_ReportOptionCustomItemItemSize03" hidden="1">0</definedName>
    <definedName name="_AtRisk_SimSetting_ReportOptionCustomItemItemSize04" hidden="1">0</definedName>
    <definedName name="_AtRisk_SimSetting_ReportOptionCustomItemItemSize05" hidden="1">0</definedName>
    <definedName name="_AtRisk_SimSetting_ReportOptionCustomItemItemSize06" hidden="1">0</definedName>
    <definedName name="_AtRisk_SimSetting_ReportOptionCustomItemItemType01" hidden="1">1</definedName>
    <definedName name="_AtRisk_SimSetting_ReportOptionCustomItemItemType02" hidden="1">5</definedName>
    <definedName name="_AtRisk_SimSetting_ReportOptionCustomItemItemType03" hidden="1">1</definedName>
    <definedName name="_AtRisk_SimSetting_ReportOptionCustomItemItemType04" hidden="1">3</definedName>
    <definedName name="_AtRisk_SimSetting_ReportOptionCustomItemItemType05" hidden="1">2</definedName>
    <definedName name="_AtRisk_SimSetting_ReportOptionCustomItemItemType06" hidden="1">4</definedName>
    <definedName name="_AtRisk_SimSetting_ReportOptionCustomItemLegendType01" hidden="1">0</definedName>
    <definedName name="_AtRisk_SimSetting_ReportOptionCustomItemLegendType02" hidden="1">0</definedName>
    <definedName name="_AtRisk_SimSetting_ReportOptionCustomItemLegendType03" hidden="1">0</definedName>
    <definedName name="_AtRisk_SimSetting_ReportOptionCustomItemLegendType04" hidden="1">0</definedName>
    <definedName name="_AtRisk_SimSetting_ReportOptionCustomItemLegendType05" hidden="1">0</definedName>
    <definedName name="_AtRisk_SimSetting_ReportOptionCustomItemLegendType06" hidden="1">0</definedName>
    <definedName name="_AtRisk_SimSetting_ReportOptionCustomItemsCount" hidden="1">6</definedName>
    <definedName name="_AtRisk_SimSetting_ReportOptionCustomItemSensitivityFormat01" hidden="1">1</definedName>
    <definedName name="_AtRisk_SimSetting_ReportOptionCustomItemSensitivityFormat02" hidden="1">1</definedName>
    <definedName name="_AtRisk_SimSetting_ReportOptionCustomItemSensitivityFormat03" hidden="1">1</definedName>
    <definedName name="_AtRisk_SimSetting_ReportOptionCustomItemSensitivityFormat04" hidden="1">1</definedName>
    <definedName name="_AtRisk_SimSetting_ReportOptionCustomItemSensitivityFormat05" hidden="1">1</definedName>
    <definedName name="_AtRisk_SimSetting_ReportOptionCustomItemSensitivityFormat06" hidden="1">1</definedName>
    <definedName name="_AtRisk_SimSetting_ReportOptionCustomItemSummaryGraphType01" hidden="1">1</definedName>
    <definedName name="_AtRisk_SimSetting_ReportOptionCustomItemSummaryGraphType02" hidden="1">1</definedName>
    <definedName name="_AtRisk_SimSetting_ReportOptionCustomItemSummaryGraphType03" hidden="1">1</definedName>
    <definedName name="_AtRisk_SimSetting_ReportOptionCustomItemSummaryGraphType04" hidden="1">1</definedName>
    <definedName name="_AtRisk_SimSetting_ReportOptionCustomItemSummaryGraphType05" hidden="1">1</definedName>
    <definedName name="_AtRisk_SimSetting_ReportOptionCustomItemSummaryGraphType06" hidden="1">1</definedName>
    <definedName name="_AtRisk_SimSetting_ReportOptionDataMode" hidden="1">1</definedName>
    <definedName name="_AtRisk_SimSetting_ReportOptionReportMultiSimType" hidden="1">1</definedName>
    <definedName name="_AtRisk_SimSetting_ReportOptionReportPlacement" hidden="1">1</definedName>
    <definedName name="_AtRisk_SimSetting_ReportOptionReportSelection" hidden="1">0</definedName>
    <definedName name="_AtRisk_SimSetting_ReportOptionReportsFileType" hidden="1">1</definedName>
    <definedName name="_AtRisk_SimSetting_ReportOptionReportStyle" hidden="1">1</definedName>
    <definedName name="_AtRisk_SimSetting_ReportOptionSelectiveQR" hidden="1">FALSE</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dividend" localSheetId="10">'[1]Screener Output'!#REF!</definedName>
    <definedName name="dividend">'Screener Output'!#REF!</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7</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UPDATE" localSheetId="7">#REF!</definedName>
    <definedName name="UPDATE" localSheetId="4">#REF!</definedName>
    <definedName name="UPDATE" localSheetId="2">#REF!</definedName>
    <definedName name="UPDATE" localSheetId="10">'[1]Data Sheet'!$E$1</definedName>
    <definedName name="UPDATE" localSheetId="16">#REF!</definedName>
    <definedName name="UPDATE" localSheetId="9">#REF!</definedName>
    <definedName name="UPDATE">'Data Sheet'!$E$1</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25" i="1" l="1"/>
  <c r="L45" i="32"/>
  <c r="B50" i="32"/>
  <c r="B51" i="32"/>
  <c r="B52" i="32"/>
  <c r="B53" i="32"/>
  <c r="B54" i="32"/>
  <c r="B38" i="32"/>
  <c r="B39" i="32"/>
  <c r="B41" i="32"/>
  <c r="B42" i="32"/>
  <c r="B43" i="32"/>
  <c r="B45" i="32"/>
  <c r="B46" i="32"/>
  <c r="B21" i="32"/>
  <c r="B22" i="32"/>
  <c r="B24" i="32"/>
  <c r="B25" i="32"/>
  <c r="B18" i="32"/>
  <c r="B4" i="32"/>
  <c r="C3" i="32" s="1"/>
  <c r="B5" i="32"/>
  <c r="B6" i="32"/>
  <c r="B8" i="32"/>
  <c r="B10" i="32"/>
  <c r="B11" i="32"/>
  <c r="B12" i="32"/>
  <c r="B13" i="32"/>
  <c r="B15" i="32"/>
  <c r="D2" i="32"/>
  <c r="E2" i="32"/>
  <c r="F2" i="32"/>
  <c r="G2" i="32"/>
  <c r="H2" i="32"/>
  <c r="I2" i="32"/>
  <c r="J2" i="32"/>
  <c r="K2" i="32"/>
  <c r="D4" i="32"/>
  <c r="E4" i="32"/>
  <c r="E3" i="32" s="1"/>
  <c r="F4" i="32"/>
  <c r="F3" i="32" s="1"/>
  <c r="G4" i="32"/>
  <c r="H4" i="32"/>
  <c r="H3" i="32" s="1"/>
  <c r="I4" i="32"/>
  <c r="I3" i="32" s="1"/>
  <c r="J4" i="32"/>
  <c r="J3" i="32" s="1"/>
  <c r="K4" i="32"/>
  <c r="D5" i="32"/>
  <c r="E5" i="32"/>
  <c r="F5" i="32"/>
  <c r="G5" i="32"/>
  <c r="H5" i="32"/>
  <c r="I5" i="32"/>
  <c r="J5" i="32"/>
  <c r="K5" i="32"/>
  <c r="D6" i="32"/>
  <c r="E6" i="32"/>
  <c r="F6" i="32"/>
  <c r="G6" i="32"/>
  <c r="H6" i="32"/>
  <c r="I6" i="32"/>
  <c r="J6" i="32"/>
  <c r="K6" i="32"/>
  <c r="D7" i="32"/>
  <c r="E7" i="32"/>
  <c r="F7" i="32"/>
  <c r="G7" i="32"/>
  <c r="H7" i="32"/>
  <c r="I7" i="32"/>
  <c r="J7" i="32"/>
  <c r="K7" i="32"/>
  <c r="D8" i="32"/>
  <c r="E8" i="32"/>
  <c r="F8" i="32"/>
  <c r="G8" i="32"/>
  <c r="H8" i="32"/>
  <c r="I8" i="32"/>
  <c r="J8" i="32"/>
  <c r="K8" i="32"/>
  <c r="D9" i="32"/>
  <c r="E9" i="32"/>
  <c r="F9" i="32"/>
  <c r="G9" i="32"/>
  <c r="H9" i="32"/>
  <c r="I9" i="32"/>
  <c r="J9" i="32"/>
  <c r="K9" i="32"/>
  <c r="D10" i="32"/>
  <c r="E10" i="32"/>
  <c r="F10" i="32"/>
  <c r="G10" i="32"/>
  <c r="H10" i="32"/>
  <c r="I10" i="32"/>
  <c r="J10" i="32"/>
  <c r="K10" i="32"/>
  <c r="D11" i="32"/>
  <c r="E11" i="32"/>
  <c r="F11" i="32"/>
  <c r="G11" i="32"/>
  <c r="H11" i="32"/>
  <c r="I11" i="32"/>
  <c r="J11" i="32"/>
  <c r="K11" i="32"/>
  <c r="D12" i="32"/>
  <c r="E12" i="32"/>
  <c r="F12" i="32"/>
  <c r="G12" i="32"/>
  <c r="H12" i="32"/>
  <c r="I12" i="32"/>
  <c r="J12" i="32"/>
  <c r="K12" i="32"/>
  <c r="D13" i="32"/>
  <c r="E13" i="32"/>
  <c r="F13" i="32"/>
  <c r="G13" i="32"/>
  <c r="H13" i="32"/>
  <c r="I13" i="32"/>
  <c r="J13" i="32"/>
  <c r="K13" i="32"/>
  <c r="D14" i="32"/>
  <c r="E14" i="32"/>
  <c r="F14" i="32"/>
  <c r="G14" i="32"/>
  <c r="H14" i="32"/>
  <c r="I14" i="32"/>
  <c r="J14" i="32"/>
  <c r="K14" i="32"/>
  <c r="D15" i="32"/>
  <c r="E15" i="32"/>
  <c r="F15" i="32"/>
  <c r="G15" i="32"/>
  <c r="H15" i="32"/>
  <c r="I15" i="32"/>
  <c r="J15" i="32"/>
  <c r="K15" i="32"/>
  <c r="D16" i="32"/>
  <c r="E16" i="32"/>
  <c r="F16" i="32"/>
  <c r="G16" i="32"/>
  <c r="H16" i="32"/>
  <c r="I16" i="32"/>
  <c r="J16" i="32"/>
  <c r="K16" i="32"/>
  <c r="D18" i="32"/>
  <c r="E18" i="32"/>
  <c r="F18" i="32"/>
  <c r="G18" i="32"/>
  <c r="H18" i="32"/>
  <c r="I18" i="32"/>
  <c r="J18" i="32"/>
  <c r="K18" i="32"/>
  <c r="D19" i="32"/>
  <c r="E19" i="32"/>
  <c r="F19" i="32"/>
  <c r="G19" i="32"/>
  <c r="H19" i="32"/>
  <c r="I19" i="32"/>
  <c r="J19" i="32"/>
  <c r="K19" i="32"/>
  <c r="D20" i="32"/>
  <c r="E20" i="32"/>
  <c r="F20" i="32"/>
  <c r="G20" i="32"/>
  <c r="H20" i="32"/>
  <c r="I20" i="32"/>
  <c r="J20" i="32"/>
  <c r="K20" i="32"/>
  <c r="D21" i="32"/>
  <c r="E21" i="32"/>
  <c r="F21" i="32"/>
  <c r="G21" i="32"/>
  <c r="H21" i="32"/>
  <c r="I21" i="32"/>
  <c r="J21" i="32"/>
  <c r="K21" i="32"/>
  <c r="D22" i="32"/>
  <c r="E22" i="32"/>
  <c r="F22" i="32"/>
  <c r="G22" i="32"/>
  <c r="H22" i="32"/>
  <c r="I22" i="32"/>
  <c r="J22" i="32"/>
  <c r="K22" i="32"/>
  <c r="D23" i="32"/>
  <c r="E23" i="32"/>
  <c r="F23" i="32"/>
  <c r="G23" i="32"/>
  <c r="H23" i="32"/>
  <c r="I23" i="32"/>
  <c r="J23" i="32"/>
  <c r="K23" i="32"/>
  <c r="D24" i="32"/>
  <c r="E24" i="32"/>
  <c r="F24" i="32"/>
  <c r="G24" i="32"/>
  <c r="H24" i="32"/>
  <c r="I24" i="32"/>
  <c r="J24" i="32"/>
  <c r="K24" i="32"/>
  <c r="D25" i="32"/>
  <c r="E25" i="32"/>
  <c r="F25" i="32"/>
  <c r="G25" i="32"/>
  <c r="H25" i="32"/>
  <c r="I25" i="32"/>
  <c r="J25" i="32"/>
  <c r="K25" i="32"/>
  <c r="D29" i="32"/>
  <c r="E29" i="32"/>
  <c r="F29" i="32"/>
  <c r="G29" i="32"/>
  <c r="H29" i="32"/>
  <c r="I29" i="32"/>
  <c r="J29" i="32"/>
  <c r="K29" i="32"/>
  <c r="D30" i="32"/>
  <c r="E30" i="32"/>
  <c r="F30" i="32"/>
  <c r="G30" i="32"/>
  <c r="H30" i="32"/>
  <c r="I30" i="32"/>
  <c r="J30" i="32"/>
  <c r="K30" i="32"/>
  <c r="D32" i="32"/>
  <c r="E32" i="32"/>
  <c r="F32" i="32"/>
  <c r="G32" i="32"/>
  <c r="H32" i="32"/>
  <c r="I32" i="32"/>
  <c r="J32" i="32"/>
  <c r="K32" i="32"/>
  <c r="D33" i="32"/>
  <c r="E33" i="32"/>
  <c r="F33" i="32"/>
  <c r="G33" i="32"/>
  <c r="H33" i="32"/>
  <c r="I33" i="32"/>
  <c r="J33" i="32"/>
  <c r="K33" i="32"/>
  <c r="D34" i="32"/>
  <c r="E34" i="32"/>
  <c r="F34" i="32"/>
  <c r="G34" i="32"/>
  <c r="H34" i="32"/>
  <c r="I34" i="32"/>
  <c r="J34" i="32"/>
  <c r="K34" i="32"/>
  <c r="D35" i="32"/>
  <c r="E35" i="32"/>
  <c r="F35" i="32"/>
  <c r="G35" i="32"/>
  <c r="H35" i="32"/>
  <c r="I35" i="32"/>
  <c r="J35" i="32"/>
  <c r="K35" i="32"/>
  <c r="D36" i="32"/>
  <c r="E36" i="32"/>
  <c r="F36" i="32"/>
  <c r="G36" i="32"/>
  <c r="H36" i="32"/>
  <c r="I36" i="32"/>
  <c r="J36" i="32"/>
  <c r="K36" i="32"/>
  <c r="D38" i="32"/>
  <c r="E38" i="32"/>
  <c r="F38" i="32"/>
  <c r="G38" i="32"/>
  <c r="H38" i="32"/>
  <c r="I38" i="32"/>
  <c r="J38" i="32"/>
  <c r="K38" i="32"/>
  <c r="D39" i="32"/>
  <c r="E39" i="32"/>
  <c r="F39" i="32"/>
  <c r="G39" i="32"/>
  <c r="H39" i="32"/>
  <c r="I39" i="32"/>
  <c r="J39" i="32"/>
  <c r="K39" i="32"/>
  <c r="D41" i="32"/>
  <c r="E41" i="32"/>
  <c r="F41" i="32"/>
  <c r="G41" i="32"/>
  <c r="H41" i="32"/>
  <c r="I41" i="32"/>
  <c r="J41" i="32"/>
  <c r="K41" i="32"/>
  <c r="D42" i="32"/>
  <c r="E42" i="32"/>
  <c r="F42" i="32"/>
  <c r="G42" i="32"/>
  <c r="H42" i="32"/>
  <c r="I42" i="32"/>
  <c r="J42" i="32"/>
  <c r="K42" i="32"/>
  <c r="D43" i="32"/>
  <c r="E43" i="32"/>
  <c r="F43" i="32"/>
  <c r="G43" i="32"/>
  <c r="H43" i="32"/>
  <c r="I43" i="32"/>
  <c r="J43" i="32"/>
  <c r="K43" i="32"/>
  <c r="D45" i="32"/>
  <c r="D44" i="32" s="1"/>
  <c r="E45" i="32"/>
  <c r="E44" i="32" s="1"/>
  <c r="F45" i="32"/>
  <c r="F44" i="32" s="1"/>
  <c r="G45" i="32"/>
  <c r="G44" i="32" s="1"/>
  <c r="H45" i="32"/>
  <c r="H44" i="32" s="1"/>
  <c r="I45" i="32"/>
  <c r="I44" i="32" s="1"/>
  <c r="J45" i="32"/>
  <c r="J44" i="32" s="1"/>
  <c r="K45" i="32"/>
  <c r="K44" i="32" s="1"/>
  <c r="D46" i="32"/>
  <c r="E46" i="32"/>
  <c r="F46" i="32"/>
  <c r="G46" i="32"/>
  <c r="H46" i="32"/>
  <c r="I46" i="32"/>
  <c r="J46" i="32"/>
  <c r="K46" i="32"/>
  <c r="D49" i="32"/>
  <c r="E49" i="32"/>
  <c r="F49" i="32"/>
  <c r="G49" i="32"/>
  <c r="H49" i="32"/>
  <c r="I49" i="32"/>
  <c r="J49" i="32"/>
  <c r="K49" i="32"/>
  <c r="D50" i="32"/>
  <c r="E50" i="32"/>
  <c r="F50" i="32"/>
  <c r="G50" i="32"/>
  <c r="H50" i="32"/>
  <c r="I50" i="32"/>
  <c r="J50" i="32"/>
  <c r="K50" i="32"/>
  <c r="D51" i="32"/>
  <c r="E51" i="32"/>
  <c r="F51" i="32"/>
  <c r="G51" i="32"/>
  <c r="H51" i="32"/>
  <c r="I51" i="32"/>
  <c r="J51" i="32"/>
  <c r="K51" i="32"/>
  <c r="D52" i="32"/>
  <c r="E52" i="32"/>
  <c r="F52" i="32"/>
  <c r="G52" i="32"/>
  <c r="H52" i="32"/>
  <c r="I52" i="32"/>
  <c r="J52" i="32"/>
  <c r="K52" i="32"/>
  <c r="D53" i="32"/>
  <c r="E53" i="32"/>
  <c r="F53" i="32"/>
  <c r="G53" i="32"/>
  <c r="H53" i="32"/>
  <c r="I53" i="32"/>
  <c r="J53" i="32"/>
  <c r="K53" i="32"/>
  <c r="D54" i="32"/>
  <c r="E54" i="32"/>
  <c r="F54" i="32"/>
  <c r="G54" i="32"/>
  <c r="H54" i="32"/>
  <c r="I54" i="32"/>
  <c r="J54" i="32"/>
  <c r="K54" i="32"/>
  <c r="C54" i="32"/>
  <c r="C53" i="32"/>
  <c r="C52" i="32"/>
  <c r="C51" i="32"/>
  <c r="C50" i="32"/>
  <c r="C46" i="32"/>
  <c r="C45" i="32"/>
  <c r="C44" i="32" s="1"/>
  <c r="C43" i="32"/>
  <c r="C42" i="32"/>
  <c r="C41" i="32"/>
  <c r="C39" i="32"/>
  <c r="C38" i="32"/>
  <c r="C35" i="32"/>
  <c r="C34" i="32"/>
  <c r="C33" i="32"/>
  <c r="C32" i="32"/>
  <c r="C25" i="32"/>
  <c r="C24" i="32"/>
  <c r="C22" i="32"/>
  <c r="C21" i="32"/>
  <c r="C19" i="32"/>
  <c r="C18" i="32"/>
  <c r="C15" i="32"/>
  <c r="C13" i="32"/>
  <c r="C12" i="32"/>
  <c r="C30" i="32" s="1"/>
  <c r="C11" i="32"/>
  <c r="C10" i="32"/>
  <c r="C8" i="32"/>
  <c r="C6" i="32"/>
  <c r="C5" i="32"/>
  <c r="C4" i="32"/>
  <c r="C2" i="32"/>
  <c r="B2" i="32"/>
  <c r="B1" i="32"/>
  <c r="M49" i="32"/>
  <c r="C49" i="32"/>
  <c r="L46" i="32"/>
  <c r="M23" i="32"/>
  <c r="L15" i="32"/>
  <c r="L13" i="32"/>
  <c r="L12" i="32"/>
  <c r="L11" i="32"/>
  <c r="L10" i="32"/>
  <c r="L8" i="32"/>
  <c r="L6" i="32"/>
  <c r="L9" i="32" s="1"/>
  <c r="L4" i="32"/>
  <c r="L3" i="32"/>
  <c r="B49" i="32"/>
  <c r="U1" i="32"/>
  <c r="T1" i="32"/>
  <c r="S1" i="32"/>
  <c r="R1" i="32"/>
  <c r="Q1" i="32"/>
  <c r="P1" i="32"/>
  <c r="O1" i="32"/>
  <c r="N1" i="32"/>
  <c r="M1" i="32"/>
  <c r="L1" i="32"/>
  <c r="B52" i="23"/>
  <c r="C21" i="13"/>
  <c r="D21" i="13"/>
  <c r="E21" i="13"/>
  <c r="F21" i="13"/>
  <c r="G21" i="13"/>
  <c r="H21" i="13"/>
  <c r="I21" i="13"/>
  <c r="J21" i="13"/>
  <c r="K21" i="13"/>
  <c r="B21" i="13"/>
  <c r="C2" i="13"/>
  <c r="D2" i="13"/>
  <c r="E2" i="13"/>
  <c r="F2" i="13"/>
  <c r="G2" i="13"/>
  <c r="H2" i="13"/>
  <c r="I2" i="13"/>
  <c r="J2" i="13"/>
  <c r="K2" i="13"/>
  <c r="B2" i="13"/>
  <c r="L7" i="32" l="1"/>
  <c r="B7" i="32"/>
  <c r="L16" i="32"/>
  <c r="C16" i="32"/>
  <c r="K28" i="32"/>
  <c r="G28" i="32"/>
  <c r="K3" i="32"/>
  <c r="G3" i="32"/>
  <c r="B16" i="32"/>
  <c r="B44" i="32"/>
  <c r="J28" i="32"/>
  <c r="F28" i="32"/>
  <c r="B14" i="32"/>
  <c r="B23" i="32"/>
  <c r="L14" i="32"/>
  <c r="C14" i="32"/>
  <c r="I28" i="32"/>
  <c r="E28" i="32"/>
  <c r="M19" i="32"/>
  <c r="M10" i="32"/>
  <c r="M4" i="32"/>
  <c r="B9" i="32"/>
  <c r="M53" i="32"/>
  <c r="C28" i="32"/>
  <c r="M11" i="32"/>
  <c r="D28" i="32"/>
  <c r="D3" i="32"/>
  <c r="H28" i="32"/>
  <c r="M22" i="32"/>
  <c r="M52" i="32"/>
  <c r="M51" i="32"/>
  <c r="M50" i="32"/>
  <c r="L43" i="32"/>
  <c r="C36" i="32"/>
  <c r="C23" i="32"/>
  <c r="C20" i="32"/>
  <c r="C7" i="32"/>
  <c r="M8" i="32"/>
  <c r="M15" i="32"/>
  <c r="M16" i="32" s="1"/>
  <c r="C29" i="32"/>
  <c r="C9" i="32"/>
  <c r="M18" i="32"/>
  <c r="C29" i="18"/>
  <c r="D29" i="18"/>
  <c r="E29" i="18"/>
  <c r="F29" i="18"/>
  <c r="G29" i="18"/>
  <c r="H29" i="18"/>
  <c r="I29" i="18"/>
  <c r="J29" i="18"/>
  <c r="K29" i="18"/>
  <c r="B29" i="18"/>
  <c r="M20" i="32" l="1"/>
  <c r="M9" i="32"/>
  <c r="M25" i="32"/>
  <c r="M21" i="32"/>
  <c r="M24" i="32" s="1"/>
  <c r="C12" i="18"/>
  <c r="B12" i="18"/>
  <c r="L32" i="18"/>
  <c r="A61" i="18" l="1"/>
  <c r="A60" i="18"/>
  <c r="A52" i="18"/>
  <c r="B44" i="18"/>
  <c r="C44" i="18"/>
  <c r="D44" i="18"/>
  <c r="E44" i="18"/>
  <c r="F44" i="18"/>
  <c r="G44" i="18"/>
  <c r="H44" i="18"/>
  <c r="I44" i="18"/>
  <c r="J44" i="18"/>
  <c r="K44" i="18"/>
  <c r="I6" i="26" l="1"/>
  <c r="I5" i="26"/>
  <c r="I4" i="26"/>
  <c r="I3" i="26"/>
  <c r="C4" i="26"/>
  <c r="C5" i="26"/>
  <c r="C6" i="26"/>
  <c r="C3" i="26"/>
  <c r="G3" i="26"/>
  <c r="G4" i="26"/>
  <c r="I2" i="26"/>
  <c r="G5" i="26"/>
  <c r="G6" i="26"/>
  <c r="G2" i="26"/>
  <c r="A7" i="18"/>
  <c r="B40" i="18"/>
  <c r="C39" i="18"/>
  <c r="D39" i="18"/>
  <c r="B39" i="18"/>
  <c r="B38" i="18"/>
  <c r="A38" i="18"/>
  <c r="A37" i="18"/>
  <c r="B26" i="15"/>
  <c r="K19" i="2"/>
  <c r="J19" i="2"/>
  <c r="I19" i="2"/>
  <c r="H19" i="2"/>
  <c r="G19" i="2"/>
  <c r="F19" i="2"/>
  <c r="E19" i="2"/>
  <c r="D19" i="2"/>
  <c r="K7" i="17"/>
  <c r="J7" i="17"/>
  <c r="I7" i="17"/>
  <c r="H7" i="17"/>
  <c r="G7" i="17"/>
  <c r="F7" i="17"/>
  <c r="E7" i="17"/>
  <c r="D7" i="17"/>
  <c r="C7" i="17"/>
  <c r="A6" i="18"/>
  <c r="A5" i="18"/>
  <c r="A4" i="18"/>
  <c r="B6" i="4"/>
  <c r="C6" i="4"/>
  <c r="D6" i="4"/>
  <c r="E6" i="4"/>
  <c r="F6" i="4"/>
  <c r="G6" i="4"/>
  <c r="H6" i="4"/>
  <c r="I6" i="4"/>
  <c r="J6" i="4"/>
  <c r="K6" i="4"/>
  <c r="A22" i="17"/>
  <c r="A21" i="17"/>
  <c r="A17" i="17"/>
  <c r="A16" i="17"/>
  <c r="A15" i="17"/>
  <c r="B14" i="12"/>
  <c r="B11" i="15"/>
  <c r="B10" i="15"/>
  <c r="D62" i="1" s="1"/>
  <c r="B9" i="15"/>
  <c r="B19" i="15"/>
  <c r="F4" i="13"/>
  <c r="K11" i="13"/>
  <c r="J11" i="13"/>
  <c r="I11" i="13"/>
  <c r="H11" i="13"/>
  <c r="G11" i="13"/>
  <c r="F11" i="13"/>
  <c r="E11" i="13"/>
  <c r="D11" i="13"/>
  <c r="C11" i="13"/>
  <c r="B11" i="13"/>
  <c r="K34" i="13"/>
  <c r="J34" i="13"/>
  <c r="I34" i="13"/>
  <c r="H34" i="13"/>
  <c r="G34" i="13"/>
  <c r="F34" i="13"/>
  <c r="E34" i="13"/>
  <c r="D34" i="13"/>
  <c r="C34" i="13"/>
  <c r="B34" i="13"/>
  <c r="K33" i="13"/>
  <c r="J33" i="13"/>
  <c r="I33" i="13"/>
  <c r="H33" i="13"/>
  <c r="G33" i="13"/>
  <c r="F33" i="13"/>
  <c r="E33" i="13"/>
  <c r="D33" i="13"/>
  <c r="C33" i="13"/>
  <c r="B33" i="13"/>
  <c r="K32" i="13"/>
  <c r="J32" i="13"/>
  <c r="I32" i="13"/>
  <c r="H32" i="13"/>
  <c r="G32" i="13"/>
  <c r="F32" i="13"/>
  <c r="E32" i="13"/>
  <c r="D32" i="13"/>
  <c r="C32" i="13"/>
  <c r="B32" i="13"/>
  <c r="K30" i="13"/>
  <c r="J30" i="13"/>
  <c r="I30" i="13"/>
  <c r="H30" i="13"/>
  <c r="G30" i="13"/>
  <c r="F30" i="13"/>
  <c r="E30" i="13"/>
  <c r="D30" i="13"/>
  <c r="C30" i="13"/>
  <c r="B30" i="13"/>
  <c r="K29" i="13"/>
  <c r="J29" i="13"/>
  <c r="I29" i="13"/>
  <c r="H29" i="13"/>
  <c r="G29" i="13"/>
  <c r="F29" i="13"/>
  <c r="E29" i="13"/>
  <c r="D29" i="13"/>
  <c r="C29" i="13"/>
  <c r="B29" i="13"/>
  <c r="K28" i="13"/>
  <c r="J28" i="13"/>
  <c r="I28" i="13"/>
  <c r="H28" i="13"/>
  <c r="G28" i="13"/>
  <c r="F28" i="13"/>
  <c r="E28" i="13"/>
  <c r="D28" i="13"/>
  <c r="C28" i="13"/>
  <c r="B28" i="13"/>
  <c r="K27" i="13"/>
  <c r="J27" i="13"/>
  <c r="I27" i="13"/>
  <c r="H27" i="13"/>
  <c r="G27" i="13"/>
  <c r="F27" i="13"/>
  <c r="E27" i="13"/>
  <c r="D27" i="13"/>
  <c r="C27" i="13"/>
  <c r="B27" i="13"/>
  <c r="K25" i="13"/>
  <c r="J25" i="13"/>
  <c r="I25" i="13"/>
  <c r="H25" i="13"/>
  <c r="G25" i="13"/>
  <c r="F25" i="13"/>
  <c r="E25" i="13"/>
  <c r="D25" i="13"/>
  <c r="C25" i="13"/>
  <c r="B25" i="13"/>
  <c r="K24" i="13"/>
  <c r="J24" i="13"/>
  <c r="I24" i="13"/>
  <c r="H24" i="13"/>
  <c r="G24" i="13"/>
  <c r="F24" i="13"/>
  <c r="E24" i="13"/>
  <c r="D24" i="13"/>
  <c r="C24" i="13"/>
  <c r="B24" i="13"/>
  <c r="K23" i="13"/>
  <c r="J23" i="13"/>
  <c r="I23" i="13"/>
  <c r="H23" i="13"/>
  <c r="G23" i="13"/>
  <c r="F23" i="13"/>
  <c r="E23" i="13"/>
  <c r="D23" i="13"/>
  <c r="C23" i="13"/>
  <c r="B23" i="13"/>
  <c r="K22" i="13"/>
  <c r="J22" i="13"/>
  <c r="I22" i="13"/>
  <c r="H22" i="13"/>
  <c r="G22" i="13"/>
  <c r="F22" i="13"/>
  <c r="E22" i="13"/>
  <c r="D22" i="13"/>
  <c r="C22" i="13"/>
  <c r="B22" i="13"/>
  <c r="K18" i="13"/>
  <c r="J18" i="13"/>
  <c r="I18" i="13"/>
  <c r="H18" i="13"/>
  <c r="G18" i="13"/>
  <c r="F18" i="13"/>
  <c r="E18" i="13"/>
  <c r="D18" i="13"/>
  <c r="C18" i="13"/>
  <c r="B18" i="13"/>
  <c r="K17" i="13"/>
  <c r="J17" i="13"/>
  <c r="I17" i="13"/>
  <c r="H17" i="13"/>
  <c r="G17" i="13"/>
  <c r="F17" i="13"/>
  <c r="E17" i="13"/>
  <c r="D17" i="13"/>
  <c r="C17" i="13"/>
  <c r="B17" i="13"/>
  <c r="K16" i="13"/>
  <c r="J16" i="13"/>
  <c r="I16" i="13"/>
  <c r="H16" i="13"/>
  <c r="G16" i="13"/>
  <c r="F16" i="13"/>
  <c r="E16" i="13"/>
  <c r="D16" i="13"/>
  <c r="C16" i="13"/>
  <c r="B16" i="13"/>
  <c r="K15" i="13"/>
  <c r="J15" i="13"/>
  <c r="I15" i="13"/>
  <c r="H15" i="13"/>
  <c r="G15" i="13"/>
  <c r="F15" i="13"/>
  <c r="E15" i="13"/>
  <c r="D15" i="13"/>
  <c r="C15" i="13"/>
  <c r="B15" i="13"/>
  <c r="K14" i="13"/>
  <c r="J14" i="13"/>
  <c r="I14" i="13"/>
  <c r="H14" i="13"/>
  <c r="G14" i="13"/>
  <c r="F14" i="13"/>
  <c r="E14" i="13"/>
  <c r="D14" i="13"/>
  <c r="C14" i="13"/>
  <c r="B14" i="13"/>
  <c r="K13" i="13"/>
  <c r="J13" i="13"/>
  <c r="I13" i="13"/>
  <c r="H13" i="13"/>
  <c r="G13" i="13"/>
  <c r="F13" i="13"/>
  <c r="E13" i="13"/>
  <c r="D13" i="13"/>
  <c r="C13" i="13"/>
  <c r="B13" i="13"/>
  <c r="K12" i="13"/>
  <c r="J12" i="13"/>
  <c r="I12" i="13"/>
  <c r="H12" i="13"/>
  <c r="G12" i="13"/>
  <c r="F12" i="13"/>
  <c r="E12" i="13"/>
  <c r="D12" i="13"/>
  <c r="C12" i="13"/>
  <c r="B12" i="13"/>
  <c r="K10" i="13"/>
  <c r="J10" i="13"/>
  <c r="I10" i="13"/>
  <c r="H10" i="13"/>
  <c r="G10" i="13"/>
  <c r="F10" i="13"/>
  <c r="E10" i="13"/>
  <c r="D10" i="13"/>
  <c r="C10" i="13"/>
  <c r="B10" i="13"/>
  <c r="K9" i="13"/>
  <c r="J9" i="13"/>
  <c r="I9" i="13"/>
  <c r="H9" i="13"/>
  <c r="G9" i="13"/>
  <c r="F9" i="13"/>
  <c r="E9" i="13"/>
  <c r="D9" i="13"/>
  <c r="C9" i="13"/>
  <c r="B9" i="13"/>
  <c r="K8" i="13"/>
  <c r="J8" i="13"/>
  <c r="I8" i="13"/>
  <c r="H8" i="13"/>
  <c r="G8" i="13"/>
  <c r="F8" i="13"/>
  <c r="E8" i="13"/>
  <c r="D8" i="13"/>
  <c r="C8" i="13"/>
  <c r="B8" i="13"/>
  <c r="K7" i="13"/>
  <c r="J7" i="13"/>
  <c r="I7" i="13"/>
  <c r="H7" i="13"/>
  <c r="G7" i="13"/>
  <c r="F7" i="13"/>
  <c r="E7" i="13"/>
  <c r="D7" i="13"/>
  <c r="C7" i="13"/>
  <c r="B7" i="13"/>
  <c r="K6" i="13"/>
  <c r="J6" i="13"/>
  <c r="I6" i="13"/>
  <c r="H6" i="13"/>
  <c r="G6" i="13"/>
  <c r="F6" i="13"/>
  <c r="E6" i="13"/>
  <c r="D6" i="13"/>
  <c r="C6" i="13"/>
  <c r="B6" i="13"/>
  <c r="K5" i="13"/>
  <c r="J5" i="13"/>
  <c r="I5" i="13"/>
  <c r="H5" i="13"/>
  <c r="G5" i="13"/>
  <c r="F5" i="13"/>
  <c r="E5" i="13"/>
  <c r="D5" i="13"/>
  <c r="C5" i="13"/>
  <c r="B5" i="13"/>
  <c r="K4" i="13"/>
  <c r="J4" i="13"/>
  <c r="I4" i="13"/>
  <c r="H4" i="13"/>
  <c r="G4" i="13"/>
  <c r="E4" i="13"/>
  <c r="D4" i="13"/>
  <c r="C4" i="13"/>
  <c r="B4" i="13"/>
  <c r="E5" i="11"/>
  <c r="B30" i="11"/>
  <c r="B16" i="12"/>
  <c r="B11" i="12"/>
  <c r="K4" i="12"/>
  <c r="J4" i="12"/>
  <c r="J5" i="12" s="1"/>
  <c r="I4" i="12"/>
  <c r="I5" i="12" s="1"/>
  <c r="H4" i="12"/>
  <c r="H5" i="12" s="1"/>
  <c r="G4" i="12"/>
  <c r="G5" i="12" s="1"/>
  <c r="F4" i="12"/>
  <c r="F5" i="12" s="1"/>
  <c r="E4" i="12"/>
  <c r="E5" i="12" s="1"/>
  <c r="D4" i="12"/>
  <c r="D5" i="12" s="1"/>
  <c r="C4" i="12"/>
  <c r="C5" i="12" s="1"/>
  <c r="B4" i="12"/>
  <c r="B5" i="12" s="1"/>
  <c r="K3" i="12"/>
  <c r="J3" i="12"/>
  <c r="I3" i="12"/>
  <c r="H3" i="12"/>
  <c r="G3" i="12"/>
  <c r="F3" i="12"/>
  <c r="E3" i="12"/>
  <c r="D3" i="12"/>
  <c r="C3" i="12"/>
  <c r="B3" i="12"/>
  <c r="A2" i="12"/>
  <c r="A2" i="11"/>
  <c r="C23" i="11"/>
  <c r="C22" i="11"/>
  <c r="C21" i="11"/>
  <c r="C20" i="11"/>
  <c r="C19" i="11"/>
  <c r="C18" i="11"/>
  <c r="C17" i="11"/>
  <c r="C16" i="11"/>
  <c r="C15" i="11"/>
  <c r="C14" i="11"/>
  <c r="E7" i="8"/>
  <c r="A2" i="10"/>
  <c r="B8" i="10"/>
  <c r="A4" i="9"/>
  <c r="H4" i="9" s="1"/>
  <c r="D20" i="9"/>
  <c r="K20" i="9" s="1"/>
  <c r="B11" i="8"/>
  <c r="E11" i="8" s="1"/>
  <c r="K11" i="1"/>
  <c r="J11" i="1"/>
  <c r="I11" i="1"/>
  <c r="H11" i="1"/>
  <c r="G11" i="1"/>
  <c r="F11" i="1"/>
  <c r="E11" i="1"/>
  <c r="D11" i="1"/>
  <c r="C11" i="1"/>
  <c r="K10" i="1"/>
  <c r="J10" i="1"/>
  <c r="I10" i="1"/>
  <c r="H10" i="1"/>
  <c r="G10" i="1"/>
  <c r="F10" i="1"/>
  <c r="E10" i="1"/>
  <c r="D10" i="1"/>
  <c r="C10" i="1"/>
  <c r="K9" i="1"/>
  <c r="J9" i="1"/>
  <c r="I9" i="1"/>
  <c r="H9" i="1"/>
  <c r="G9" i="1"/>
  <c r="F9" i="1"/>
  <c r="E9" i="1"/>
  <c r="D9" i="1"/>
  <c r="C9" i="1"/>
  <c r="K8" i="1"/>
  <c r="J8" i="1"/>
  <c r="I8" i="1"/>
  <c r="H8" i="1"/>
  <c r="G8" i="1"/>
  <c r="F8" i="1"/>
  <c r="E8" i="1"/>
  <c r="D8" i="1"/>
  <c r="C8" i="1"/>
  <c r="K7" i="1"/>
  <c r="J7" i="1"/>
  <c r="I7" i="1"/>
  <c r="H7" i="1"/>
  <c r="G7" i="1"/>
  <c r="F7" i="1"/>
  <c r="E7" i="1"/>
  <c r="D7" i="1"/>
  <c r="C7" i="1"/>
  <c r="B11" i="1"/>
  <c r="B10" i="1"/>
  <c r="B9" i="1"/>
  <c r="B8" i="1"/>
  <c r="B7" i="1"/>
  <c r="B14" i="3"/>
  <c r="C14" i="3"/>
  <c r="D14" i="3"/>
  <c r="E14" i="3"/>
  <c r="F14" i="3"/>
  <c r="G14" i="3"/>
  <c r="H14" i="3"/>
  <c r="I14" i="3"/>
  <c r="J14" i="3"/>
  <c r="K14" i="3"/>
  <c r="C7" i="3"/>
  <c r="D7" i="3"/>
  <c r="D4" i="3"/>
  <c r="E7" i="3"/>
  <c r="E4" i="3"/>
  <c r="F7" i="3"/>
  <c r="F4" i="3"/>
  <c r="G7" i="3"/>
  <c r="G4" i="3"/>
  <c r="H7" i="3"/>
  <c r="H4" i="3"/>
  <c r="I7" i="3"/>
  <c r="J7" i="3"/>
  <c r="J4" i="3"/>
  <c r="K7" i="3"/>
  <c r="B7" i="3"/>
  <c r="C6" i="1"/>
  <c r="D6" i="1"/>
  <c r="E6" i="1"/>
  <c r="F6" i="1"/>
  <c r="G6" i="1"/>
  <c r="H6" i="1"/>
  <c r="I6" i="1"/>
  <c r="J6" i="1"/>
  <c r="K6" i="1"/>
  <c r="B6" i="1"/>
  <c r="B4" i="1"/>
  <c r="B21" i="18" s="1"/>
  <c r="B6" i="6"/>
  <c r="B12" i="15" s="1"/>
  <c r="C17" i="2"/>
  <c r="C4" i="1"/>
  <c r="C21" i="18" s="1"/>
  <c r="D17" i="2"/>
  <c r="D4" i="1"/>
  <c r="D21" i="18" s="1"/>
  <c r="E17" i="2"/>
  <c r="E4" i="1"/>
  <c r="E21" i="18" s="1"/>
  <c r="F17" i="2"/>
  <c r="F4" i="1"/>
  <c r="G17" i="2"/>
  <c r="G4" i="1"/>
  <c r="H17" i="2"/>
  <c r="I17" i="2"/>
  <c r="J17" i="2"/>
  <c r="K17" i="2"/>
  <c r="C18" i="2"/>
  <c r="D18" i="2"/>
  <c r="E18" i="2"/>
  <c r="F18" i="2"/>
  <c r="G18" i="2"/>
  <c r="H18" i="2"/>
  <c r="I18" i="2"/>
  <c r="J18" i="2"/>
  <c r="K18" i="2"/>
  <c r="B17" i="2"/>
  <c r="C4" i="2"/>
  <c r="D4" i="2"/>
  <c r="E4" i="2"/>
  <c r="F4" i="2"/>
  <c r="G4" i="2"/>
  <c r="H4" i="2"/>
  <c r="I4" i="2"/>
  <c r="J4" i="2"/>
  <c r="J6" i="2"/>
  <c r="J5" i="2"/>
  <c r="K4" i="2"/>
  <c r="C5" i="2"/>
  <c r="D5" i="2"/>
  <c r="E5" i="2"/>
  <c r="F5" i="2"/>
  <c r="G5" i="2"/>
  <c r="H5" i="2"/>
  <c r="I5" i="2"/>
  <c r="K5" i="2"/>
  <c r="C6" i="2"/>
  <c r="C14" i="2"/>
  <c r="D6" i="2"/>
  <c r="E6" i="2"/>
  <c r="F6" i="2"/>
  <c r="F14" i="2"/>
  <c r="G6" i="2"/>
  <c r="G14" i="2"/>
  <c r="H6" i="2"/>
  <c r="H14" i="2"/>
  <c r="I6" i="2"/>
  <c r="K6" i="2"/>
  <c r="C7" i="2"/>
  <c r="D7" i="2"/>
  <c r="E7" i="2"/>
  <c r="F7" i="2"/>
  <c r="G7" i="2"/>
  <c r="H7" i="2"/>
  <c r="H13" i="2"/>
  <c r="I7" i="2"/>
  <c r="J7" i="2"/>
  <c r="K7" i="2"/>
  <c r="C8" i="2"/>
  <c r="D8" i="2"/>
  <c r="E8" i="2"/>
  <c r="F8" i="2"/>
  <c r="G8" i="2"/>
  <c r="H8" i="2"/>
  <c r="I8" i="2"/>
  <c r="J8" i="2"/>
  <c r="K8" i="2"/>
  <c r="C10" i="2"/>
  <c r="D10" i="2"/>
  <c r="E10" i="2"/>
  <c r="F10" i="2"/>
  <c r="G10" i="2"/>
  <c r="H10" i="2"/>
  <c r="I10" i="2"/>
  <c r="I4" i="1"/>
  <c r="I21" i="18" s="1"/>
  <c r="J10" i="2"/>
  <c r="J4" i="1"/>
  <c r="K10" i="2"/>
  <c r="C11" i="2"/>
  <c r="D11" i="2"/>
  <c r="E11" i="2"/>
  <c r="E14" i="2"/>
  <c r="F11" i="2"/>
  <c r="G11" i="2"/>
  <c r="H11" i="2"/>
  <c r="I11" i="2"/>
  <c r="I14" i="2"/>
  <c r="J11" i="2"/>
  <c r="K11" i="2"/>
  <c r="C12" i="2"/>
  <c r="D12" i="2"/>
  <c r="E12" i="2"/>
  <c r="F12" i="2"/>
  <c r="G12" i="2"/>
  <c r="H12" i="2"/>
  <c r="I12" i="2"/>
  <c r="J12" i="2"/>
  <c r="K12" i="2"/>
  <c r="C13" i="2"/>
  <c r="D13" i="2"/>
  <c r="E13" i="2"/>
  <c r="F13" i="2"/>
  <c r="G13" i="2"/>
  <c r="I13" i="2"/>
  <c r="I16" i="2" s="1"/>
  <c r="J13" i="2"/>
  <c r="K13" i="2"/>
  <c r="D14" i="2"/>
  <c r="J14" i="2"/>
  <c r="K14" i="2"/>
  <c r="B14" i="2"/>
  <c r="B5" i="2"/>
  <c r="B4" i="2"/>
  <c r="C4" i="4"/>
  <c r="D4" i="4"/>
  <c r="D27" i="18" s="1"/>
  <c r="E4" i="4"/>
  <c r="E27" i="18" s="1"/>
  <c r="F4" i="4"/>
  <c r="F27" i="18" s="1"/>
  <c r="G4" i="4"/>
  <c r="G27" i="18" s="1"/>
  <c r="H4" i="4"/>
  <c r="H27" i="18" s="1"/>
  <c r="I4" i="4"/>
  <c r="J4" i="4"/>
  <c r="J27" i="18" s="1"/>
  <c r="K4" i="4"/>
  <c r="C7" i="4"/>
  <c r="D7" i="4"/>
  <c r="E7" i="4"/>
  <c r="F7" i="4"/>
  <c r="G7" i="4"/>
  <c r="H7" i="4"/>
  <c r="I7" i="4"/>
  <c r="J7" i="4"/>
  <c r="K7" i="4"/>
  <c r="C8" i="4"/>
  <c r="D8" i="4"/>
  <c r="E8" i="4"/>
  <c r="F8" i="4"/>
  <c r="G8" i="4"/>
  <c r="H8" i="4"/>
  <c r="I8" i="4"/>
  <c r="J8" i="4"/>
  <c r="K8" i="4"/>
  <c r="C4" i="3"/>
  <c r="I4" i="3"/>
  <c r="K4" i="3"/>
  <c r="H6" i="3"/>
  <c r="I6" i="3"/>
  <c r="J6" i="3"/>
  <c r="K6" i="3"/>
  <c r="C6" i="3"/>
  <c r="D6" i="3"/>
  <c r="E6" i="3"/>
  <c r="F6" i="3"/>
  <c r="G6" i="3"/>
  <c r="C8" i="3"/>
  <c r="D8" i="3"/>
  <c r="E8" i="3"/>
  <c r="F8" i="3"/>
  <c r="G8" i="3"/>
  <c r="H8" i="3"/>
  <c r="I8" i="3"/>
  <c r="J8" i="3"/>
  <c r="K8" i="3"/>
  <c r="C9" i="3"/>
  <c r="D9" i="3"/>
  <c r="E9" i="3"/>
  <c r="F9" i="3"/>
  <c r="G9" i="3"/>
  <c r="H9" i="3"/>
  <c r="I9" i="3"/>
  <c r="J9" i="3"/>
  <c r="K9" i="3"/>
  <c r="C10" i="3"/>
  <c r="D10" i="3"/>
  <c r="E10" i="3"/>
  <c r="F10" i="3"/>
  <c r="G10" i="3"/>
  <c r="H10" i="3"/>
  <c r="I10" i="3"/>
  <c r="J10" i="3"/>
  <c r="K10" i="3"/>
  <c r="C11" i="3"/>
  <c r="D11" i="3"/>
  <c r="E11" i="3"/>
  <c r="F11" i="3"/>
  <c r="J11" i="3"/>
  <c r="G11" i="3"/>
  <c r="H11" i="3"/>
  <c r="I11" i="3"/>
  <c r="K11" i="3"/>
  <c r="C15" i="3"/>
  <c r="D15" i="3"/>
  <c r="E15" i="3"/>
  <c r="F15" i="3"/>
  <c r="G15" i="3"/>
  <c r="H15" i="3"/>
  <c r="I15" i="3"/>
  <c r="J15" i="3"/>
  <c r="K15" i="3"/>
  <c r="B6" i="3"/>
  <c r="C31" i="1"/>
  <c r="D31" i="1"/>
  <c r="E31" i="1"/>
  <c r="F31" i="1"/>
  <c r="G31" i="1"/>
  <c r="H31" i="1"/>
  <c r="I31" i="1"/>
  <c r="J31" i="1"/>
  <c r="K31" i="1"/>
  <c r="B31" i="1"/>
  <c r="H4" i="1"/>
  <c r="K4" i="1"/>
  <c r="C14" i="1"/>
  <c r="C16" i="1"/>
  <c r="C17" i="1"/>
  <c r="D14" i="1"/>
  <c r="E14" i="1"/>
  <c r="F14" i="1"/>
  <c r="G14" i="1"/>
  <c r="H14" i="1"/>
  <c r="I14" i="1"/>
  <c r="J14" i="1"/>
  <c r="K14" i="1"/>
  <c r="D16" i="1"/>
  <c r="D17" i="1"/>
  <c r="E16" i="1"/>
  <c r="F16" i="1"/>
  <c r="G16" i="1"/>
  <c r="H16" i="1"/>
  <c r="I16" i="1"/>
  <c r="J16" i="1"/>
  <c r="K16" i="1"/>
  <c r="E17" i="1"/>
  <c r="F17" i="1"/>
  <c r="G17" i="1"/>
  <c r="H17" i="1"/>
  <c r="I17" i="1"/>
  <c r="J17" i="1"/>
  <c r="K17" i="1"/>
  <c r="C22" i="1"/>
  <c r="D22" i="1"/>
  <c r="E22" i="1"/>
  <c r="F22" i="1"/>
  <c r="G22" i="1"/>
  <c r="H22" i="1"/>
  <c r="I22" i="1"/>
  <c r="J22" i="1"/>
  <c r="K22" i="1"/>
  <c r="C30" i="1"/>
  <c r="C32" i="1" s="1"/>
  <c r="D30" i="1"/>
  <c r="D32" i="1" s="1"/>
  <c r="E30" i="1"/>
  <c r="E32" i="1" s="1"/>
  <c r="F30" i="1"/>
  <c r="F32" i="1" s="1"/>
  <c r="G30" i="1"/>
  <c r="G32" i="1" s="1"/>
  <c r="H30" i="1"/>
  <c r="H32" i="1" s="1"/>
  <c r="I30" i="1"/>
  <c r="I32" i="1" s="1"/>
  <c r="J30" i="1"/>
  <c r="J32" i="1" s="1"/>
  <c r="K30" i="1"/>
  <c r="K32" i="1" s="1"/>
  <c r="B30" i="1"/>
  <c r="B32" i="1" s="1"/>
  <c r="B14" i="1"/>
  <c r="A2" i="1"/>
  <c r="E1" i="6"/>
  <c r="E1" i="3" s="1"/>
  <c r="C3" i="4"/>
  <c r="D3" i="4"/>
  <c r="E3" i="4"/>
  <c r="F3" i="4"/>
  <c r="G3" i="4"/>
  <c r="H3" i="4"/>
  <c r="I3" i="4"/>
  <c r="J3" i="4"/>
  <c r="K3" i="4"/>
  <c r="C3" i="2"/>
  <c r="D3" i="2"/>
  <c r="E3" i="2"/>
  <c r="F3" i="2"/>
  <c r="G3" i="2"/>
  <c r="H3" i="2"/>
  <c r="I3" i="2"/>
  <c r="J3" i="2"/>
  <c r="K3" i="2"/>
  <c r="C3" i="3"/>
  <c r="D3" i="3"/>
  <c r="E3" i="3"/>
  <c r="F3" i="3"/>
  <c r="G3" i="3"/>
  <c r="H3" i="3"/>
  <c r="I3" i="3"/>
  <c r="J3" i="3"/>
  <c r="K3" i="3"/>
  <c r="C3" i="1"/>
  <c r="C3" i="17" s="1"/>
  <c r="C3" i="18" s="1"/>
  <c r="C9" i="18" s="1"/>
  <c r="D3" i="1"/>
  <c r="D3" i="17" s="1"/>
  <c r="D3" i="18" s="1"/>
  <c r="D9" i="18" s="1"/>
  <c r="E3" i="1"/>
  <c r="E3" i="17" s="1"/>
  <c r="E3" i="18" s="1"/>
  <c r="E9" i="18" s="1"/>
  <c r="F3" i="1"/>
  <c r="F3" i="17" s="1"/>
  <c r="F3" i="18" s="1"/>
  <c r="F9" i="18" s="1"/>
  <c r="E14" i="18" s="1"/>
  <c r="G3" i="1"/>
  <c r="G3" i="17" s="1"/>
  <c r="G3" i="18" s="1"/>
  <c r="G9" i="18" s="1"/>
  <c r="H3" i="1"/>
  <c r="H3" i="17" s="1"/>
  <c r="H3" i="18" s="1"/>
  <c r="H9" i="18" s="1"/>
  <c r="I3" i="1"/>
  <c r="I3" i="17" s="1"/>
  <c r="I3" i="18" s="1"/>
  <c r="I9" i="18" s="1"/>
  <c r="J3" i="1"/>
  <c r="J3" i="17" s="1"/>
  <c r="J3" i="18" s="1"/>
  <c r="J9" i="18" s="1"/>
  <c r="K3" i="1"/>
  <c r="K3" i="17" s="1"/>
  <c r="K3" i="18" s="1"/>
  <c r="K9" i="18" s="1"/>
  <c r="B8" i="4"/>
  <c r="B7" i="4"/>
  <c r="B4" i="4"/>
  <c r="B27" i="18" s="1"/>
  <c r="B3" i="4"/>
  <c r="B18" i="2"/>
  <c r="B13" i="2"/>
  <c r="B7" i="2"/>
  <c r="B12" i="2"/>
  <c r="B11" i="2"/>
  <c r="B10" i="2"/>
  <c r="B8" i="2"/>
  <c r="B6" i="2"/>
  <c r="B3" i="2"/>
  <c r="B15" i="3"/>
  <c r="B11" i="3"/>
  <c r="B4" i="3"/>
  <c r="B10" i="3"/>
  <c r="B9" i="3"/>
  <c r="B8" i="3"/>
  <c r="B3" i="3"/>
  <c r="L30" i="1"/>
  <c r="B22" i="1"/>
  <c r="B17" i="1"/>
  <c r="B16" i="1"/>
  <c r="B3" i="1"/>
  <c r="B3" i="17" s="1"/>
  <c r="B3" i="18" s="1"/>
  <c r="B9" i="18" s="1"/>
  <c r="B20" i="18" s="1"/>
  <c r="B26" i="18" s="1"/>
  <c r="B28" i="18"/>
  <c r="B23" i="17"/>
  <c r="B16" i="4"/>
  <c r="B15" i="4"/>
  <c r="B94" i="22"/>
  <c r="B55" i="22"/>
  <c r="B35" i="22"/>
  <c r="B41" i="22"/>
  <c r="B62" i="22"/>
  <c r="B50" i="22"/>
  <c r="B52" i="22"/>
  <c r="B46" i="22"/>
  <c r="B45" i="22"/>
  <c r="B47" i="22"/>
  <c r="B56" i="22"/>
  <c r="B36" i="22"/>
  <c r="B43" i="22"/>
  <c r="B39" i="22"/>
  <c r="B54" i="22"/>
  <c r="B42" i="22"/>
  <c r="B21" i="22"/>
  <c r="B38" i="22"/>
  <c r="B37" i="22"/>
  <c r="B3" i="22"/>
  <c r="B40" i="22"/>
  <c r="B92" i="22"/>
  <c r="B59" i="22"/>
  <c r="B33" i="22"/>
  <c r="B93" i="22"/>
  <c r="B44" i="22"/>
  <c r="B57" i="22"/>
  <c r="B49" i="22"/>
  <c r="B48" i="22"/>
  <c r="A1" i="22"/>
  <c r="J23" i="2" l="1"/>
  <c r="J16" i="17" s="1"/>
  <c r="F5" i="4"/>
  <c r="F8" i="17" s="1"/>
  <c r="B45" i="18"/>
  <c r="B85" i="18"/>
  <c r="J45" i="18"/>
  <c r="H45" i="18"/>
  <c r="G45" i="18"/>
  <c r="F45" i="18"/>
  <c r="E45" i="18"/>
  <c r="E85" i="18"/>
  <c r="D45" i="18"/>
  <c r="D85" i="18"/>
  <c r="E17" i="3"/>
  <c r="J6" i="26"/>
  <c r="D82" i="18"/>
  <c r="E82" i="18"/>
  <c r="F17" i="3"/>
  <c r="D7" i="9"/>
  <c r="K7" i="9" s="1"/>
  <c r="I15" i="1"/>
  <c r="I24" i="2"/>
  <c r="I17" i="17" s="1"/>
  <c r="D15" i="1"/>
  <c r="I12" i="1"/>
  <c r="I13" i="1" s="1"/>
  <c r="I11" i="17" s="1"/>
  <c r="I4" i="18" s="1"/>
  <c r="C15" i="1"/>
  <c r="H5" i="3"/>
  <c r="C12" i="1"/>
  <c r="C13" i="1" s="1"/>
  <c r="C11" i="17" s="1"/>
  <c r="C4" i="18" s="1"/>
  <c r="I23" i="2"/>
  <c r="I16" i="17" s="1"/>
  <c r="J5" i="26"/>
  <c r="H3" i="26"/>
  <c r="B62" i="1"/>
  <c r="H49" i="1"/>
  <c r="C62" i="1"/>
  <c r="H17" i="3"/>
  <c r="G25" i="2"/>
  <c r="G18" i="17" s="1"/>
  <c r="D12" i="3"/>
  <c r="J19" i="17"/>
  <c r="J17" i="3"/>
  <c r="G5" i="1"/>
  <c r="G4" i="17" s="1"/>
  <c r="F15" i="18" s="1"/>
  <c r="K22" i="2"/>
  <c r="K15" i="17" s="1"/>
  <c r="E25" i="2"/>
  <c r="E18" i="17" s="1"/>
  <c r="C17" i="3"/>
  <c r="K15" i="1"/>
  <c r="B16" i="2"/>
  <c r="H15" i="1"/>
  <c r="H13" i="3"/>
  <c r="L6" i="1"/>
  <c r="E49" i="1"/>
  <c r="E5" i="1"/>
  <c r="E4" i="17" s="1"/>
  <c r="D15" i="18" s="1"/>
  <c r="E24" i="2"/>
  <c r="E17" i="17" s="1"/>
  <c r="K5" i="3"/>
  <c r="B13" i="15"/>
  <c r="B25" i="15" s="1"/>
  <c r="H9" i="4"/>
  <c r="F15" i="1"/>
  <c r="K25" i="2"/>
  <c r="K18" i="17" s="1"/>
  <c r="C7" i="26"/>
  <c r="B9" i="26" s="1"/>
  <c r="D22" i="2"/>
  <c r="D15" i="17" s="1"/>
  <c r="D19" i="17"/>
  <c r="K16" i="2"/>
  <c r="D23" i="2"/>
  <c r="D16" i="17" s="1"/>
  <c r="B12" i="1"/>
  <c r="B19" i="1" s="1"/>
  <c r="D5" i="4"/>
  <c r="D8" i="17" s="1"/>
  <c r="H6" i="26"/>
  <c r="E28" i="2"/>
  <c r="H4" i="26"/>
  <c r="H28" i="2"/>
  <c r="J28" i="2"/>
  <c r="J22" i="2"/>
  <c r="J15" i="17" s="1"/>
  <c r="G12" i="3"/>
  <c r="H23" i="2"/>
  <c r="H16" i="17" s="1"/>
  <c r="D17" i="3"/>
  <c r="B19" i="17"/>
  <c r="K17" i="3"/>
  <c r="E38" i="1"/>
  <c r="D38" i="1"/>
  <c r="K23" i="2"/>
  <c r="K16" i="17" s="1"/>
  <c r="K9" i="4"/>
  <c r="C5" i="4"/>
  <c r="C8" i="17" s="1"/>
  <c r="F24" i="2"/>
  <c r="F17" i="17" s="1"/>
  <c r="B38" i="1"/>
  <c r="B17" i="15" s="1"/>
  <c r="F28" i="2"/>
  <c r="E23" i="2"/>
  <c r="E16" i="17" s="1"/>
  <c r="B12" i="3"/>
  <c r="J16" i="2"/>
  <c r="J4" i="26"/>
  <c r="E5" i="4"/>
  <c r="E8" i="17" s="1"/>
  <c r="K24" i="2"/>
  <c r="K17" i="17" s="1"/>
  <c r="E9" i="4"/>
  <c r="E12" i="3"/>
  <c r="C38" i="1"/>
  <c r="G16" i="2"/>
  <c r="I28" i="2"/>
  <c r="L22" i="1"/>
  <c r="H24" i="2"/>
  <c r="H17" i="17" s="1"/>
  <c r="I16" i="3"/>
  <c r="H16" i="2"/>
  <c r="G22" i="2"/>
  <c r="G15" i="17" s="1"/>
  <c r="G23" i="2"/>
  <c r="G16" i="17" s="1"/>
  <c r="E15" i="1"/>
  <c r="F23" i="2"/>
  <c r="F16" i="17" s="1"/>
  <c r="H19" i="17"/>
  <c r="H5" i="1"/>
  <c r="H4" i="17" s="1"/>
  <c r="G15" i="18" s="1"/>
  <c r="C12" i="3"/>
  <c r="G5" i="4"/>
  <c r="G8" i="17" s="1"/>
  <c r="G9" i="4"/>
  <c r="K21" i="18"/>
  <c r="J9" i="4"/>
  <c r="B4" i="8"/>
  <c r="E4" i="8" s="1"/>
  <c r="D12" i="1"/>
  <c r="G16" i="3"/>
  <c r="F16" i="2"/>
  <c r="C22" i="2"/>
  <c r="C15" i="17" s="1"/>
  <c r="J5" i="3"/>
  <c r="K5" i="1"/>
  <c r="K4" i="17" s="1"/>
  <c r="J15" i="18" s="1"/>
  <c r="G21" i="18"/>
  <c r="G85" i="18" s="1"/>
  <c r="D25" i="2"/>
  <c r="D18" i="17" s="1"/>
  <c r="J24" i="2"/>
  <c r="J17" i="17" s="1"/>
  <c r="K13" i="3"/>
  <c r="K12" i="1"/>
  <c r="D16" i="2"/>
  <c r="G28" i="2"/>
  <c r="I17" i="3"/>
  <c r="H21" i="18"/>
  <c r="G12" i="1"/>
  <c r="G13" i="1" s="1"/>
  <c r="G11" i="17" s="1"/>
  <c r="G4" i="18" s="1"/>
  <c r="J15" i="1"/>
  <c r="H16" i="3"/>
  <c r="C16" i="2"/>
  <c r="D24" i="2"/>
  <c r="D17" i="17" s="1"/>
  <c r="F13" i="3"/>
  <c r="H12" i="1"/>
  <c r="H13" i="1" s="1"/>
  <c r="H11" i="17" s="1"/>
  <c r="H4" i="18" s="1"/>
  <c r="K12" i="3"/>
  <c r="L4" i="1"/>
  <c r="L21" i="18" s="1"/>
  <c r="F12" i="1"/>
  <c r="F19" i="1" s="1"/>
  <c r="G13" i="3"/>
  <c r="I5" i="3"/>
  <c r="G5" i="3"/>
  <c r="F5" i="1"/>
  <c r="F4" i="17" s="1"/>
  <c r="E15" i="18" s="1"/>
  <c r="H22" i="2"/>
  <c r="H15" i="17" s="1"/>
  <c r="C19" i="1"/>
  <c r="C23" i="1" s="1"/>
  <c r="C27" i="18"/>
  <c r="H5" i="4"/>
  <c r="H8" i="17" s="1"/>
  <c r="J13" i="3"/>
  <c r="L16" i="1"/>
  <c r="F13" i="9"/>
  <c r="K16" i="3"/>
  <c r="H5" i="26"/>
  <c r="F49" i="1"/>
  <c r="F20" i="18"/>
  <c r="F36" i="18" s="1"/>
  <c r="F21" i="18"/>
  <c r="F85" i="18" s="1"/>
  <c r="G49" i="1"/>
  <c r="I49" i="1"/>
  <c r="J16" i="3"/>
  <c r="K28" i="2"/>
  <c r="G19" i="17"/>
  <c r="L6" i="4"/>
  <c r="F9" i="4"/>
  <c r="F12" i="3"/>
  <c r="J25" i="2"/>
  <c r="J18" i="17" s="1"/>
  <c r="K5" i="4"/>
  <c r="K8" i="17" s="1"/>
  <c r="D9" i="4"/>
  <c r="J12" i="3"/>
  <c r="B23" i="2"/>
  <c r="B16" i="17" s="1"/>
  <c r="E12" i="1"/>
  <c r="G24" i="2"/>
  <c r="G17" i="17" s="1"/>
  <c r="F19" i="17"/>
  <c r="F22" i="2"/>
  <c r="F15" i="17" s="1"/>
  <c r="G17" i="3"/>
  <c r="J12" i="1"/>
  <c r="J13" i="1" s="1"/>
  <c r="J11" i="17" s="1"/>
  <c r="J4" i="18" s="1"/>
  <c r="F5" i="3"/>
  <c r="F25" i="2"/>
  <c r="F18" i="17" s="1"/>
  <c r="E22" i="2"/>
  <c r="E15" i="17" s="1"/>
  <c r="M4" i="12"/>
  <c r="J5" i="1"/>
  <c r="J4" i="17" s="1"/>
  <c r="I15" i="18" s="1"/>
  <c r="L7" i="4"/>
  <c r="L14" i="1"/>
  <c r="I22" i="2"/>
  <c r="I15" i="17" s="1"/>
  <c r="G7" i="26"/>
  <c r="K27" i="18"/>
  <c r="F16" i="3"/>
  <c r="G15" i="1"/>
  <c r="I5" i="1"/>
  <c r="I4" i="17" s="1"/>
  <c r="H15" i="18" s="1"/>
  <c r="J21" i="18"/>
  <c r="J85" i="18" s="1"/>
  <c r="B17" i="3"/>
  <c r="B15" i="1"/>
  <c r="B25" i="2"/>
  <c r="B18" i="17" s="1"/>
  <c r="H12" i="3"/>
  <c r="C3" i="22"/>
  <c r="C21" i="22"/>
  <c r="C52" i="22"/>
  <c r="C33" i="22"/>
  <c r="B1" i="23"/>
  <c r="G14" i="18"/>
  <c r="H20" i="18"/>
  <c r="I5" i="4"/>
  <c r="I8" i="17" s="1"/>
  <c r="I9" i="4"/>
  <c r="L4" i="4"/>
  <c r="I27" i="18"/>
  <c r="J5" i="4"/>
  <c r="J8" i="17" s="1"/>
  <c r="A2" i="2"/>
  <c r="A2" i="4" s="1"/>
  <c r="A2" i="17"/>
  <c r="B3" i="8"/>
  <c r="E3" i="8" s="1"/>
  <c r="A1" i="3"/>
  <c r="L8" i="4"/>
  <c r="J14" i="18"/>
  <c r="K20" i="18"/>
  <c r="E20" i="18"/>
  <c r="D14" i="18"/>
  <c r="C14" i="18"/>
  <c r="D20" i="18"/>
  <c r="D28" i="2"/>
  <c r="B9" i="4"/>
  <c r="B49" i="1"/>
  <c r="B24" i="2"/>
  <c r="B17" i="17" s="1"/>
  <c r="B22" i="2"/>
  <c r="B15" i="17" s="1"/>
  <c r="I7" i="26"/>
  <c r="J3" i="26"/>
  <c r="I20" i="18"/>
  <c r="H14" i="18"/>
  <c r="L17" i="1"/>
  <c r="E19" i="17"/>
  <c r="B31" i="18"/>
  <c r="B36" i="18"/>
  <c r="H25" i="2"/>
  <c r="C25" i="2"/>
  <c r="C18" i="17" s="1"/>
  <c r="C19" i="17"/>
  <c r="B10" i="12"/>
  <c r="B13" i="12" s="1"/>
  <c r="B15" i="12" s="1"/>
  <c r="B7" i="10" s="1"/>
  <c r="K5" i="12"/>
  <c r="L4" i="12"/>
  <c r="B27" i="15"/>
  <c r="J20" i="18"/>
  <c r="I14" i="18"/>
  <c r="I13" i="3"/>
  <c r="I12" i="3"/>
  <c r="F14" i="18"/>
  <c r="G20" i="18"/>
  <c r="B11" i="11"/>
  <c r="K19" i="17"/>
  <c r="I19" i="17"/>
  <c r="I25" i="2"/>
  <c r="I18" i="17" s="1"/>
  <c r="E16" i="2"/>
  <c r="D49" i="1"/>
  <c r="C23" i="2"/>
  <c r="C16" i="17" s="1"/>
  <c r="C49" i="1"/>
  <c r="C24" i="2"/>
  <c r="C17" i="17" s="1"/>
  <c r="C9" i="4"/>
  <c r="D5" i="1"/>
  <c r="D4" i="17" s="1"/>
  <c r="C15" i="18" s="1"/>
  <c r="C5" i="1"/>
  <c r="C4" i="17" s="1"/>
  <c r="B15" i="18" s="1"/>
  <c r="B14" i="18"/>
  <c r="C20" i="18"/>
  <c r="J49" i="1"/>
  <c r="J82" i="18" l="1"/>
  <c r="C21" i="1"/>
  <c r="C12" i="17" s="1"/>
  <c r="C5" i="18" s="1"/>
  <c r="K45" i="18"/>
  <c r="K85" i="18"/>
  <c r="C45" i="18"/>
  <c r="C85" i="18"/>
  <c r="H85" i="18"/>
  <c r="I45" i="18"/>
  <c r="I85" i="18"/>
  <c r="C27" i="2"/>
  <c r="C22" i="17" s="1"/>
  <c r="C11" i="18" s="1"/>
  <c r="C24" i="1"/>
  <c r="C26" i="1" s="1"/>
  <c r="C13" i="17" s="1"/>
  <c r="C6" i="18" s="1"/>
  <c r="K82" i="18"/>
  <c r="H82" i="18"/>
  <c r="I82" i="18"/>
  <c r="F82" i="18"/>
  <c r="G82" i="18"/>
  <c r="I19" i="1"/>
  <c r="I24" i="1" s="1"/>
  <c r="F9" i="26"/>
  <c r="L12" i="1"/>
  <c r="L13" i="1" s="1"/>
  <c r="E29" i="2"/>
  <c r="E9" i="26"/>
  <c r="F29" i="2"/>
  <c r="J29" i="2"/>
  <c r="G29" i="2"/>
  <c r="C18" i="1"/>
  <c r="C20" i="17" s="1"/>
  <c r="B24" i="1"/>
  <c r="B33" i="1" s="1"/>
  <c r="C20" i="1"/>
  <c r="C5" i="17" s="1"/>
  <c r="B16" i="18" s="1"/>
  <c r="B27" i="2"/>
  <c r="B22" i="17" s="1"/>
  <c r="B11" i="18" s="1"/>
  <c r="B18" i="1"/>
  <c r="B20" i="17" s="1"/>
  <c r="B23" i="1"/>
  <c r="F13" i="1"/>
  <c r="F11" i="17" s="1"/>
  <c r="F4" i="18" s="1"/>
  <c r="G38" i="1"/>
  <c r="J19" i="1"/>
  <c r="J22" i="18" s="1"/>
  <c r="I29" i="2"/>
  <c r="B13" i="1"/>
  <c r="B11" i="17" s="1"/>
  <c r="B4" i="18" s="1"/>
  <c r="L15" i="1"/>
  <c r="F26" i="18"/>
  <c r="F31" i="18"/>
  <c r="H19" i="1"/>
  <c r="H21" i="1" s="1"/>
  <c r="H12" i="17" s="1"/>
  <c r="H5" i="18" s="1"/>
  <c r="K29" i="2"/>
  <c r="D13" i="1"/>
  <c r="D11" i="17" s="1"/>
  <c r="D4" i="18" s="1"/>
  <c r="D19" i="1"/>
  <c r="H29" i="2"/>
  <c r="K13" i="1"/>
  <c r="K11" i="17" s="1"/>
  <c r="K4" i="18" s="1"/>
  <c r="K19" i="1"/>
  <c r="D39" i="1" s="1"/>
  <c r="G19" i="1"/>
  <c r="G20" i="1" s="1"/>
  <c r="G5" i="17" s="1"/>
  <c r="F16" i="18" s="1"/>
  <c r="B22" i="18"/>
  <c r="B21" i="1"/>
  <c r="B12" i="17" s="1"/>
  <c r="B5" i="18" s="1"/>
  <c r="M49" i="1"/>
  <c r="L49" i="1"/>
  <c r="E19" i="1"/>
  <c r="E13" i="1"/>
  <c r="E11" i="17" s="1"/>
  <c r="E4" i="18" s="1"/>
  <c r="C22" i="18"/>
  <c r="F23" i="1"/>
  <c r="F24" i="1"/>
  <c r="F21" i="1"/>
  <c r="F12" i="17" s="1"/>
  <c r="F5" i="18" s="1"/>
  <c r="F22" i="18"/>
  <c r="F27" i="2"/>
  <c r="F22" i="17" s="1"/>
  <c r="F11" i="18" s="1"/>
  <c r="F18" i="1"/>
  <c r="F20" i="17" s="1"/>
  <c r="D31" i="18"/>
  <c r="D36" i="18"/>
  <c r="D26" i="18"/>
  <c r="E26" i="18"/>
  <c r="E31" i="18"/>
  <c r="E36" i="18"/>
  <c r="J31" i="18"/>
  <c r="J36" i="18"/>
  <c r="J26" i="18"/>
  <c r="H18" i="17"/>
  <c r="B20" i="15"/>
  <c r="K36" i="18"/>
  <c r="K26" i="18"/>
  <c r="K31" i="18"/>
  <c r="I21" i="1"/>
  <c r="H31" i="18"/>
  <c r="H26" i="18"/>
  <c r="H36" i="18"/>
  <c r="C36" i="18"/>
  <c r="C31" i="18"/>
  <c r="C26" i="18"/>
  <c r="C10" i="4"/>
  <c r="C33" i="1"/>
  <c r="C26" i="2"/>
  <c r="C23" i="18"/>
  <c r="C27" i="1"/>
  <c r="C37" i="18" s="1"/>
  <c r="G36" i="18"/>
  <c r="G26" i="18"/>
  <c r="G31" i="18"/>
  <c r="I36" i="18"/>
  <c r="I26" i="18"/>
  <c r="I31" i="18"/>
  <c r="E38" i="22"/>
  <c r="G49" i="22"/>
  <c r="H47" i="22"/>
  <c r="F62" i="22"/>
  <c r="K44" i="22"/>
  <c r="J93" i="22"/>
  <c r="G54" i="22"/>
  <c r="G44" i="22"/>
  <c r="J57" i="22"/>
  <c r="H62" i="22"/>
  <c r="I55" i="22"/>
  <c r="J41" i="22"/>
  <c r="E55" i="22"/>
  <c r="F49" i="22"/>
  <c r="J38" i="22"/>
  <c r="L39" i="22"/>
  <c r="G48" i="22"/>
  <c r="K93" i="22"/>
  <c r="G50" i="22"/>
  <c r="L46" i="22"/>
  <c r="F55" i="22"/>
  <c r="K35" i="22"/>
  <c r="D56" i="22"/>
  <c r="L35" i="22"/>
  <c r="H45" i="22"/>
  <c r="C36" i="22"/>
  <c r="H59" i="22"/>
  <c r="D41" i="22"/>
  <c r="H35" i="22"/>
  <c r="H55" i="22"/>
  <c r="L57" i="22"/>
  <c r="G43" i="22"/>
  <c r="D43" i="22"/>
  <c r="J43" i="22"/>
  <c r="C38" i="22"/>
  <c r="F56" i="22"/>
  <c r="H92" i="22"/>
  <c r="I50" i="22"/>
  <c r="J40" i="22"/>
  <c r="F59" i="22"/>
  <c r="K42" i="22"/>
  <c r="F47" i="22"/>
  <c r="J39" i="22"/>
  <c r="I35" i="22"/>
  <c r="J59" i="22"/>
  <c r="C55" i="22"/>
  <c r="C56" i="22"/>
  <c r="G37" i="22"/>
  <c r="G59" i="22"/>
  <c r="F35" i="22"/>
  <c r="J55" i="22"/>
  <c r="D46" i="22"/>
  <c r="I46" i="22"/>
  <c r="L50" i="22"/>
  <c r="E37" i="22"/>
  <c r="K41" i="22"/>
  <c r="E43" i="22"/>
  <c r="F57" i="22"/>
  <c r="E49" i="22"/>
  <c r="G55" i="22"/>
  <c r="C40" i="22"/>
  <c r="D49" i="22"/>
  <c r="C46" i="22"/>
  <c r="J56" i="22"/>
  <c r="E36" i="22"/>
  <c r="D93" i="22"/>
  <c r="K43" i="22"/>
  <c r="L55" i="22"/>
  <c r="K49" i="22"/>
  <c r="L59" i="22"/>
  <c r="H44" i="22"/>
  <c r="H46" i="22"/>
  <c r="E45" i="22"/>
  <c r="K50" i="22"/>
  <c r="F48" i="22"/>
  <c r="D54" i="22"/>
  <c r="I40" i="22"/>
  <c r="K59" i="22"/>
  <c r="E57" i="22"/>
  <c r="F38" i="22"/>
  <c r="G57" i="22"/>
  <c r="K37" i="22"/>
  <c r="D44" i="22"/>
  <c r="C62" i="22"/>
  <c r="L62" i="22"/>
  <c r="H42" i="22"/>
  <c r="F36" i="22"/>
  <c r="I42" i="22"/>
  <c r="B53" i="22"/>
  <c r="I49" i="22"/>
  <c r="D59" i="22"/>
  <c r="D92" i="22"/>
  <c r="J92" i="22"/>
  <c r="K54" i="22"/>
  <c r="J49" i="22"/>
  <c r="J47" i="22"/>
  <c r="L44" i="22"/>
  <c r="H49" i="22"/>
  <c r="K36" i="22"/>
  <c r="E56" i="22"/>
  <c r="H50" i="22"/>
  <c r="F46" i="22"/>
  <c r="D39" i="22"/>
  <c r="F40" i="22"/>
  <c r="C50" i="22"/>
  <c r="J37" i="22"/>
  <c r="J46" i="22"/>
  <c r="E59" i="22"/>
  <c r="F43" i="22"/>
  <c r="C45" i="22"/>
  <c r="G93" i="22"/>
  <c r="L40" i="22"/>
  <c r="C59" i="22"/>
  <c r="E46" i="22"/>
  <c r="D45" i="22"/>
  <c r="K45" i="22"/>
  <c r="K55" i="22"/>
  <c r="G38" i="22"/>
  <c r="I59" i="22"/>
  <c r="L43" i="22"/>
  <c r="C48" i="22"/>
  <c r="G40" i="22"/>
  <c r="H57" i="22"/>
  <c r="C93" i="22"/>
  <c r="E39" i="22"/>
  <c r="K40" i="22"/>
  <c r="E40" i="22"/>
  <c r="E41" i="22"/>
  <c r="C37" i="22"/>
  <c r="L54" i="22"/>
  <c r="K47" i="22"/>
  <c r="G36" i="22"/>
  <c r="I62" i="22"/>
  <c r="C47" i="22"/>
  <c r="H93" i="22"/>
  <c r="C92" i="22"/>
  <c r="F50" i="22"/>
  <c r="E35" i="22"/>
  <c r="I47" i="22"/>
  <c r="L45" i="22"/>
  <c r="L93" i="22"/>
  <c r="E93" i="22"/>
  <c r="L49" i="22"/>
  <c r="C54" i="22"/>
  <c r="D55" i="22"/>
  <c r="I57" i="22"/>
  <c r="L41" i="22"/>
  <c r="G42" i="22"/>
  <c r="D42" i="22"/>
  <c r="F37" i="22"/>
  <c r="H41" i="22"/>
  <c r="E44" i="22"/>
  <c r="F45" i="22"/>
  <c r="D62" i="22"/>
  <c r="L38" i="22"/>
  <c r="H36" i="22"/>
  <c r="C35" i="22"/>
  <c r="J36" i="22"/>
  <c r="I45" i="22"/>
  <c r="H37" i="22"/>
  <c r="I54" i="22"/>
  <c r="L42" i="22"/>
  <c r="G62" i="22"/>
  <c r="D35" i="22"/>
  <c r="E54" i="22"/>
  <c r="I37" i="22"/>
  <c r="D38" i="22"/>
  <c r="I44" i="22"/>
  <c r="H38" i="22"/>
  <c r="J50" i="22"/>
  <c r="J42" i="22"/>
  <c r="I92" i="22"/>
  <c r="I48" i="22"/>
  <c r="G92" i="22"/>
  <c r="D57" i="22"/>
  <c r="K56" i="22"/>
  <c r="K39" i="22"/>
  <c r="G41" i="22"/>
  <c r="D36" i="22"/>
  <c r="K46" i="22"/>
  <c r="I93" i="22"/>
  <c r="H43" i="22"/>
  <c r="E42" i="22"/>
  <c r="H48" i="22"/>
  <c r="E92" i="22"/>
  <c r="C39" i="22"/>
  <c r="I36" i="22"/>
  <c r="C44" i="22"/>
  <c r="L36" i="22"/>
  <c r="D50" i="22"/>
  <c r="H40" i="22"/>
  <c r="D47" i="22"/>
  <c r="I38" i="22"/>
  <c r="I56" i="22"/>
  <c r="F41" i="22"/>
  <c r="L56" i="22"/>
  <c r="L47" i="22"/>
  <c r="F42" i="22"/>
  <c r="F93" i="22"/>
  <c r="J45" i="22"/>
  <c r="L48" i="22"/>
  <c r="J54" i="22"/>
  <c r="M94" i="22"/>
  <c r="J35" i="22"/>
  <c r="E50" i="22"/>
  <c r="L37" i="22"/>
  <c r="C41" i="22"/>
  <c r="E62" i="22"/>
  <c r="J44" i="22"/>
  <c r="F54" i="22"/>
  <c r="K48" i="22"/>
  <c r="F44" i="22"/>
  <c r="K92" i="22"/>
  <c r="I43" i="22"/>
  <c r="J62" i="22"/>
  <c r="K57" i="22"/>
  <c r="J48" i="22"/>
  <c r="G56" i="22"/>
  <c r="K62" i="22"/>
  <c r="F39" i="22"/>
  <c r="G46" i="22"/>
  <c r="C57" i="22"/>
  <c r="K38" i="22"/>
  <c r="E48" i="22"/>
  <c r="L92" i="22"/>
  <c r="G35" i="22"/>
  <c r="E47" i="22"/>
  <c r="C49" i="22"/>
  <c r="H56" i="22"/>
  <c r="I41" i="22"/>
  <c r="H54" i="22"/>
  <c r="H39" i="22"/>
  <c r="G45" i="22"/>
  <c r="I39" i="22"/>
  <c r="M92" i="22"/>
  <c r="C42" i="22"/>
  <c r="D40" i="22"/>
  <c r="D48" i="22"/>
  <c r="G47" i="22"/>
  <c r="D37" i="22"/>
  <c r="F92" i="22"/>
  <c r="G39" i="22"/>
  <c r="C43" i="22"/>
  <c r="B34" i="22"/>
  <c r="B12" i="22"/>
  <c r="B28" i="22"/>
  <c r="B4" i="22"/>
  <c r="B15" i="22"/>
  <c r="B5" i="22"/>
  <c r="B9" i="22"/>
  <c r="B7" i="22"/>
  <c r="B27" i="22"/>
  <c r="B6" i="22"/>
  <c r="B13" i="22"/>
  <c r="B26" i="22"/>
  <c r="B10" i="22"/>
  <c r="B19" i="22"/>
  <c r="B18" i="22"/>
  <c r="B17" i="22"/>
  <c r="B16" i="22"/>
  <c r="B22" i="22"/>
  <c r="B29" i="22"/>
  <c r="B25" i="22"/>
  <c r="B24" i="22"/>
  <c r="B14" i="22"/>
  <c r="B31" i="22"/>
  <c r="B8" i="22"/>
  <c r="B23" i="22"/>
  <c r="B30" i="22"/>
  <c r="B11" i="22"/>
  <c r="B57" i="23" l="1"/>
  <c r="B55" i="23"/>
  <c r="F95" i="22"/>
  <c r="E38" i="23" s="1"/>
  <c r="C19" i="23"/>
  <c r="D97" i="22"/>
  <c r="C41" i="23"/>
  <c r="C32" i="18" s="1"/>
  <c r="F52" i="18"/>
  <c r="D110" i="22"/>
  <c r="D74" i="22"/>
  <c r="D84" i="22"/>
  <c r="C32" i="23"/>
  <c r="C60" i="18" s="1"/>
  <c r="B39" i="23"/>
  <c r="B20" i="23"/>
  <c r="M95" i="22"/>
  <c r="G48" i="23"/>
  <c r="G17" i="23"/>
  <c r="H33" i="23"/>
  <c r="H61" i="18" s="1"/>
  <c r="G50" i="23"/>
  <c r="D52" i="18"/>
  <c r="G85" i="22"/>
  <c r="G96" i="22"/>
  <c r="G100" i="22" s="1"/>
  <c r="F42" i="23"/>
  <c r="F33" i="18" s="1"/>
  <c r="F34" i="23"/>
  <c r="I104" i="22"/>
  <c r="L95" i="22"/>
  <c r="K38" i="23" s="1"/>
  <c r="B51" i="23"/>
  <c r="F50" i="23"/>
  <c r="J51" i="23"/>
  <c r="K95" i="22"/>
  <c r="J38" i="23" s="1"/>
  <c r="E48" i="23"/>
  <c r="E17" i="23"/>
  <c r="B33" i="23"/>
  <c r="B61" i="18" s="1"/>
  <c r="K41" i="23"/>
  <c r="K32" i="18" s="1"/>
  <c r="K19" i="23"/>
  <c r="L97" i="22"/>
  <c r="M97" i="22" s="1"/>
  <c r="I34" i="23"/>
  <c r="J85" i="22"/>
  <c r="L104" i="22"/>
  <c r="I42" i="23"/>
  <c r="I33" i="18" s="1"/>
  <c r="J96" i="22"/>
  <c r="J100" i="22" s="1"/>
  <c r="I17" i="23"/>
  <c r="I48" i="23"/>
  <c r="E39" i="23"/>
  <c r="E20" i="23"/>
  <c r="K52" i="18"/>
  <c r="K50" i="23"/>
  <c r="E33" i="23"/>
  <c r="E61" i="18" s="1"/>
  <c r="H50" i="23"/>
  <c r="C52" i="18"/>
  <c r="H84" i="22"/>
  <c r="H110" i="22"/>
  <c r="H74" i="22"/>
  <c r="G32" i="23"/>
  <c r="G60" i="18" s="1"/>
  <c r="K5" i="23"/>
  <c r="H5" i="23"/>
  <c r="E95" i="22"/>
  <c r="D38" i="23" s="1"/>
  <c r="D20" i="23"/>
  <c r="D39" i="23"/>
  <c r="C5" i="23"/>
  <c r="F33" i="23"/>
  <c r="F61" i="18" s="1"/>
  <c r="J50" i="23"/>
  <c r="C51" i="23"/>
  <c r="G95" i="22"/>
  <c r="F38" i="23" s="1"/>
  <c r="I95" i="22"/>
  <c r="H38" i="23" s="1"/>
  <c r="I20" i="23"/>
  <c r="I39" i="23"/>
  <c r="H41" i="23"/>
  <c r="H32" i="18" s="1"/>
  <c r="H19" i="23"/>
  <c r="I97" i="22"/>
  <c r="D48" i="23"/>
  <c r="D17" i="23"/>
  <c r="C42" i="23"/>
  <c r="C33" i="18" s="1"/>
  <c r="C34" i="23"/>
  <c r="F104" i="22"/>
  <c r="D85" i="22"/>
  <c r="D96" i="22"/>
  <c r="D100" i="22" s="1"/>
  <c r="K20" i="23"/>
  <c r="K39" i="23"/>
  <c r="H17" i="23"/>
  <c r="H48" i="23"/>
  <c r="H97" i="22"/>
  <c r="G19" i="23"/>
  <c r="G41" i="23"/>
  <c r="G32" i="18" s="1"/>
  <c r="I5" i="23"/>
  <c r="B34" i="23"/>
  <c r="C96" i="22"/>
  <c r="C100" i="22" s="1"/>
  <c r="B42" i="23"/>
  <c r="B33" i="18" s="1"/>
  <c r="E104" i="22"/>
  <c r="G5" i="23"/>
  <c r="G33" i="23"/>
  <c r="G61" i="18" s="1"/>
  <c r="E41" i="23"/>
  <c r="E19" i="23"/>
  <c r="F97" i="22"/>
  <c r="C20" i="23"/>
  <c r="C39" i="23"/>
  <c r="F39" i="23"/>
  <c r="F20" i="23"/>
  <c r="K33" i="23"/>
  <c r="K61" i="18" s="1"/>
  <c r="H51" i="23"/>
  <c r="C49" i="23"/>
  <c r="B48" i="23"/>
  <c r="B53" i="23" s="1"/>
  <c r="B17" i="23"/>
  <c r="H52" i="18"/>
  <c r="E96" i="22"/>
  <c r="E100" i="22" s="1"/>
  <c r="G104" i="22"/>
  <c r="D42" i="23"/>
  <c r="D33" i="18" s="1"/>
  <c r="E85" i="22"/>
  <c r="D34" i="23"/>
  <c r="C95" i="22"/>
  <c r="B38" i="23" s="1"/>
  <c r="B52" i="18"/>
  <c r="F5" i="23"/>
  <c r="J52" i="18"/>
  <c r="K48" i="23"/>
  <c r="B6" i="24" s="1"/>
  <c r="K17" i="23"/>
  <c r="B41" i="23"/>
  <c r="B32" i="18" s="1"/>
  <c r="B19" i="23"/>
  <c r="C97" i="22"/>
  <c r="D33" i="23"/>
  <c r="D61" i="18" s="1"/>
  <c r="D32" i="23"/>
  <c r="D60" i="18" s="1"/>
  <c r="E84" i="22"/>
  <c r="E110" i="22"/>
  <c r="E74" i="22"/>
  <c r="K84" i="22"/>
  <c r="K74" i="22"/>
  <c r="J32" i="23"/>
  <c r="J60" i="18" s="1"/>
  <c r="K110" i="22"/>
  <c r="G51" i="23"/>
  <c r="G84" i="22"/>
  <c r="G110" i="22"/>
  <c r="F32" i="23"/>
  <c r="F60" i="18" s="1"/>
  <c r="G74" i="22"/>
  <c r="J49" i="23"/>
  <c r="L74" i="22"/>
  <c r="K32" i="23"/>
  <c r="K60" i="18" s="1"/>
  <c r="L110" i="22"/>
  <c r="L84" i="22"/>
  <c r="I41" i="23"/>
  <c r="I32" i="18" s="1"/>
  <c r="J97" i="22"/>
  <c r="I19" i="23"/>
  <c r="F84" i="22"/>
  <c r="E32" i="23"/>
  <c r="E60" i="18" s="1"/>
  <c r="F74" i="22"/>
  <c r="F110" i="22"/>
  <c r="D50" i="23"/>
  <c r="J5" i="23"/>
  <c r="I52" i="18"/>
  <c r="J17" i="23"/>
  <c r="J48" i="23"/>
  <c r="J95" i="22"/>
  <c r="I38" i="23" s="1"/>
  <c r="D95" i="22"/>
  <c r="C38" i="23" s="1"/>
  <c r="H20" i="23"/>
  <c r="H39" i="23"/>
  <c r="E5" i="23"/>
  <c r="G20" i="23"/>
  <c r="G39" i="23"/>
  <c r="J19" i="23"/>
  <c r="J41" i="23"/>
  <c r="K97" i="22"/>
  <c r="F51" i="23"/>
  <c r="D51" i="23"/>
  <c r="I110" i="22"/>
  <c r="I74" i="22"/>
  <c r="H32" i="23"/>
  <c r="H60" i="18" s="1"/>
  <c r="I84" i="22"/>
  <c r="C17" i="23"/>
  <c r="C48" i="23"/>
  <c r="K49" i="23"/>
  <c r="D5" i="23"/>
  <c r="I50" i="23"/>
  <c r="B32" i="23"/>
  <c r="B60" i="18" s="1"/>
  <c r="C110" i="22"/>
  <c r="F49" i="23"/>
  <c r="E51" i="23"/>
  <c r="J33" i="23"/>
  <c r="J61" i="18" s="1"/>
  <c r="D41" i="23"/>
  <c r="E97" i="22"/>
  <c r="E99" i="22" s="1"/>
  <c r="D19" i="23"/>
  <c r="I49" i="23"/>
  <c r="H104" i="22"/>
  <c r="F96" i="22"/>
  <c r="F100" i="22" s="1"/>
  <c r="E34" i="23"/>
  <c r="F85" i="22"/>
  <c r="E42" i="23"/>
  <c r="E33" i="18" s="1"/>
  <c r="G97" i="22"/>
  <c r="F41" i="23"/>
  <c r="F43" i="23" s="1"/>
  <c r="F34" i="18" s="1"/>
  <c r="F19" i="23"/>
  <c r="B50" i="23"/>
  <c r="B49" i="23"/>
  <c r="H42" i="23"/>
  <c r="H33" i="18" s="1"/>
  <c r="K104" i="22"/>
  <c r="H34" i="23"/>
  <c r="I85" i="22"/>
  <c r="I96" i="22"/>
  <c r="I100" i="22" s="1"/>
  <c r="E52" i="18"/>
  <c r="J20" i="23"/>
  <c r="J39" i="23"/>
  <c r="J84" i="22"/>
  <c r="J110" i="22"/>
  <c r="J74" i="22"/>
  <c r="I32" i="23"/>
  <c r="I60" i="18" s="1"/>
  <c r="H95" i="22"/>
  <c r="H99" i="22" s="1"/>
  <c r="E50" i="23"/>
  <c r="K51" i="23"/>
  <c r="G49" i="23"/>
  <c r="G81" i="18" s="1"/>
  <c r="G34" i="23"/>
  <c r="J104" i="22"/>
  <c r="H85" i="22"/>
  <c r="G42" i="23"/>
  <c r="G33" i="18" s="1"/>
  <c r="H96" i="22"/>
  <c r="H100" i="22" s="1"/>
  <c r="C33" i="23"/>
  <c r="C61" i="18" s="1"/>
  <c r="B5" i="23"/>
  <c r="L96" i="22"/>
  <c r="M96" i="22" s="1"/>
  <c r="M100" i="22" s="1"/>
  <c r="K42" i="23"/>
  <c r="K33" i="18" s="1"/>
  <c r="K34" i="23"/>
  <c r="L85" i="22"/>
  <c r="C50" i="23"/>
  <c r="J42" i="23"/>
  <c r="J33" i="18" s="1"/>
  <c r="K85" i="22"/>
  <c r="J34" i="23"/>
  <c r="K96" i="22"/>
  <c r="K100" i="22" s="1"/>
  <c r="E49" i="23"/>
  <c r="E81" i="18" s="1"/>
  <c r="D49" i="23"/>
  <c r="D81" i="18" s="1"/>
  <c r="I33" i="23"/>
  <c r="I61" i="18" s="1"/>
  <c r="H49" i="23"/>
  <c r="H81" i="18" s="1"/>
  <c r="I51" i="23"/>
  <c r="F17" i="23"/>
  <c r="F48" i="23"/>
  <c r="G52" i="18"/>
  <c r="I22" i="18"/>
  <c r="I27" i="2"/>
  <c r="I22" i="17" s="1"/>
  <c r="I11" i="18" s="1"/>
  <c r="I23" i="1"/>
  <c r="C25" i="1"/>
  <c r="C6" i="17" s="1"/>
  <c r="B17" i="18" s="1"/>
  <c r="L19" i="1"/>
  <c r="L24" i="1" s="1"/>
  <c r="B10" i="4"/>
  <c r="B26" i="2"/>
  <c r="B21" i="17" s="1"/>
  <c r="B10" i="18" s="1"/>
  <c r="I18" i="1"/>
  <c r="I20" i="17" s="1"/>
  <c r="N49" i="1"/>
  <c r="J23" i="1"/>
  <c r="J27" i="2"/>
  <c r="J22" i="17" s="1"/>
  <c r="J11" i="18" s="1"/>
  <c r="J20" i="1"/>
  <c r="J5" i="17" s="1"/>
  <c r="I16" i="18" s="1"/>
  <c r="J21" i="1"/>
  <c r="J12" i="17" s="1"/>
  <c r="J5" i="18" s="1"/>
  <c r="H27" i="2"/>
  <c r="H22" i="17" s="1"/>
  <c r="H11" i="18" s="1"/>
  <c r="H22" i="18"/>
  <c r="I20" i="1"/>
  <c r="I5" i="17" s="1"/>
  <c r="H16" i="18" s="1"/>
  <c r="J18" i="1"/>
  <c r="J20" i="17" s="1"/>
  <c r="H23" i="1"/>
  <c r="J24" i="1"/>
  <c r="H24" i="1"/>
  <c r="H26" i="2" s="1"/>
  <c r="H6" i="12" s="1"/>
  <c r="B27" i="1"/>
  <c r="B23" i="18"/>
  <c r="B26" i="1"/>
  <c r="B13" i="17" s="1"/>
  <c r="B6" i="18" s="1"/>
  <c r="K20" i="1"/>
  <c r="K5" i="17" s="1"/>
  <c r="J16" i="18" s="1"/>
  <c r="L21" i="1"/>
  <c r="H18" i="1"/>
  <c r="H20" i="17" s="1"/>
  <c r="E39" i="1"/>
  <c r="G27" i="2"/>
  <c r="G22" i="17" s="1"/>
  <c r="G11" i="18" s="1"/>
  <c r="G22" i="18"/>
  <c r="G24" i="1"/>
  <c r="G23" i="1"/>
  <c r="G21" i="1"/>
  <c r="G12" i="17" s="1"/>
  <c r="G5" i="18" s="1"/>
  <c r="G18" i="1"/>
  <c r="G20" i="17" s="1"/>
  <c r="K24" i="1"/>
  <c r="D41" i="1" s="1"/>
  <c r="K27" i="2"/>
  <c r="K22" i="17" s="1"/>
  <c r="K11" i="18" s="1"/>
  <c r="K18" i="1"/>
  <c r="K20" i="17" s="1"/>
  <c r="B39" i="1"/>
  <c r="B18" i="15" s="1"/>
  <c r="K22" i="18"/>
  <c r="F14" i="9"/>
  <c r="K21" i="1"/>
  <c r="K12" i="17" s="1"/>
  <c r="K5" i="18" s="1"/>
  <c r="K23" i="1"/>
  <c r="C39" i="1"/>
  <c r="H20" i="1"/>
  <c r="H5" i="17" s="1"/>
  <c r="G16" i="18" s="1"/>
  <c r="D21" i="1"/>
  <c r="D12" i="17" s="1"/>
  <c r="D5" i="18" s="1"/>
  <c r="D24" i="1"/>
  <c r="D18" i="1"/>
  <c r="D20" i="17" s="1"/>
  <c r="D23" i="1"/>
  <c r="D27" i="2"/>
  <c r="D22" i="17" s="1"/>
  <c r="D11" i="18" s="1"/>
  <c r="D22" i="18"/>
  <c r="D20" i="1"/>
  <c r="D5" i="17" s="1"/>
  <c r="C16" i="18" s="1"/>
  <c r="E18" i="1"/>
  <c r="E20" i="17" s="1"/>
  <c r="E24" i="1"/>
  <c r="F25" i="1" s="1"/>
  <c r="F6" i="17" s="1"/>
  <c r="E17" i="18" s="1"/>
  <c r="E22" i="18"/>
  <c r="E21" i="1"/>
  <c r="E20" i="1"/>
  <c r="E5" i="17" s="1"/>
  <c r="D16" i="18" s="1"/>
  <c r="E27" i="2"/>
  <c r="E22" i="17" s="1"/>
  <c r="E11" i="18" s="1"/>
  <c r="E23" i="1"/>
  <c r="F20" i="1"/>
  <c r="F5" i="17" s="1"/>
  <c r="E16" i="18" s="1"/>
  <c r="F27" i="1"/>
  <c r="F37" i="18" s="1"/>
  <c r="F23" i="18"/>
  <c r="F10" i="4"/>
  <c r="F26" i="1"/>
  <c r="F13" i="17" s="1"/>
  <c r="F6" i="18" s="1"/>
  <c r="F33" i="1"/>
  <c r="F26" i="2"/>
  <c r="B43" i="23"/>
  <c r="C29" i="1"/>
  <c r="C41" i="18" s="1"/>
  <c r="I33" i="1"/>
  <c r="I27" i="1"/>
  <c r="I37" i="18" s="1"/>
  <c r="I23" i="18"/>
  <c r="I26" i="1"/>
  <c r="I13" i="17" s="1"/>
  <c r="I6" i="18" s="1"/>
  <c r="I26" i="2"/>
  <c r="I10" i="4"/>
  <c r="I12" i="17"/>
  <c r="I5" i="18" s="1"/>
  <c r="C6" i="12"/>
  <c r="C21" i="17"/>
  <c r="C10" i="18" s="1"/>
  <c r="J34" i="22"/>
  <c r="E34" i="22"/>
  <c r="C34" i="22"/>
  <c r="D22" i="22"/>
  <c r="I53" i="22"/>
  <c r="K11" i="22"/>
  <c r="E15" i="22"/>
  <c r="G19" i="22"/>
  <c r="J30" i="22"/>
  <c r="D14" i="22"/>
  <c r="I19" i="22"/>
  <c r="G4" i="22"/>
  <c r="L13" i="22"/>
  <c r="G9" i="22"/>
  <c r="I28" i="22"/>
  <c r="H15" i="22"/>
  <c r="G15" i="22"/>
  <c r="L25" i="22"/>
  <c r="E6" i="22"/>
  <c r="I14" i="22"/>
  <c r="L7" i="22"/>
  <c r="I8" i="22"/>
  <c r="D30" i="22"/>
  <c r="G14" i="22"/>
  <c r="F19" i="22"/>
  <c r="G13" i="22"/>
  <c r="G17" i="22"/>
  <c r="L17" i="22"/>
  <c r="C29" i="22"/>
  <c r="K14" i="22"/>
  <c r="F4" i="22"/>
  <c r="K5" i="22"/>
  <c r="J22" i="22"/>
  <c r="E24" i="22"/>
  <c r="H24" i="22"/>
  <c r="F24" i="22"/>
  <c r="D27" i="22"/>
  <c r="D7" i="22"/>
  <c r="G31" i="22"/>
  <c r="H31" i="22"/>
  <c r="I29" i="22"/>
  <c r="J12" i="22"/>
  <c r="C25" i="22"/>
  <c r="J23" i="22"/>
  <c r="D29" i="22"/>
  <c r="C4" i="22"/>
  <c r="G5" i="22"/>
  <c r="K31" i="22"/>
  <c r="F17" i="22"/>
  <c r="J24" i="22"/>
  <c r="E18" i="22"/>
  <c r="K29" i="22"/>
  <c r="F6" i="22"/>
  <c r="D17" i="22"/>
  <c r="J18" i="22"/>
  <c r="K25" i="22"/>
  <c r="I25" i="22"/>
  <c r="L28" i="22"/>
  <c r="D15" i="22"/>
  <c r="E17" i="22"/>
  <c r="I6" i="22"/>
  <c r="H17" i="22"/>
  <c r="E8" i="22"/>
  <c r="G24" i="22"/>
  <c r="F9" i="22"/>
  <c r="F23" i="22"/>
  <c r="G23" i="22"/>
  <c r="D4" i="22"/>
  <c r="D19" i="22"/>
  <c r="E27" i="22"/>
  <c r="I5" i="22"/>
  <c r="L8" i="22"/>
  <c r="K24" i="22"/>
  <c r="L24" i="22"/>
  <c r="C28" i="22"/>
  <c r="H34" i="22"/>
  <c r="L11" i="22"/>
  <c r="J26" i="22"/>
  <c r="J53" i="22"/>
  <c r="F15" i="22"/>
  <c r="E31" i="22"/>
  <c r="D25" i="22"/>
  <c r="J16" i="22"/>
  <c r="D8" i="22"/>
  <c r="H23" i="22"/>
  <c r="F53" i="22"/>
  <c r="L22" i="22"/>
  <c r="D6" i="22"/>
  <c r="C8" i="22"/>
  <c r="F34" i="22"/>
  <c r="I26" i="22"/>
  <c r="E10" i="22"/>
  <c r="G29" i="22"/>
  <c r="K28" i="22"/>
  <c r="C24" i="22"/>
  <c r="D31" i="22"/>
  <c r="E5" i="22"/>
  <c r="F12" i="22"/>
  <c r="E19" i="22"/>
  <c r="G10" i="22"/>
  <c r="H22" i="22"/>
  <c r="J5" i="22"/>
  <c r="K9" i="22"/>
  <c r="J6" i="22"/>
  <c r="K10" i="22"/>
  <c r="J17" i="22"/>
  <c r="H6" i="22"/>
  <c r="F25" i="22"/>
  <c r="H19" i="22"/>
  <c r="F10" i="22"/>
  <c r="L14" i="22"/>
  <c r="K17" i="22"/>
  <c r="J10" i="22"/>
  <c r="C9" i="22"/>
  <c r="I4" i="22"/>
  <c r="K6" i="22"/>
  <c r="H5" i="22"/>
  <c r="E53" i="22"/>
  <c r="D34" i="22"/>
  <c r="I34" i="22"/>
  <c r="L34" i="22"/>
  <c r="I18" i="22"/>
  <c r="H13" i="22"/>
  <c r="E13" i="22"/>
  <c r="G12" i="22"/>
  <c r="J28" i="22"/>
  <c r="I23" i="22"/>
  <c r="I10" i="22"/>
  <c r="J7" i="22"/>
  <c r="H9" i="22"/>
  <c r="D10" i="22"/>
  <c r="L5" i="22"/>
  <c r="K26" i="22"/>
  <c r="H14" i="22"/>
  <c r="C11" i="22"/>
  <c r="L53" i="22"/>
  <c r="J27" i="22"/>
  <c r="K53" i="22"/>
  <c r="E26" i="22"/>
  <c r="D12" i="22"/>
  <c r="F11" i="22"/>
  <c r="F13" i="22"/>
  <c r="C10" i="22"/>
  <c r="I30" i="22"/>
  <c r="F14" i="22"/>
  <c r="H29" i="22"/>
  <c r="L19" i="22"/>
  <c r="L4" i="22"/>
  <c r="E12" i="22"/>
  <c r="H27" i="22"/>
  <c r="H7" i="22"/>
  <c r="K4" i="22"/>
  <c r="F5" i="22"/>
  <c r="K16" i="22"/>
  <c r="K22" i="22"/>
  <c r="K15" i="22"/>
  <c r="G7" i="22"/>
  <c r="K27" i="22"/>
  <c r="K7" i="22"/>
  <c r="I17" i="22"/>
  <c r="E25" i="22"/>
  <c r="K8" i="22"/>
  <c r="I15" i="22"/>
  <c r="F28" i="22"/>
  <c r="I24" i="22"/>
  <c r="G25" i="22"/>
  <c r="J29" i="22"/>
  <c r="C15" i="22"/>
  <c r="J11" i="22"/>
  <c r="C53" i="22"/>
  <c r="K12" i="22"/>
  <c r="I31" i="22"/>
  <c r="H30" i="22"/>
  <c r="I12" i="22"/>
  <c r="C26" i="22"/>
  <c r="C5" i="22"/>
  <c r="L23" i="22"/>
  <c r="E22" i="22"/>
  <c r="E16" i="22"/>
  <c r="F31" i="22"/>
  <c r="L6" i="22"/>
  <c r="G28" i="22"/>
  <c r="J19" i="22"/>
  <c r="L31" i="22"/>
  <c r="C7" i="22"/>
  <c r="G34" i="22"/>
  <c r="D16" i="22"/>
  <c r="J13" i="22"/>
  <c r="C19" i="22"/>
  <c r="C18" i="22"/>
  <c r="I11" i="22"/>
  <c r="C31" i="22"/>
  <c r="D11" i="22"/>
  <c r="L16" i="22"/>
  <c r="C22" i="22"/>
  <c r="E14" i="22"/>
  <c r="E28" i="22"/>
  <c r="H10" i="22"/>
  <c r="C30" i="22"/>
  <c r="C16" i="22"/>
  <c r="G30" i="22"/>
  <c r="C17" i="22"/>
  <c r="J9" i="22"/>
  <c r="H25" i="22"/>
  <c r="H4" i="22"/>
  <c r="G6" i="22"/>
  <c r="K13" i="22"/>
  <c r="E4" i="22"/>
  <c r="K30" i="22"/>
  <c r="I13" i="22"/>
  <c r="H12" i="22"/>
  <c r="F30" i="22"/>
  <c r="L12" i="22"/>
  <c r="K19" i="22"/>
  <c r="J31" i="22"/>
  <c r="I9" i="22"/>
  <c r="G22" i="22"/>
  <c r="D28" i="22"/>
  <c r="K18" i="22"/>
  <c r="L30" i="22"/>
  <c r="L26" i="22"/>
  <c r="L18" i="22"/>
  <c r="J25" i="22"/>
  <c r="G27" i="22"/>
  <c r="D13" i="22"/>
  <c r="K23" i="22"/>
  <c r="F16" i="22"/>
  <c r="D53" i="22"/>
  <c r="E29" i="22"/>
  <c r="I27" i="22"/>
  <c r="D9" i="22"/>
  <c r="D26" i="22"/>
  <c r="G8" i="22"/>
  <c r="C12" i="22"/>
  <c r="J4" i="22"/>
  <c r="F18" i="22"/>
  <c r="G53" i="22"/>
  <c r="L27" i="22"/>
  <c r="G11" i="22"/>
  <c r="D24" i="22"/>
  <c r="K34" i="22"/>
  <c r="H11" i="22"/>
  <c r="C6" i="22"/>
  <c r="E23" i="22"/>
  <c r="H53" i="22"/>
  <c r="E11" i="22"/>
  <c r="H28" i="22"/>
  <c r="H18" i="22"/>
  <c r="F7" i="22"/>
  <c r="D23" i="22"/>
  <c r="I7" i="22"/>
  <c r="J14" i="22"/>
  <c r="E9" i="22"/>
  <c r="F8" i="22"/>
  <c r="E30" i="22"/>
  <c r="H26" i="22"/>
  <c r="J15" i="22"/>
  <c r="H8" i="22"/>
  <c r="H16" i="22"/>
  <c r="G16" i="22"/>
  <c r="E7" i="22"/>
  <c r="F26" i="22"/>
  <c r="G26" i="22"/>
  <c r="F29" i="22"/>
  <c r="C27" i="22"/>
  <c r="L15" i="22"/>
  <c r="L9" i="22"/>
  <c r="C14" i="22"/>
  <c r="G18" i="22"/>
  <c r="L29" i="22"/>
  <c r="F27" i="22"/>
  <c r="F22" i="22"/>
  <c r="L10" i="22"/>
  <c r="D5" i="22"/>
  <c r="I16" i="22"/>
  <c r="J8" i="22"/>
  <c r="C13" i="22"/>
  <c r="D18" i="22"/>
  <c r="I22" i="22"/>
  <c r="C23" i="22"/>
  <c r="L38" i="23" l="1"/>
  <c r="B58" i="23"/>
  <c r="B59" i="23" s="1"/>
  <c r="J81" i="18"/>
  <c r="J84" i="18" s="1"/>
  <c r="C62" i="18"/>
  <c r="B62" i="18"/>
  <c r="F62" i="18"/>
  <c r="G62" i="18"/>
  <c r="K99" i="22"/>
  <c r="D62" i="18"/>
  <c r="G99" i="22"/>
  <c r="S5" i="23"/>
  <c r="D99" i="22"/>
  <c r="K62" i="18"/>
  <c r="Q5" i="23"/>
  <c r="H62" i="18"/>
  <c r="L100" i="22"/>
  <c r="F81" i="18"/>
  <c r="F84" i="18" s="1"/>
  <c r="I99" i="22"/>
  <c r="I81" i="18"/>
  <c r="I84" i="18" s="1"/>
  <c r="D43" i="23"/>
  <c r="D34" i="18" s="1"/>
  <c r="C99" i="22"/>
  <c r="I62" i="18"/>
  <c r="M99" i="22"/>
  <c r="J43" i="23"/>
  <c r="J34" i="18" s="1"/>
  <c r="I43" i="23"/>
  <c r="I34" i="18" s="1"/>
  <c r="C43" i="23"/>
  <c r="C34" i="18" s="1"/>
  <c r="G38" i="23"/>
  <c r="B56" i="23"/>
  <c r="B6" i="29"/>
  <c r="J32" i="18"/>
  <c r="F32" i="18"/>
  <c r="J99" i="22"/>
  <c r="B81" i="18"/>
  <c r="B84" i="18" s="1"/>
  <c r="K81" i="18"/>
  <c r="K84" i="18" s="1"/>
  <c r="E43" i="23"/>
  <c r="E34" i="18" s="1"/>
  <c r="G43" i="23"/>
  <c r="G34" i="18" s="1"/>
  <c r="K43" i="23"/>
  <c r="B5" i="24" s="1"/>
  <c r="D32" i="18"/>
  <c r="J62" i="18"/>
  <c r="Q51" i="23"/>
  <c r="B8" i="24" s="1"/>
  <c r="T5" i="23"/>
  <c r="E62" i="18"/>
  <c r="F99" i="22"/>
  <c r="B62" i="23"/>
  <c r="B8" i="29" s="1"/>
  <c r="H43" i="23"/>
  <c r="H34" i="18" s="1"/>
  <c r="E32" i="18"/>
  <c r="R5" i="23"/>
  <c r="L99" i="22"/>
  <c r="C81" i="18"/>
  <c r="C83" i="18" s="1"/>
  <c r="L18" i="1"/>
  <c r="B34" i="18"/>
  <c r="L66" i="22"/>
  <c r="I66" i="22"/>
  <c r="H66" i="22"/>
  <c r="G66" i="22"/>
  <c r="K66" i="22"/>
  <c r="F66" i="22"/>
  <c r="J66" i="22"/>
  <c r="E66" i="22"/>
  <c r="D66" i="22"/>
  <c r="C66" i="22"/>
  <c r="L26" i="1"/>
  <c r="L23" i="18"/>
  <c r="L23" i="1"/>
  <c r="B23" i="15" s="1"/>
  <c r="L22" i="18"/>
  <c r="B29" i="1"/>
  <c r="B41" i="18" s="1"/>
  <c r="B37" i="18"/>
  <c r="C38" i="18" s="1"/>
  <c r="B6" i="12"/>
  <c r="L27" i="1"/>
  <c r="L37" i="18" s="1"/>
  <c r="K83" i="18"/>
  <c r="E83" i="18"/>
  <c r="E84" i="18"/>
  <c r="G83" i="18"/>
  <c r="G84" i="18"/>
  <c r="D83" i="18"/>
  <c r="D84" i="18"/>
  <c r="H83" i="18"/>
  <c r="H84" i="18"/>
  <c r="C51" i="18"/>
  <c r="C53" i="18" s="1"/>
  <c r="I51" i="18"/>
  <c r="I53" i="18" s="1"/>
  <c r="H51" i="18"/>
  <c r="H53" i="18" s="1"/>
  <c r="K53" i="18"/>
  <c r="G51" i="18"/>
  <c r="G53" i="18" s="1"/>
  <c r="F51" i="18"/>
  <c r="F53" i="18" s="1"/>
  <c r="J51" i="18"/>
  <c r="J53" i="18" s="1"/>
  <c r="E51" i="18"/>
  <c r="E53" i="18" s="1"/>
  <c r="D51" i="18"/>
  <c r="D53" i="18" s="1"/>
  <c r="B51" i="18"/>
  <c r="B53" i="18" s="1"/>
  <c r="B8" i="8"/>
  <c r="E8" i="8"/>
  <c r="F50" i="1"/>
  <c r="H27" i="1"/>
  <c r="C28" i="1"/>
  <c r="H10" i="4"/>
  <c r="H21" i="17"/>
  <c r="H10" i="18" s="1"/>
  <c r="I25" i="1"/>
  <c r="I6" i="17" s="1"/>
  <c r="H17" i="18" s="1"/>
  <c r="J26" i="2"/>
  <c r="J23" i="18"/>
  <c r="J26" i="1"/>
  <c r="J13" i="17" s="1"/>
  <c r="J6" i="18" s="1"/>
  <c r="J27" i="1"/>
  <c r="J33" i="1"/>
  <c r="J10" i="4"/>
  <c r="H33" i="1"/>
  <c r="J25" i="1"/>
  <c r="J6" i="17" s="1"/>
  <c r="I17" i="18" s="1"/>
  <c r="H26" i="1"/>
  <c r="H13" i="17" s="1"/>
  <c r="H6" i="18" s="1"/>
  <c r="H23" i="18"/>
  <c r="E40" i="1"/>
  <c r="K27" i="1"/>
  <c r="K37" i="18" s="1"/>
  <c r="K23" i="18"/>
  <c r="K26" i="2"/>
  <c r="K26" i="1"/>
  <c r="K13" i="17" s="1"/>
  <c r="K6" i="18" s="1"/>
  <c r="B41" i="1"/>
  <c r="B50" i="1"/>
  <c r="K10" i="4"/>
  <c r="C50" i="1"/>
  <c r="D50" i="1"/>
  <c r="K33" i="1"/>
  <c r="K25" i="1"/>
  <c r="K6" i="17" s="1"/>
  <c r="J17" i="18" s="1"/>
  <c r="H50" i="1"/>
  <c r="G50" i="1"/>
  <c r="E41" i="1"/>
  <c r="C41" i="1"/>
  <c r="B6" i="8"/>
  <c r="D10" i="4"/>
  <c r="D26" i="2"/>
  <c r="D27" i="1"/>
  <c r="D37" i="18" s="1"/>
  <c r="D38" i="18" s="1"/>
  <c r="D23" i="18"/>
  <c r="D33" i="1"/>
  <c r="D26" i="1"/>
  <c r="D13" i="17" s="1"/>
  <c r="D6" i="18" s="1"/>
  <c r="D25" i="1"/>
  <c r="D6" i="17" s="1"/>
  <c r="C17" i="18" s="1"/>
  <c r="G23" i="18"/>
  <c r="G26" i="1"/>
  <c r="G13" i="17" s="1"/>
  <c r="G6" i="18" s="1"/>
  <c r="G10" i="4"/>
  <c r="G33" i="1"/>
  <c r="G27" i="1"/>
  <c r="G37" i="18" s="1"/>
  <c r="G38" i="18" s="1"/>
  <c r="G26" i="2"/>
  <c r="G25" i="1"/>
  <c r="G6" i="17" s="1"/>
  <c r="F17" i="18" s="1"/>
  <c r="H25" i="1"/>
  <c r="H6" i="17" s="1"/>
  <c r="G17" i="18" s="1"/>
  <c r="I50" i="1"/>
  <c r="J50" i="1"/>
  <c r="D40" i="1"/>
  <c r="F29" i="1"/>
  <c r="F41" i="18" s="1"/>
  <c r="E12" i="17"/>
  <c r="E5" i="18" s="1"/>
  <c r="B40" i="1"/>
  <c r="C40" i="1"/>
  <c r="E23" i="18"/>
  <c r="E26" i="1"/>
  <c r="E13" i="17" s="1"/>
  <c r="E6" i="18" s="1"/>
  <c r="E10" i="4"/>
  <c r="E26" i="2"/>
  <c r="E50" i="1"/>
  <c r="E27" i="1"/>
  <c r="E37" i="18" s="1"/>
  <c r="E33" i="1"/>
  <c r="E25" i="1"/>
  <c r="E6" i="17" s="1"/>
  <c r="D17" i="18" s="1"/>
  <c r="F21" i="17"/>
  <c r="F10" i="18" s="1"/>
  <c r="F6" i="12"/>
  <c r="L81" i="22"/>
  <c r="B12" i="24" s="1"/>
  <c r="I35" i="23"/>
  <c r="D31" i="23"/>
  <c r="G73" i="22"/>
  <c r="G75" i="22" s="1"/>
  <c r="I80" i="22"/>
  <c r="F8" i="23"/>
  <c r="J69" i="22"/>
  <c r="I24" i="23"/>
  <c r="L103" i="22"/>
  <c r="L105" i="22" s="1"/>
  <c r="L82" i="22"/>
  <c r="I25" i="23"/>
  <c r="I12" i="23"/>
  <c r="J98" i="22"/>
  <c r="I37" i="23"/>
  <c r="E31" i="23"/>
  <c r="K29" i="23"/>
  <c r="L67" i="22"/>
  <c r="K3" i="23"/>
  <c r="G31" i="23"/>
  <c r="J73" i="22"/>
  <c r="J75" i="22" s="1"/>
  <c r="L80" i="22"/>
  <c r="H8" i="23"/>
  <c r="K25" i="23"/>
  <c r="B14" i="24" s="1"/>
  <c r="L98" i="22"/>
  <c r="K24" i="23"/>
  <c r="B13" i="24" s="1"/>
  <c r="L69" i="22"/>
  <c r="K12" i="23"/>
  <c r="K37" i="23"/>
  <c r="B10" i="23"/>
  <c r="B11" i="23" s="1"/>
  <c r="B7" i="18" s="1"/>
  <c r="B6" i="23"/>
  <c r="I31" i="23"/>
  <c r="J35" i="23"/>
  <c r="K80" i="22"/>
  <c r="I73" i="22"/>
  <c r="I75" i="22" s="1"/>
  <c r="I8" i="23"/>
  <c r="C31" i="23"/>
  <c r="G35" i="23"/>
  <c r="J81" i="22"/>
  <c r="H80" i="22"/>
  <c r="F73" i="22"/>
  <c r="F75" i="22" s="1"/>
  <c r="D8" i="23"/>
  <c r="H31" i="23"/>
  <c r="F35" i="23"/>
  <c r="I81" i="22"/>
  <c r="G80" i="22"/>
  <c r="E73" i="22"/>
  <c r="E75" i="22" s="1"/>
  <c r="M14" i="22"/>
  <c r="C6" i="23"/>
  <c r="C10" i="23"/>
  <c r="C11" i="23" s="1"/>
  <c r="C7" i="18" s="1"/>
  <c r="C23" i="23"/>
  <c r="K31" i="23"/>
  <c r="B35" i="23"/>
  <c r="C9" i="23"/>
  <c r="C45" i="23"/>
  <c r="M18" i="22"/>
  <c r="D3" i="23"/>
  <c r="E67" i="22"/>
  <c r="G83" i="22"/>
  <c r="D29" i="23"/>
  <c r="J23" i="23"/>
  <c r="J10" i="23"/>
  <c r="J11" i="23" s="1"/>
  <c r="J7" i="18" s="1"/>
  <c r="J6" i="23"/>
  <c r="J31" i="23"/>
  <c r="C35" i="23"/>
  <c r="F81" i="22"/>
  <c r="D45" i="23"/>
  <c r="D9" i="23"/>
  <c r="J67" i="22"/>
  <c r="L83" i="22"/>
  <c r="I29" i="23"/>
  <c r="I3" i="23"/>
  <c r="D12" i="23"/>
  <c r="D24" i="23"/>
  <c r="G103" i="22"/>
  <c r="G105" i="22" s="1"/>
  <c r="E98" i="22"/>
  <c r="G82" i="22"/>
  <c r="E69" i="22"/>
  <c r="D25" i="23"/>
  <c r="D37" i="23"/>
  <c r="F86" i="22"/>
  <c r="F10" i="23"/>
  <c r="F11" i="23" s="1"/>
  <c r="F7" i="18" s="1"/>
  <c r="F23" i="23"/>
  <c r="F6" i="23"/>
  <c r="B31" i="23"/>
  <c r="H81" i="22"/>
  <c r="E35" i="23"/>
  <c r="J9" i="23"/>
  <c r="J45" i="23"/>
  <c r="C67" i="22"/>
  <c r="B29" i="23"/>
  <c r="B3" i="23"/>
  <c r="F24" i="23"/>
  <c r="G98" i="22"/>
  <c r="F25" i="23"/>
  <c r="I82" i="22"/>
  <c r="G69" i="22"/>
  <c r="F12" i="23"/>
  <c r="I103" i="22"/>
  <c r="I105" i="22" s="1"/>
  <c r="F37" i="23"/>
  <c r="H86" i="22"/>
  <c r="G81" i="22"/>
  <c r="D35" i="23"/>
  <c r="E10" i="23"/>
  <c r="E11" i="23" s="1"/>
  <c r="E7" i="18" s="1"/>
  <c r="E23" i="23"/>
  <c r="E6" i="23"/>
  <c r="M5" i="22"/>
  <c r="L3" i="23" s="1"/>
  <c r="K35" i="23"/>
  <c r="H45" i="23"/>
  <c r="H9" i="23"/>
  <c r="J29" i="23"/>
  <c r="J3" i="23"/>
  <c r="J4" i="23" s="1"/>
  <c r="K67" i="22"/>
  <c r="K8" i="23"/>
  <c r="K69" i="22"/>
  <c r="J12" i="23"/>
  <c r="J25" i="23"/>
  <c r="J24" i="23"/>
  <c r="K98" i="22"/>
  <c r="J37" i="23"/>
  <c r="K86" i="22"/>
  <c r="G23" i="23"/>
  <c r="G6" i="23"/>
  <c r="G10" i="23"/>
  <c r="G11" i="23" s="1"/>
  <c r="G7" i="18" s="1"/>
  <c r="K81" i="22"/>
  <c r="H35" i="23"/>
  <c r="K45" i="23"/>
  <c r="K9" i="23"/>
  <c r="H29" i="23"/>
  <c r="H3" i="23"/>
  <c r="K83" i="22"/>
  <c r="I67" i="22"/>
  <c r="E8" i="23"/>
  <c r="K103" i="22"/>
  <c r="K105" i="22" s="1"/>
  <c r="I98" i="22"/>
  <c r="H24" i="23"/>
  <c r="H25" i="23"/>
  <c r="K82" i="22"/>
  <c r="H12" i="23"/>
  <c r="I69" i="22"/>
  <c r="H37" i="23"/>
  <c r="M15" i="22"/>
  <c r="L9" i="23" s="1"/>
  <c r="J86" i="22"/>
  <c r="F31" i="23"/>
  <c r="K73" i="22"/>
  <c r="K75" i="22" s="1"/>
  <c r="L86" i="22"/>
  <c r="H6" i="23"/>
  <c r="H23" i="23"/>
  <c r="H10" i="23"/>
  <c r="H11" i="23" s="1"/>
  <c r="H7" i="18" s="1"/>
  <c r="H73" i="22"/>
  <c r="H75" i="22" s="1"/>
  <c r="J80" i="22"/>
  <c r="F45" i="23"/>
  <c r="F9" i="23"/>
  <c r="H67" i="22"/>
  <c r="J83" i="22"/>
  <c r="G3" i="23"/>
  <c r="G29" i="23"/>
  <c r="B8" i="23"/>
  <c r="G24" i="23"/>
  <c r="G25" i="23"/>
  <c r="G12" i="23"/>
  <c r="J82" i="22"/>
  <c r="J103" i="22"/>
  <c r="J105" i="22" s="1"/>
  <c r="H69" i="22"/>
  <c r="H98" i="22"/>
  <c r="G37" i="23"/>
  <c r="I86" i="22"/>
  <c r="B9" i="23"/>
  <c r="B45" i="23"/>
  <c r="K23" i="23"/>
  <c r="K10" i="23"/>
  <c r="K11" i="23" s="1"/>
  <c r="B3" i="24" s="1"/>
  <c r="K6" i="23"/>
  <c r="D73" i="22"/>
  <c r="D75" i="22" s="1"/>
  <c r="F80" i="22"/>
  <c r="G45" i="23"/>
  <c r="G9" i="23"/>
  <c r="I83" i="22"/>
  <c r="F29" i="23"/>
  <c r="G67" i="22"/>
  <c r="F3" i="23"/>
  <c r="G8" i="23"/>
  <c r="C69" i="22"/>
  <c r="B25" i="23"/>
  <c r="E103" i="22"/>
  <c r="E105" i="22" s="1"/>
  <c r="B24" i="23"/>
  <c r="B12" i="23"/>
  <c r="B76" i="18" s="1"/>
  <c r="B77" i="18" s="1"/>
  <c r="C98" i="22"/>
  <c r="B37" i="23"/>
  <c r="I10" i="23"/>
  <c r="I11" i="23" s="1"/>
  <c r="I7" i="18" s="1"/>
  <c r="I23" i="23"/>
  <c r="I6" i="23"/>
  <c r="L73" i="22"/>
  <c r="L75" i="22" s="1"/>
  <c r="E45" i="23"/>
  <c r="E9" i="23"/>
  <c r="M17" i="22"/>
  <c r="D67" i="22"/>
  <c r="C29" i="23"/>
  <c r="F83" i="22"/>
  <c r="C3" i="23"/>
  <c r="J8" i="23"/>
  <c r="C24" i="23"/>
  <c r="F82" i="22"/>
  <c r="C25" i="23"/>
  <c r="F103" i="22"/>
  <c r="F105" i="22" s="1"/>
  <c r="D98" i="22"/>
  <c r="D69" i="22"/>
  <c r="C12" i="23"/>
  <c r="C37" i="23"/>
  <c r="M13" i="22"/>
  <c r="L8" i="23" s="1"/>
  <c r="D23" i="23"/>
  <c r="D6" i="23"/>
  <c r="D10" i="23"/>
  <c r="D11" i="23" s="1"/>
  <c r="D7" i="18" s="1"/>
  <c r="I45" i="23"/>
  <c r="I9" i="23"/>
  <c r="E3" i="23"/>
  <c r="F67" i="22"/>
  <c r="E29" i="23"/>
  <c r="H83" i="22"/>
  <c r="C8" i="23"/>
  <c r="M16" i="22"/>
  <c r="E24" i="23"/>
  <c r="E12" i="23"/>
  <c r="F69" i="22"/>
  <c r="E25" i="23"/>
  <c r="F98" i="22"/>
  <c r="H82" i="22"/>
  <c r="H103" i="22"/>
  <c r="H105" i="22" s="1"/>
  <c r="E37" i="23"/>
  <c r="G86" i="22"/>
  <c r="I6" i="12"/>
  <c r="I21" i="17"/>
  <c r="I10" i="18" s="1"/>
  <c r="I29" i="1"/>
  <c r="I41" i="18" s="1"/>
  <c r="I28" i="1"/>
  <c r="J83" i="18" l="1"/>
  <c r="G76" i="18"/>
  <c r="G77" i="18" s="1"/>
  <c r="G13" i="23"/>
  <c r="D76" i="18"/>
  <c r="D77" i="18" s="1"/>
  <c r="D13" i="23"/>
  <c r="I76" i="18"/>
  <c r="I77" i="18" s="1"/>
  <c r="I13" i="23"/>
  <c r="J76" i="18"/>
  <c r="J77" i="18" s="1"/>
  <c r="J13" i="23"/>
  <c r="K76" i="18"/>
  <c r="K77" i="18" s="1"/>
  <c r="K13" i="23"/>
  <c r="B19" i="24" s="1"/>
  <c r="C76" i="18"/>
  <c r="C77" i="18" s="1"/>
  <c r="C13" i="23"/>
  <c r="H76" i="18"/>
  <c r="H77" i="18" s="1"/>
  <c r="H13" i="23"/>
  <c r="E76" i="18"/>
  <c r="E77" i="18" s="1"/>
  <c r="E13" i="23"/>
  <c r="F76" i="18"/>
  <c r="F77" i="18" s="1"/>
  <c r="F13" i="23"/>
  <c r="B25" i="24"/>
  <c r="B23" i="24"/>
  <c r="B24" i="24" s="1"/>
  <c r="B16" i="29"/>
  <c r="F83" i="18"/>
  <c r="I83" i="18"/>
  <c r="B83" i="18"/>
  <c r="K34" i="18"/>
  <c r="C84" i="18"/>
  <c r="B5" i="29"/>
  <c r="B3" i="29"/>
  <c r="C4" i="23"/>
  <c r="D4" i="23"/>
  <c r="F4" i="23"/>
  <c r="I4" i="23"/>
  <c r="G4" i="23"/>
  <c r="E4" i="23"/>
  <c r="K4" i="23"/>
  <c r="B18" i="24" s="1"/>
  <c r="H4" i="23"/>
  <c r="K43" i="1"/>
  <c r="L29" i="1"/>
  <c r="L41" i="18" s="1"/>
  <c r="H29" i="1"/>
  <c r="H41" i="18" s="1"/>
  <c r="H37" i="18"/>
  <c r="L38" i="18"/>
  <c r="J29" i="1"/>
  <c r="J41" i="18" s="1"/>
  <c r="J37" i="18"/>
  <c r="J38" i="18" s="1"/>
  <c r="E38" i="18"/>
  <c r="F38" i="18"/>
  <c r="K42" i="1"/>
  <c r="B10" i="8"/>
  <c r="B5" i="10" s="1"/>
  <c r="B64" i="23"/>
  <c r="B16" i="24" s="1"/>
  <c r="B63" i="23"/>
  <c r="B15" i="24" s="1"/>
  <c r="F26" i="23"/>
  <c r="F12" i="18"/>
  <c r="K26" i="23"/>
  <c r="K12" i="18"/>
  <c r="E26" i="23"/>
  <c r="E12" i="18"/>
  <c r="G26" i="23"/>
  <c r="G12" i="18"/>
  <c r="I26" i="23"/>
  <c r="I12" i="18"/>
  <c r="H26" i="23"/>
  <c r="H12" i="18"/>
  <c r="J26" i="23"/>
  <c r="J12" i="18"/>
  <c r="D26" i="23"/>
  <c r="D12" i="18"/>
  <c r="E43" i="1"/>
  <c r="J28" i="1"/>
  <c r="B43" i="1"/>
  <c r="E6" i="8"/>
  <c r="E10" i="8" s="1"/>
  <c r="C5" i="10" s="1"/>
  <c r="J6" i="12"/>
  <c r="J21" i="17"/>
  <c r="J10" i="18" s="1"/>
  <c r="L50" i="1"/>
  <c r="B30" i="15" s="1"/>
  <c r="C31" i="15" s="1"/>
  <c r="G43" i="1"/>
  <c r="B29" i="15" s="1"/>
  <c r="G41" i="1"/>
  <c r="G21" i="17"/>
  <c r="G10" i="18" s="1"/>
  <c r="G6" i="12"/>
  <c r="M50" i="1"/>
  <c r="D29" i="1"/>
  <c r="D41" i="18" s="1"/>
  <c r="D28" i="1"/>
  <c r="B21" i="15"/>
  <c r="D6" i="12"/>
  <c r="D21" i="17"/>
  <c r="D10" i="18" s="1"/>
  <c r="K21" i="17"/>
  <c r="K10" i="18" s="1"/>
  <c r="K6" i="12"/>
  <c r="J43" i="1"/>
  <c r="D29" i="15" s="1"/>
  <c r="K29" i="1"/>
  <c r="K41" i="18" s="1"/>
  <c r="K28" i="1"/>
  <c r="I43" i="1"/>
  <c r="G28" i="1"/>
  <c r="O27" i="1"/>
  <c r="N27" i="1"/>
  <c r="G29" i="1"/>
  <c r="H28" i="1"/>
  <c r="B34" i="1"/>
  <c r="D43" i="1"/>
  <c r="H43" i="1"/>
  <c r="C29" i="15" s="1"/>
  <c r="E21" i="17"/>
  <c r="E10" i="18" s="1"/>
  <c r="E6" i="12"/>
  <c r="E29" i="1"/>
  <c r="E41" i="18" s="1"/>
  <c r="E28" i="1"/>
  <c r="C43" i="1"/>
  <c r="F28" i="1"/>
  <c r="B11" i="29"/>
  <c r="I7" i="23"/>
  <c r="U3" i="23"/>
  <c r="J7" i="23"/>
  <c r="I68" i="22"/>
  <c r="H40" i="18" s="1"/>
  <c r="H7" i="23"/>
  <c r="G68" i="22"/>
  <c r="F40" i="18" s="1"/>
  <c r="I79" i="22"/>
  <c r="H39" i="18" s="1"/>
  <c r="E7" i="23"/>
  <c r="E68" i="22"/>
  <c r="D40" i="18" s="1"/>
  <c r="K79" i="22"/>
  <c r="J22" i="23" s="1"/>
  <c r="K7" i="18"/>
  <c r="F79" i="22"/>
  <c r="G79" i="22"/>
  <c r="F36" i="23"/>
  <c r="F24" i="18"/>
  <c r="D68" i="22"/>
  <c r="C40" i="18" s="1"/>
  <c r="D27" i="23"/>
  <c r="D14" i="23"/>
  <c r="D46" i="23"/>
  <c r="D7" i="23"/>
  <c r="F30" i="23"/>
  <c r="F15" i="23"/>
  <c r="G18" i="23"/>
  <c r="G52" i="23" s="1"/>
  <c r="G53" i="23" s="1"/>
  <c r="G11" i="4"/>
  <c r="G12" i="4" s="1"/>
  <c r="I30" i="23"/>
  <c r="I15" i="23"/>
  <c r="M98" i="22"/>
  <c r="L12" i="23"/>
  <c r="L37" i="23"/>
  <c r="L70" i="22"/>
  <c r="I46" i="23"/>
  <c r="I27" i="23"/>
  <c r="I14" i="23"/>
  <c r="D30" i="23"/>
  <c r="D15" i="23"/>
  <c r="K14" i="23"/>
  <c r="B2" i="24" s="1"/>
  <c r="K27" i="23"/>
  <c r="K46" i="23"/>
  <c r="B4" i="24" s="1"/>
  <c r="H70" i="22"/>
  <c r="D36" i="23"/>
  <c r="D24" i="18"/>
  <c r="E36" i="23"/>
  <c r="E24" i="18"/>
  <c r="E18" i="23"/>
  <c r="E52" i="23" s="1"/>
  <c r="E53" i="23" s="1"/>
  <c r="E11" i="4"/>
  <c r="E12" i="4" s="1"/>
  <c r="E27" i="23"/>
  <c r="E46" i="23"/>
  <c r="E14" i="23"/>
  <c r="C27" i="23"/>
  <c r="C14" i="23"/>
  <c r="C46" i="23"/>
  <c r="K18" i="23"/>
  <c r="K52" i="23" s="1"/>
  <c r="K53" i="23" s="1"/>
  <c r="K11" i="4"/>
  <c r="K12" i="4" s="1"/>
  <c r="G27" i="23"/>
  <c r="G14" i="23"/>
  <c r="G46" i="23"/>
  <c r="H30" i="23"/>
  <c r="H15" i="23"/>
  <c r="J14" i="23"/>
  <c r="J27" i="23"/>
  <c r="J46" i="23"/>
  <c r="F7" i="23"/>
  <c r="G36" i="23"/>
  <c r="G24" i="18"/>
  <c r="D70" i="22"/>
  <c r="J18" i="23"/>
  <c r="J52" i="23" s="1"/>
  <c r="J53" i="23" s="1"/>
  <c r="J11" i="4"/>
  <c r="J12" i="4" s="1"/>
  <c r="K70" i="22"/>
  <c r="J70" i="22"/>
  <c r="L6" i="23"/>
  <c r="L10" i="23"/>
  <c r="L11" i="23" s="1"/>
  <c r="F14" i="23"/>
  <c r="F27" i="23"/>
  <c r="F46" i="23"/>
  <c r="B36" i="23"/>
  <c r="B24" i="18"/>
  <c r="K68" i="22"/>
  <c r="J40" i="18" s="1"/>
  <c r="G70" i="22"/>
  <c r="C24" i="18"/>
  <c r="C36" i="23"/>
  <c r="C7" i="23"/>
  <c r="H79" i="22"/>
  <c r="C18" i="23"/>
  <c r="C52" i="23" s="1"/>
  <c r="C11" i="4"/>
  <c r="C12" i="4" s="1"/>
  <c r="H24" i="18"/>
  <c r="H36" i="23"/>
  <c r="J30" i="23"/>
  <c r="J15" i="23"/>
  <c r="H11" i="4"/>
  <c r="H12" i="4" s="1"/>
  <c r="H18" i="23"/>
  <c r="H52" i="23" s="1"/>
  <c r="H53" i="23" s="1"/>
  <c r="I11" i="4"/>
  <c r="I12" i="4" s="1"/>
  <c r="I18" i="23"/>
  <c r="I52" i="23" s="1"/>
  <c r="I53" i="23" s="1"/>
  <c r="Q4" i="23"/>
  <c r="K7" i="23"/>
  <c r="R4" i="23"/>
  <c r="T4" i="23"/>
  <c r="S4" i="23"/>
  <c r="G30" i="23"/>
  <c r="G15" i="23"/>
  <c r="F18" i="23"/>
  <c r="F52" i="23" s="1"/>
  <c r="F53" i="23" s="1"/>
  <c r="F11" i="4"/>
  <c r="F12" i="4" s="1"/>
  <c r="L79" i="22"/>
  <c r="F70" i="22"/>
  <c r="J68" i="22"/>
  <c r="I40" i="18" s="1"/>
  <c r="F68" i="22"/>
  <c r="E40" i="18" s="1"/>
  <c r="B61" i="23"/>
  <c r="B7" i="24" s="1"/>
  <c r="B27" i="23"/>
  <c r="B14" i="23"/>
  <c r="B46" i="23"/>
  <c r="J79" i="22"/>
  <c r="I70" i="22"/>
  <c r="E70" i="22"/>
  <c r="D18" i="23"/>
  <c r="D52" i="23" s="1"/>
  <c r="D53" i="23" s="1"/>
  <c r="D11" i="4"/>
  <c r="D12" i="4" s="1"/>
  <c r="J24" i="18"/>
  <c r="J36" i="23"/>
  <c r="S3" i="23"/>
  <c r="Q3" i="23"/>
  <c r="R3" i="23"/>
  <c r="T3" i="23"/>
  <c r="K30" i="23"/>
  <c r="B22" i="24" s="1"/>
  <c r="K15" i="23"/>
  <c r="E30" i="23"/>
  <c r="E15" i="23"/>
  <c r="H68" i="22"/>
  <c r="G40" i="18" s="1"/>
  <c r="H27" i="23"/>
  <c r="H46" i="23"/>
  <c r="H14" i="23"/>
  <c r="G7" i="23"/>
  <c r="L68" i="22"/>
  <c r="K40" i="18" s="1"/>
  <c r="I36" i="23"/>
  <c r="I24" i="18"/>
  <c r="C30" i="23"/>
  <c r="C15" i="23"/>
  <c r="K36" i="23"/>
  <c r="K24" i="18"/>
  <c r="B30" i="23"/>
  <c r="E16" i="23"/>
  <c r="D16" i="23"/>
  <c r="F16" i="23"/>
  <c r="K16" i="23"/>
  <c r="B16" i="23"/>
  <c r="H16" i="23"/>
  <c r="J16" i="23"/>
  <c r="B15" i="23"/>
  <c r="C16" i="23"/>
  <c r="I16" i="23"/>
  <c r="G16" i="23"/>
  <c r="B7" i="23"/>
  <c r="L14" i="23" l="1"/>
  <c r="C53" i="23"/>
  <c r="Q53" i="23" s="1"/>
  <c r="B10" i="24" s="1"/>
  <c r="Q52" i="23"/>
  <c r="B9" i="24" s="1"/>
  <c r="H38" i="18"/>
  <c r="I38" i="18"/>
  <c r="K38" i="18"/>
  <c r="I42" i="1"/>
  <c r="D55" i="1" s="1"/>
  <c r="D60" i="1" s="1"/>
  <c r="D64" i="1" s="1"/>
  <c r="G41" i="18"/>
  <c r="B22" i="15"/>
  <c r="N50" i="1"/>
  <c r="C30" i="15" s="1"/>
  <c r="O29" i="1"/>
  <c r="D42" i="1"/>
  <c r="H42" i="1"/>
  <c r="C54" i="1" s="1"/>
  <c r="C60" i="1" s="1"/>
  <c r="C64" i="1" s="1"/>
  <c r="G42" i="1"/>
  <c r="B54" i="1" s="1"/>
  <c r="I51" i="1"/>
  <c r="C42" i="1"/>
  <c r="E42" i="1"/>
  <c r="P27" i="1"/>
  <c r="E51" i="1"/>
  <c r="J42" i="1"/>
  <c r="H51" i="1"/>
  <c r="B51" i="1"/>
  <c r="D51" i="1"/>
  <c r="C51" i="1"/>
  <c r="J51" i="1"/>
  <c r="F51" i="1"/>
  <c r="C32" i="15"/>
  <c r="C33" i="15" s="1" a="1"/>
  <c r="C33" i="15" s="1"/>
  <c r="G51" i="1"/>
  <c r="N29" i="1"/>
  <c r="D61" i="1"/>
  <c r="G64" i="1" s="1"/>
  <c r="D56" i="1"/>
  <c r="B42" i="1"/>
  <c r="B13" i="29"/>
  <c r="B7" i="29"/>
  <c r="B19" i="29"/>
  <c r="B14" i="29"/>
  <c r="B4" i="29"/>
  <c r="B2" i="29"/>
  <c r="H22" i="23"/>
  <c r="J39" i="18"/>
  <c r="I39" i="18"/>
  <c r="I22" i="23"/>
  <c r="F28" i="18"/>
  <c r="F14" i="4"/>
  <c r="F9" i="17" s="1"/>
  <c r="F23" i="17"/>
  <c r="F15" i="4"/>
  <c r="F16" i="4"/>
  <c r="K16" i="4"/>
  <c r="K15" i="4"/>
  <c r="K14" i="4"/>
  <c r="K9" i="17" s="1"/>
  <c r="F15" i="9"/>
  <c r="K23" i="17"/>
  <c r="K28" i="18"/>
  <c r="B11" i="24" s="1"/>
  <c r="B24" i="15"/>
  <c r="C23" i="17"/>
  <c r="L12" i="4"/>
  <c r="C14" i="4"/>
  <c r="C9" i="17" s="1"/>
  <c r="C28" i="18"/>
  <c r="C16" i="4"/>
  <c r="C15" i="4"/>
  <c r="J15" i="4"/>
  <c r="J28" i="18"/>
  <c r="J16" i="4"/>
  <c r="J23" i="17"/>
  <c r="J14" i="4"/>
  <c r="J9" i="17" s="1"/>
  <c r="K22" i="23"/>
  <c r="B21" i="24" s="1"/>
  <c r="K39" i="18"/>
  <c r="G22" i="23"/>
  <c r="G39" i="18"/>
  <c r="F39" i="18"/>
  <c r="F22" i="23"/>
  <c r="G15" i="4"/>
  <c r="G23" i="17"/>
  <c r="G14" i="4"/>
  <c r="G9" i="17" s="1"/>
  <c r="G28" i="18"/>
  <c r="G16" i="4"/>
  <c r="E22" i="23"/>
  <c r="E39" i="18"/>
  <c r="H23" i="17"/>
  <c r="H15" i="4"/>
  <c r="H14" i="4"/>
  <c r="H9" i="17" s="1"/>
  <c r="H16" i="4"/>
  <c r="H28" i="18"/>
  <c r="D28" i="18"/>
  <c r="D14" i="4"/>
  <c r="D9" i="17" s="1"/>
  <c r="D23" i="17"/>
  <c r="D16" i="4"/>
  <c r="D15" i="4"/>
  <c r="E28" i="18"/>
  <c r="E23" i="17"/>
  <c r="E14" i="4"/>
  <c r="E9" i="17" s="1"/>
  <c r="E15" i="4"/>
  <c r="E16" i="4"/>
  <c r="B13" i="4"/>
  <c r="I14" i="4"/>
  <c r="I9" i="17" s="1"/>
  <c r="I15" i="4"/>
  <c r="I16" i="4"/>
  <c r="I28" i="18"/>
  <c r="I23" i="17"/>
  <c r="U4" i="23"/>
  <c r="L7" i="23"/>
  <c r="C53" i="1" l="1"/>
  <c r="C56" i="1"/>
  <c r="C61" i="1"/>
  <c r="F64" i="1" s="1"/>
  <c r="B53" i="1"/>
  <c r="B60" i="1" s="1"/>
  <c r="B64" i="1" s="1"/>
  <c r="B56" i="1"/>
  <c r="B61" i="1"/>
  <c r="E64" i="1" s="1"/>
  <c r="P29" i="1"/>
  <c r="B17" i="29"/>
  <c r="B10" i="29"/>
  <c r="C8" i="9"/>
  <c r="B4" i="11"/>
  <c r="B14" i="11" s="1"/>
  <c r="J8" i="9"/>
  <c r="C36" i="15"/>
  <c r="C37" i="15" s="1"/>
  <c r="C38" i="15" s="1"/>
  <c r="C39" i="15" s="1"/>
  <c r="D36" i="15"/>
  <c r="D37" i="15" s="1"/>
  <c r="D38" i="15" s="1"/>
  <c r="D39" i="15" s="1"/>
  <c r="B36" i="15"/>
  <c r="B37" i="15" s="1"/>
  <c r="B38" i="15" s="1"/>
  <c r="B39" i="15" s="1"/>
  <c r="J9" i="9" l="1"/>
  <c r="K8" i="9"/>
  <c r="D14" i="11"/>
  <c r="B15" i="11"/>
  <c r="C9" i="9"/>
  <c r="D8" i="9"/>
  <c r="C10" i="9" l="1"/>
  <c r="D9" i="9"/>
  <c r="B16" i="11"/>
  <c r="D15" i="11"/>
  <c r="K9" i="9"/>
  <c r="J10" i="9"/>
  <c r="J11" i="9" l="1"/>
  <c r="K10" i="9"/>
  <c r="D16" i="11"/>
  <c r="B17" i="11"/>
  <c r="D10" i="9"/>
  <c r="C11" i="9"/>
  <c r="D11" i="9" l="1"/>
  <c r="C12" i="9"/>
  <c r="B18" i="11"/>
  <c r="D17" i="11"/>
  <c r="K11" i="9"/>
  <c r="J12" i="9"/>
  <c r="B19" i="11" l="1"/>
  <c r="D18" i="11"/>
  <c r="D12" i="9"/>
  <c r="C13" i="9"/>
  <c r="K12" i="9"/>
  <c r="J13" i="9"/>
  <c r="J14" i="9" l="1"/>
  <c r="K13" i="9"/>
  <c r="C14" i="9"/>
  <c r="D13" i="9"/>
  <c r="D19" i="11"/>
  <c r="B20" i="11"/>
  <c r="D20" i="11" l="1"/>
  <c r="B21" i="11"/>
  <c r="D14" i="9"/>
  <c r="C15" i="9"/>
  <c r="J15" i="9"/>
  <c r="K14" i="9"/>
  <c r="K15" i="9" l="1"/>
  <c r="J16" i="9"/>
  <c r="D15" i="9"/>
  <c r="C16" i="9"/>
  <c r="D21" i="11"/>
  <c r="B22" i="11"/>
  <c r="D22" i="11" l="1"/>
  <c r="B23" i="11"/>
  <c r="D16" i="9"/>
  <c r="C17" i="9"/>
  <c r="J17" i="9"/>
  <c r="K16" i="9"/>
  <c r="K17" i="9" l="1"/>
  <c r="J18" i="9"/>
  <c r="K18" i="9" s="1"/>
  <c r="D17" i="9"/>
  <c r="C18" i="9"/>
  <c r="D18" i="9" s="1"/>
  <c r="D23" i="11"/>
  <c r="B27" i="11" s="1"/>
  <c r="B26" i="11"/>
  <c r="B28" i="11" s="1"/>
  <c r="K19" i="9" l="1"/>
  <c r="C4" i="10" s="1"/>
  <c r="D19" i="9"/>
  <c r="B4" i="10" s="1"/>
  <c r="B29" i="11"/>
  <c r="K21" i="9" l="1"/>
  <c r="D21" i="9"/>
  <c r="B6" i="10"/>
  <c r="E4" i="11"/>
  <c r="E6" i="1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5" authorId="0" shapeId="0" xr:uid="{DD4F4B6D-75F5-48CC-B46C-42645F26135B}">
      <text>
        <r>
          <rPr>
            <b/>
            <sz val="9"/>
            <color indexed="81"/>
            <rFont val="Tahoma"/>
            <family val="2"/>
          </rPr>
          <t>Satyender Malik:</t>
        </r>
        <r>
          <rPr>
            <sz val="9"/>
            <color indexed="81"/>
            <rFont val="Tahoma"/>
            <family val="2"/>
          </rPr>
          <t xml:space="preserve">
Conversion of sales to profit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28" authorId="0" shapeId="0" xr:uid="{926BFADF-DE94-4277-AD22-911C9FCE287D}">
      <text>
        <r>
          <rPr>
            <b/>
            <sz val="9"/>
            <color indexed="81"/>
            <rFont val="Tahoma"/>
            <family val="2"/>
          </rPr>
          <t>Satyender Malik:</t>
        </r>
        <r>
          <rPr>
            <sz val="9"/>
            <color indexed="81"/>
            <rFont val="Tahoma"/>
            <family val="2"/>
          </rPr>
          <t xml:space="preserve">
Free Cash Flow (FCF) Caclulated by Dr Vijay 
</t>
        </r>
      </text>
    </comment>
    <comment ref="A29" authorId="0" shapeId="0" xr:uid="{9C78B9B5-B726-4B0E-8CD7-6397019A059C}">
      <text>
        <r>
          <rPr>
            <b/>
            <sz val="9"/>
            <color indexed="81"/>
            <rFont val="Tahoma"/>
            <family val="2"/>
          </rPr>
          <t>Satyender Malik:</t>
        </r>
        <r>
          <rPr>
            <sz val="9"/>
            <color indexed="81"/>
            <rFont val="Tahoma"/>
            <family val="2"/>
          </rPr>
          <t xml:space="preserve">
From Datasheet simply FCF=(CFO+CFI)
</t>
        </r>
      </text>
    </comment>
    <comment ref="A45" authorId="0" shapeId="0" xr:uid="{DD56E603-43E2-4BAC-9A3D-777752CDAAFF}">
      <text>
        <r>
          <rPr>
            <b/>
            <sz val="9"/>
            <color indexed="81"/>
            <rFont val="Tahoma"/>
            <family val="2"/>
          </rPr>
          <t>Satyender Malik:</t>
        </r>
        <r>
          <rPr>
            <sz val="9"/>
            <color indexed="81"/>
            <rFont val="Tahoma"/>
            <family val="2"/>
          </rPr>
          <t xml:space="preserve">
Cash conversion ratio = CFO/EBITDA </t>
        </r>
      </text>
    </comment>
    <comment ref="A47" authorId="0" shapeId="0" xr:uid="{EE1F2D22-CCF2-45C6-B91B-F8CC3EE71197}">
      <text>
        <r>
          <rPr>
            <b/>
            <sz val="9"/>
            <color indexed="81"/>
            <rFont val="Tahoma"/>
            <family val="2"/>
          </rPr>
          <t>Satyender Malik:</t>
        </r>
        <r>
          <rPr>
            <sz val="9"/>
            <color indexed="81"/>
            <rFont val="Tahoma"/>
            <family val="2"/>
          </rPr>
          <t xml:space="preserve">
to be filled from Annual reports- Do it before taking position in stocks</t>
        </r>
      </text>
    </comment>
    <comment ref="J47" authorId="0" shapeId="0" xr:uid="{9F5C3296-1E4F-4D2D-8DDB-C31E32EFA58E}">
      <text>
        <r>
          <rPr>
            <b/>
            <sz val="9"/>
            <color indexed="81"/>
            <rFont val="Tahoma"/>
            <family val="2"/>
          </rPr>
          <t>Satyender Malik:</t>
        </r>
        <r>
          <rPr>
            <sz val="9"/>
            <color indexed="81"/>
            <rFont val="Tahoma"/>
            <family val="2"/>
          </rPr>
          <t xml:space="preserve">
Manual entry from Annual report. These numbers are for Fine organics</t>
        </r>
      </text>
    </comment>
    <comment ref="A51" authorId="0" shapeId="0" xr:uid="{5EE6302D-E041-40AC-BB50-5310AE0D0056}">
      <text>
        <r>
          <rPr>
            <b/>
            <sz val="9"/>
            <color indexed="81"/>
            <rFont val="Tahoma"/>
            <family val="2"/>
          </rPr>
          <t>Satyender Malik:</t>
        </r>
        <r>
          <rPr>
            <sz val="9"/>
            <color indexed="81"/>
            <rFont val="Tahoma"/>
            <family val="2"/>
          </rPr>
          <t xml:space="preserve">
You will find this in PnL under other income section
</t>
        </r>
      </text>
    </comment>
    <comment ref="A75" authorId="0" shapeId="0" xr:uid="{8923C384-15A6-41D9-B6F9-2BD2ECD13814}">
      <text>
        <r>
          <rPr>
            <b/>
            <sz val="9"/>
            <color indexed="81"/>
            <rFont val="Tahoma"/>
            <family val="2"/>
          </rPr>
          <t>Satyender Malik:</t>
        </r>
        <r>
          <rPr>
            <sz val="9"/>
            <color indexed="81"/>
            <rFont val="Tahoma"/>
            <family val="2"/>
          </rPr>
          <t xml:space="preserve">
This can be found from Annual report - check for latest 2 years before investing
</t>
        </r>
      </text>
    </comment>
    <comment ref="J75" authorId="0" shapeId="0" xr:uid="{43BC9FBE-A819-4AD1-A826-E1EAA04886AA}">
      <text>
        <r>
          <rPr>
            <b/>
            <sz val="9"/>
            <color indexed="81"/>
            <rFont val="Tahoma"/>
            <family val="2"/>
          </rPr>
          <t>Satyender Malik:</t>
        </r>
        <r>
          <rPr>
            <sz val="9"/>
            <color indexed="81"/>
            <rFont val="Tahoma"/>
            <family val="2"/>
          </rPr>
          <t xml:space="preserve">
Manual Entry from Annual report - this numbers are for Fine Organics</t>
        </r>
      </text>
    </comment>
    <comment ref="A80" authorId="0" shapeId="0" xr:uid="{A2C50E1B-12F5-484D-8093-B6F71BB64D01}">
      <text>
        <r>
          <rPr>
            <b/>
            <sz val="9"/>
            <color indexed="81"/>
            <rFont val="Tahoma"/>
            <family val="2"/>
          </rPr>
          <t>Satyender Malik:</t>
        </r>
        <r>
          <rPr>
            <sz val="9"/>
            <color indexed="81"/>
            <rFont val="Tahoma"/>
            <family val="2"/>
          </rPr>
          <t xml:space="preserve">
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
</t>
        </r>
      </text>
    </comment>
    <comment ref="A84" authorId="0" shapeId="0" xr:uid="{31684539-BF9F-4223-ADEE-648E7FCB2601}">
      <text>
        <r>
          <rPr>
            <b/>
            <sz val="9"/>
            <color indexed="81"/>
            <rFont val="Tahoma"/>
            <family val="2"/>
          </rPr>
          <t>Satyender Malik:</t>
        </r>
        <r>
          <rPr>
            <sz val="9"/>
            <color indexed="81"/>
            <rFont val="Tahoma"/>
            <family val="2"/>
          </rPr>
          <t xml:space="preserve">
Not compared to median 
-- this rowis compared to  direct revenue numbers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7" authorId="0" shapeId="0" xr:uid="{E3A54D9D-C948-4F2D-9C96-F94D2DF287B4}">
      <text>
        <r>
          <rPr>
            <b/>
            <sz val="9"/>
            <color indexed="81"/>
            <rFont val="Tahoma"/>
            <family val="2"/>
          </rPr>
          <t>Satyender Malik:</t>
        </r>
        <r>
          <rPr>
            <sz val="9"/>
            <color indexed="81"/>
            <rFont val="Tahoma"/>
            <family val="2"/>
          </rPr>
          <t xml:space="preserve">
Conversion of sales to profit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55" authorId="0" shapeId="0" xr:uid="{00000000-0006-0000-0600-000001000000}">
      <text>
        <r>
          <rPr>
            <b/>
            <sz val="9"/>
            <color indexed="81"/>
            <rFont val="Tahoma"/>
            <family val="2"/>
          </rPr>
          <t>MALIK, Sumit Kumar:</t>
        </r>
        <r>
          <rPr>
            <sz val="9"/>
            <color indexed="81"/>
            <rFont val="Tahoma"/>
            <family val="2"/>
          </rPr>
          <t xml:space="preserve">
Increase in Reserve in 10 years</t>
        </r>
      </text>
    </comment>
    <comment ref="A56" authorId="0" shapeId="0" xr:uid="{00000000-0006-0000-0600-000002000000}">
      <text>
        <r>
          <rPr>
            <b/>
            <sz val="9"/>
            <color indexed="81"/>
            <rFont val="Tahoma"/>
            <family val="2"/>
          </rPr>
          <t>MALIK, Sumit Kumar:</t>
        </r>
        <r>
          <rPr>
            <sz val="9"/>
            <color indexed="81"/>
            <rFont val="Tahoma"/>
            <family val="2"/>
          </rPr>
          <t xml:space="preserve">
Increase in Market Capital in 10years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B7B905A9-5B52-460D-B5BB-10B8234875FF}">
      <text>
        <r>
          <rPr>
            <sz val="11"/>
            <color theme="1"/>
            <rFont val="Calibri"/>
            <scheme val="minor"/>
          </rPr>
          <t>Section 1 : Income Statement Analysis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 authorId="0" shapeId="0" xr:uid="{00000000-0006-0000-0800-000001000000}">
      <text>
        <r>
          <rPr>
            <b/>
            <sz val="9"/>
            <color indexed="81"/>
            <rFont val="Tahoma"/>
            <family val="2"/>
          </rPr>
          <t>MALIK, Sumit Kumar:</t>
        </r>
        <r>
          <rPr>
            <sz val="9"/>
            <color indexed="81"/>
            <rFont val="Tahoma"/>
            <family val="2"/>
          </rPr>
          <t xml:space="preserve">
A common-size financial statement displays line items as a percentage of one selected or common figure. 
Creating common-size financial statements makes it easier to analyze a company over time and also compare it with its peers become easier.
Using common-size financial statements helps investors spot trends that a raw financial statement may not uncover.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5" authorId="0" shapeId="0" xr:uid="{00000000-0006-0000-0900-000001000000}">
      <text>
        <r>
          <rPr>
            <b/>
            <sz val="9"/>
            <color indexed="81"/>
            <rFont val="Tahoma"/>
            <family val="2"/>
          </rPr>
          <t xml:space="preserve">Vishal: </t>
        </r>
        <r>
          <rPr>
            <sz val="9"/>
            <color indexed="81"/>
            <rFont val="Tahoma"/>
            <family val="2"/>
          </rPr>
          <t>Check for sales growth. If a business is not growing for a few years, or growing slower than the industry and peers, you may give it a pass and not invest.</t>
        </r>
      </text>
    </comment>
    <comment ref="A18" authorId="0" shapeId="0" xr:uid="{00000000-0006-0000-0900-000002000000}">
      <text>
        <r>
          <rPr>
            <b/>
            <sz val="9"/>
            <color indexed="81"/>
            <rFont val="Tahoma"/>
            <family val="2"/>
          </rPr>
          <t xml:space="preserve">Vishal: </t>
        </r>
        <r>
          <rPr>
            <sz val="9"/>
            <color indexed="81"/>
            <rFont val="Tahoma"/>
            <family val="2"/>
          </rPr>
          <t>Check this number especially for firms with debt. It shows the safety of interest payments, and whether the firm has enough profits to pay the same.</t>
        </r>
      </text>
    </comment>
    <comment ref="A21" authorId="0" shapeId="0" xr:uid="{00000000-0006-0000-0900-000003000000}">
      <text>
        <r>
          <rPr>
            <b/>
            <sz val="9"/>
            <color indexed="81"/>
            <rFont val="Tahoma"/>
            <family val="2"/>
          </rPr>
          <t xml:space="preserve">Vishal: </t>
        </r>
        <r>
          <rPr>
            <sz val="9"/>
            <color indexed="81"/>
            <rFont val="Tahoma"/>
            <family val="2"/>
          </rPr>
          <t xml:space="preserve">Important profitability number. Better than Operating Margin. Check out changes in the same over years, and explore reasons for the same. Falling/rising PBT margin may indicate narrowing/expanding moat.
</t>
        </r>
      </text>
    </comment>
    <comment ref="A28" authorId="0" shapeId="0" xr:uid="{00000000-0006-0000-0900-000004000000}">
      <text>
        <r>
          <rPr>
            <b/>
            <sz val="9"/>
            <color indexed="81"/>
            <rFont val="Tahoma"/>
            <family val="2"/>
          </rPr>
          <t xml:space="preserve">Vishal: </t>
        </r>
        <r>
          <rPr>
            <sz val="9"/>
            <color indexed="81"/>
            <rFont val="Tahoma"/>
            <family val="2"/>
          </rPr>
          <t xml:space="preserve">Better growth number than Net profit growth, because EPS is adjusted for any dilution etc. Seek gradual growth in this number, and be careful of a declining number.
</t>
        </r>
      </text>
    </comment>
    <comment ref="A29" authorId="0" shapeId="0" xr:uid="{00000000-0006-0000-0900-000005000000}">
      <text>
        <r>
          <rPr>
            <b/>
            <sz val="9"/>
            <color indexed="81"/>
            <rFont val="Tahoma"/>
            <family val="2"/>
          </rPr>
          <t xml:space="preserve">Vishal: </t>
        </r>
        <r>
          <rPr>
            <sz val="9"/>
            <color indexed="81"/>
            <rFont val="Tahoma"/>
            <family val="2"/>
          </rPr>
          <t>Suggests the attractiveness of a firm in the eyes of Mr. Market. Lower P/Es reflect lower attractivenss, and higher reflect higher attractiveness. However, P/Es in isolation tell nothing about the quality of the business, especially when you are looking at short term numbers.</t>
        </r>
      </text>
    </comment>
    <comment ref="A34" authorId="0" shapeId="0" xr:uid="{00000000-0006-0000-0900-000006000000}">
      <text>
        <r>
          <rPr>
            <b/>
            <sz val="9"/>
            <color indexed="81"/>
            <rFont val="Tahoma"/>
            <family val="2"/>
          </rPr>
          <t xml:space="preserve">Vishal: </t>
        </r>
        <r>
          <rPr>
            <sz val="9"/>
            <color indexed="81"/>
            <rFont val="Tahoma"/>
            <family val="2"/>
          </rPr>
          <t xml:space="preserve">This number shows how much wealth the business has created for shareholders (excluding dividends) for every Rupee it has retained over years. 
This idea is from Warren Buffett who wrote this in his 1984 letter – </t>
        </r>
        <r>
          <rPr>
            <i/>
            <sz val="9"/>
            <color indexed="81"/>
            <rFont val="Tahoma"/>
            <family val="2"/>
          </rPr>
          <t>“For a number of reasons managers like to withhold unrestricted readily distributable earnings from shareholders – to expand the corporate empire over which the managers rule, to operate from a position of exceptional financial comfort, etc. But we believe there is only one valid reason for retention. Unrestricted earnings should be retained only when there is a reasonable prospect – backed preferably by historical evidence or, when appropriate, by a thoughtful analysis of the future – that for every dollar retained by the corporation, at least one dollar of market value will be created for owners. This will happen only if the capital retained produces incremental earnings equal to, or above, those generally available to investors.”</t>
        </r>
        <r>
          <rPr>
            <sz val="9"/>
            <color indexed="81"/>
            <rFont val="Tahoma"/>
            <family val="2"/>
          </rPr>
          <t xml:space="preserve">
</t>
        </r>
        <r>
          <rPr>
            <b/>
            <sz val="9"/>
            <color indexed="81"/>
            <rFont val="Tahoma"/>
            <family val="2"/>
          </rPr>
          <t xml:space="preserve">Formula is - Change in Market Cap over, say, 10 years </t>
        </r>
        <r>
          <rPr>
            <b/>
            <i/>
            <sz val="9"/>
            <color indexed="81"/>
            <rFont val="Tahoma"/>
            <family val="2"/>
          </rPr>
          <t>Divided By</t>
        </r>
        <r>
          <rPr>
            <b/>
            <sz val="9"/>
            <color indexed="81"/>
            <rFont val="Tahoma"/>
            <family val="2"/>
          </rPr>
          <t xml:space="preserve"> Total Retained Earnings during the same period
</t>
        </r>
        <r>
          <rPr>
            <sz val="9"/>
            <color indexed="81"/>
            <rFont val="Tahoma"/>
            <family val="2"/>
          </rPr>
          <t xml:space="preserve">Here, Retained Earnings = Net Profit </t>
        </r>
        <r>
          <rPr>
            <i/>
            <sz val="9"/>
            <color indexed="81"/>
            <rFont val="Tahoma"/>
            <family val="2"/>
          </rPr>
          <t>minus</t>
        </r>
        <r>
          <rPr>
            <sz val="9"/>
            <color indexed="81"/>
            <rFont val="Tahoma"/>
            <family val="2"/>
          </rPr>
          <t xml:space="preserve"> Dividend paid
Bigger the number, more wealth has been created by the business for every Rupee retained, which is good.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22" authorId="0" shapeId="0" xr:uid="{00000000-0006-0000-0A00-000001000000}">
      <text>
        <r>
          <rPr>
            <sz val="9"/>
            <color indexed="81"/>
            <rFont val="Tahoma"/>
            <family val="2"/>
          </rPr>
          <t xml:space="preserve">Debtors Days ratio measures how quickly cash is being collected from debtors. The longer it takes for a company to collect, the greater the number of debtors days. The number of debtor days should be compared to that of other companies in the same industry to see if it is unusually high or low. 
A high number here shows that a company is selling its product to customers on credit and taking longer to collect money. This may lead to cash flow problems because of the long duration between the time of a sale and the time the company receives payment. A low number here means that it takes a company fewer days to collect its accounts receivable. In effect, the ability to determine the average length of time that a company’s outstanding balances are carried in receivables can in some cases tell a great deal about the nature of the company’s cash flow. </t>
        </r>
        <r>
          <rPr>
            <i/>
            <sz val="9"/>
            <color indexed="81"/>
            <rFont val="Tahoma"/>
            <family val="2"/>
          </rPr>
          <t>(Source: Investopedia)</t>
        </r>
      </text>
    </comment>
    <comment ref="A23" authorId="0" shapeId="0" xr:uid="{00000000-0006-0000-0A00-000002000000}">
      <text>
        <r>
          <rPr>
            <sz val="9"/>
            <color indexed="81"/>
            <rFont val="Tahoma"/>
            <family val="2"/>
          </rPr>
          <t>The inventory turnover ratio is an efficiency ratio that shows how effectively inventory is managed by comparing cost of goods sold with average inventory for a period. This measures how many times average inventory is “turned” or sold during a period. In other words, it measures how many times a company sold its total average inventory amount during the year.</t>
        </r>
      </text>
    </comment>
    <comment ref="A24" authorId="0" shapeId="0" xr:uid="{00000000-0006-0000-0A00-000003000000}">
      <text>
        <r>
          <rPr>
            <sz val="9"/>
            <color indexed="81"/>
            <rFont val="Tahoma"/>
            <family val="2"/>
          </rPr>
          <t>Fixed-asset turnover is the ratio of sales (on the profit and loss account) to the value of fixed assets (on the balance sheet). It indicates how well the business is using its fixed assets to generate sales.
Generally speaking, the higher the ratio, the better, because a high ratio indicates the business has less money tied up in fixed assets for each unit of currency of sales revenue. A declining ratio may indicate that the business is over-invested in plant, equipment, or other fixed assets.</t>
        </r>
      </text>
    </comment>
    <comment ref="A25" authorId="0" shapeId="0" xr:uid="{00000000-0006-0000-0A00-000004000000}">
      <text>
        <r>
          <rPr>
            <sz val="9"/>
            <color indexed="81"/>
            <rFont val="Tahoma"/>
            <family val="2"/>
          </rPr>
          <t>Debt/Equity (D/E) ratio, calculated by dividing a company’s total debt or borrowings by its stockholders' equity, is used to measure a company's financial leverage. The D/E ratio indicates how much debt a company is using to finance its assets relative to the value of shareholders’ equity.
A high debt/equity ratio generally means that a company has been aggressive in financing its growth with debt. Aggressive leveraging practices are often associated with high levels of risk. This may result in volatile earnings as a result of the additional interest expense.</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1" authorId="0" shapeId="0" xr:uid="{00000000-0006-0000-0B00-000001000000}">
      <text>
        <r>
          <rPr>
            <b/>
            <sz val="9"/>
            <color indexed="81"/>
            <rFont val="Tahoma"/>
            <family val="2"/>
          </rPr>
          <t>MALIK, Sumit Kumar:</t>
        </r>
        <r>
          <rPr>
            <sz val="9"/>
            <color indexed="81"/>
            <rFont val="Tahoma"/>
            <family val="2"/>
          </rPr>
          <t xml:space="preserve">
Capex values are updated from Dr vijay maliks Screener output</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D7" authorId="0" shapeId="0" xr:uid="{00000000-0006-0000-1100-000001000000}">
      <text>
        <r>
          <rPr>
            <b/>
            <sz val="9"/>
            <color indexed="81"/>
            <rFont val="Tahoma"/>
            <family val="2"/>
          </rPr>
          <t xml:space="preserve">Vishal: </t>
        </r>
        <r>
          <rPr>
            <sz val="9"/>
            <color indexed="81"/>
            <rFont val="Tahoma"/>
            <family val="2"/>
          </rPr>
          <t>This is the latest "Cash and Bank" number that is updated automatically in this sheet from the "Cash Flow Sheet". This cash number is added to arrive at the Intrinsic Value.</t>
        </r>
      </text>
    </comment>
    <comment ref="C18" authorId="0" shapeId="0" xr:uid="{00000000-0006-0000-1100-000002000000}">
      <text>
        <r>
          <rPr>
            <b/>
            <sz val="9"/>
            <color indexed="81"/>
            <rFont val="Tahoma"/>
            <family val="2"/>
          </rPr>
          <t xml:space="preserve">Vishal: </t>
        </r>
        <r>
          <rPr>
            <sz val="9"/>
            <color indexed="81"/>
            <rFont val="Tahoma"/>
            <family val="2"/>
          </rPr>
          <t>This is the price at which the business is sold at the end of the 10th year. This price is calculated using a multiple - like 10x or 15x - to 10th year's calculated FCF.</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B6" authorId="0" shapeId="0" xr:uid="{00000000-0006-0000-1200-000001000000}">
      <text>
        <r>
          <rPr>
            <b/>
            <sz val="9"/>
            <color indexed="81"/>
            <rFont val="Tahoma"/>
            <family val="2"/>
          </rPr>
          <t xml:space="preserve">Vishal: </t>
        </r>
        <r>
          <rPr>
            <sz val="9"/>
            <color indexed="81"/>
            <rFont val="Tahoma"/>
            <family val="2"/>
          </rPr>
          <t>Instead of trailing 12-months EPS as Graham proposed, I have used the average Net Profit of last five years. The reason I have used Net Profit instead of EPS is so that I arrive at Intrinsic value in terms of market cap and not stock price.</t>
        </r>
      </text>
    </comment>
    <comment ref="B8" authorId="0" shapeId="0" xr:uid="{00000000-0006-0000-1200-000002000000}">
      <text>
        <r>
          <rPr>
            <b/>
            <sz val="9"/>
            <color indexed="81"/>
            <rFont val="Tahoma"/>
            <family val="2"/>
          </rPr>
          <t xml:space="preserve">Vishal: </t>
        </r>
        <r>
          <rPr>
            <sz val="9"/>
            <color indexed="81"/>
            <rFont val="Tahoma"/>
            <family val="2"/>
          </rPr>
          <t xml:space="preserve">Instead of assumed EPS growth rate of next 7-10 years as Graham proposed, I have assumed 50% of last five years CAGR in net profit (to arrive at the lower level of the Intrinsic Value range)
</t>
        </r>
      </text>
    </comment>
    <comment ref="E8" authorId="0" shapeId="0" xr:uid="{00000000-0006-0000-1200-000003000000}">
      <text>
        <r>
          <rPr>
            <b/>
            <sz val="9"/>
            <color indexed="81"/>
            <rFont val="Tahoma"/>
            <family val="2"/>
          </rPr>
          <t xml:space="preserve">Vishal: </t>
        </r>
        <r>
          <rPr>
            <sz val="9"/>
            <color indexed="81"/>
            <rFont val="Tahoma"/>
            <family val="2"/>
          </rPr>
          <t xml:space="preserve">Instead of assumed EPS growth rate of next 7-10 years as Graham proposed, I have assumed 100% of last five years CAGR in net profit (to arrive at the upper level of the Intrinsic Value range)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Vishal</author>
    <author>Safal Niveshak</author>
  </authors>
  <commentList>
    <comment ref="A4" authorId="0" shapeId="0" xr:uid="{00000000-0006-0000-1300-000001000000}">
      <text>
        <r>
          <rPr>
            <b/>
            <sz val="9"/>
            <color indexed="81"/>
            <rFont val="Tahoma"/>
            <family val="2"/>
          </rPr>
          <t xml:space="preserve">Safal Niveshak: </t>
        </r>
        <r>
          <rPr>
            <sz val="9"/>
            <color indexed="81"/>
            <rFont val="Tahoma"/>
            <family val="2"/>
          </rPr>
          <t xml:space="preserve">Normalize!
It's better to take a 3-5 years average FCF as this starting number instead of the latest year's FCF. This is for the simple reason that the latest year can be a best/worst number.
FCF can be calculated from the Cash Flow Statement in the annual report.
</t>
        </r>
        <r>
          <rPr>
            <b/>
            <sz val="9"/>
            <color indexed="81"/>
            <rFont val="Tahoma"/>
            <family val="2"/>
          </rPr>
          <t xml:space="preserve">FCF formula = Net Cash from/(used in) Operating Activities </t>
        </r>
        <r>
          <rPr>
            <b/>
            <i/>
            <sz val="9"/>
            <color indexed="81"/>
            <rFont val="Tahoma"/>
            <family val="2"/>
          </rPr>
          <t>minus</t>
        </r>
        <r>
          <rPr>
            <b/>
            <sz val="9"/>
            <color indexed="81"/>
            <rFont val="Tahoma"/>
            <family val="2"/>
          </rPr>
          <t xml:space="preserve"> Purchase of Fixed Assets</t>
        </r>
        <r>
          <rPr>
            <sz val="9"/>
            <color indexed="81"/>
            <rFont val="Tahoma"/>
            <family val="2"/>
          </rPr>
          <t xml:space="preserve">
In case of companies earning negative FCF, where this model will not work, you must use a normalized positive FCF as the starting number. This number is your assumption of FCF the business will earn in a normal year, without capex.</t>
        </r>
      </text>
    </comment>
    <comment ref="A6" authorId="0" shapeId="0" xr:uid="{00000000-0006-0000-1300-000002000000}">
      <text>
        <r>
          <rPr>
            <b/>
            <sz val="9"/>
            <color indexed="81"/>
            <rFont val="Tahoma"/>
            <family val="2"/>
          </rPr>
          <t>Safal Niveshak:</t>
        </r>
        <r>
          <rPr>
            <sz val="9"/>
            <color indexed="81"/>
            <rFont val="Tahoma"/>
            <family val="2"/>
          </rPr>
          <t xml:space="preserve"> In a 2-stage DCF, we break the next 10 years into two phases of five years each, and then calculate the FCF growth based on growth rates assumed below.</t>
        </r>
      </text>
    </comment>
    <comment ref="A7" authorId="0" shapeId="0" xr:uid="{00000000-0006-0000-1300-000003000000}">
      <text>
        <r>
          <rPr>
            <b/>
            <sz val="9"/>
            <color indexed="81"/>
            <rFont val="Tahoma"/>
            <family val="2"/>
          </rPr>
          <t xml:space="preserve">Safal Niveshak: </t>
        </r>
        <r>
          <rPr>
            <sz val="9"/>
            <color indexed="81"/>
            <rFont val="Tahoma"/>
            <family val="2"/>
          </rPr>
          <t>Be conservative!
Prefer to value stocks based on the present data rather than what will happen in the future. Anything could happen even in 1 year, and if the growth rate is too high and the company cannot meet those expectations, there is no where to go but down.
The best practice is to keep growth rates as low as possible. If the company looks to be undervalued with 0% growth rate, you have more upside than downside. The higher you set the growth rate, the higher you set up the downside potential. Just be reasonable and use common sense.
On most of the stocks I value, I rarely go above 15% (for the first 5-year period), and that’s only for the safest, cash-generating businesses. This is approx. 2x India's expected long-term GDP growth rate (in real terms).
The goal of choosing a growth rate is to find a number which is conservative yet not very low or pessimistic, and close to reality in order to capture potential future gains without eliminating too many investment candidates.</t>
        </r>
      </text>
    </comment>
    <comment ref="A8" authorId="0" shapeId="0" xr:uid="{00000000-0006-0000-1300-000004000000}">
      <text>
        <r>
          <rPr>
            <b/>
            <sz val="9"/>
            <color indexed="81"/>
            <rFont val="Tahoma"/>
            <family val="2"/>
          </rPr>
          <t xml:space="preserve">Safal Niveshak: </t>
        </r>
        <r>
          <rPr>
            <sz val="9"/>
            <color indexed="81"/>
            <rFont val="Tahoma"/>
            <family val="2"/>
          </rPr>
          <t xml:space="preserve">This is the rate at which you discount the future cash flows to the present value.
Look at discount rate as the “annual rate of return” you want to earn from the stock. In other words, if you are looking to invest in a business that has comparatively higher (business) risk than other businesses (like in case of most mid and small cap stocks), you may want to earn a 15% annual return from it. For valuing such businesses, take 15% as the discount rate. In case of relatively safer businesses, earning around 12% annual return over the long term is a good expectation (because these businesses will also provide some stability to your portfolio during bad times). For valuing such businesses, take 12% as the discount rate.
</t>
        </r>
        <r>
          <rPr>
            <b/>
            <sz val="9"/>
            <color indexed="81"/>
            <rFont val="Tahoma"/>
            <family val="2"/>
          </rPr>
          <t xml:space="preserve">Better still, assume a constant discount rate for all companies. I have gradually turned to this model – of taking a constant 12% discount rate for all kind of businesses (safe or risky). (P.S. I earlier assumed a 15% discount rate)
</t>
        </r>
        <r>
          <rPr>
            <sz val="9"/>
            <color indexed="81"/>
            <rFont val="Tahoma"/>
            <family val="2"/>
          </rPr>
          <t>Also, do not adjust the entire risk of a investment in its discount rate. In other words, if a stock is a "riskier" investment than another, adjust for some risk in the cash flow growth estimates and some in the discount rate.
Ignore simple yet junk models like CAPM to get the discount rate. People in the finance world pour out their hearts to obtain the most accurate discount rate by analyzing risk free rates, beta, risk premium and WACC. It's just short of rubbish! What’s the point in learning every method of hammering a nail when all you have to do is hit it on the head. So do not over-complicate this aspect.
The beauty of old school Graham and Buffett is that their investments are based on common sense, not volatility and other mumbo jumbo. There is no hard and fast rule for choosing a discount rate. Using a high discount rate to discount the future cash just means you are willing to pay less today for the future cash and vice versa. Do understand that - “You can’t compensate for risk by using a high discount rate.” 
The important aspect is not deciding upon a discount rate, but in being logical and reasonable about cash projections.
Another way you can look at discount rate is to not using different discount rates for different businesses. It won't really matter what rate you use as long as you are being intellectually honest and conservative about future cash flows.</t>
        </r>
      </text>
    </comment>
    <comment ref="A9" authorId="0" shapeId="0" xr:uid="{00000000-0006-0000-1300-000005000000}">
      <text>
        <r>
          <rPr>
            <b/>
            <sz val="9"/>
            <color indexed="81"/>
            <rFont val="Tahoma"/>
            <family val="2"/>
          </rPr>
          <t xml:space="preserve">Safal Niveshak: </t>
        </r>
        <r>
          <rPr>
            <sz val="9"/>
            <color indexed="81"/>
            <rFont val="Tahoma"/>
            <family val="2"/>
          </rPr>
          <t xml:space="preserve">Since it isn’t practical to forecast cash flows for an infinite number of years, it’s usual to end the DCF with a terminal value.
The best terminal growth rate is 0%, and the highest you should go (for safest businesses) is 2%.
</t>
        </r>
      </text>
    </comment>
    <comment ref="A11" authorId="1" shapeId="0" xr:uid="{00000000-0006-0000-1300-000006000000}">
      <text>
        <r>
          <rPr>
            <b/>
            <sz val="9"/>
            <color indexed="81"/>
            <rFont val="Tahoma"/>
            <family val="2"/>
          </rPr>
          <t xml:space="preserve">Safal Niveshak: </t>
        </r>
        <r>
          <rPr>
            <sz val="9"/>
            <color indexed="81"/>
            <rFont val="Tahoma"/>
            <family val="2"/>
          </rPr>
          <t xml:space="preserve">If this figure is negative, i.e., in brackets, it means that the company has more Cash than Debt. This is automatically added to the PV of cash flows below to give a complete picture of the company's valuation.
</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9" authorId="0" shapeId="0" xr:uid="{00000000-0006-0000-1400-000001000000}">
      <text>
        <r>
          <rPr>
            <b/>
            <sz val="9"/>
            <color indexed="81"/>
            <rFont val="Tahoma"/>
            <family val="2"/>
          </rPr>
          <t>Vishal:</t>
        </r>
        <r>
          <rPr>
            <sz val="9"/>
            <color indexed="81"/>
            <rFont val="Tahoma"/>
            <family val="2"/>
          </rPr>
          <t xml:space="preserve"> Highest EPS growth you should accord to a high quality business is 15% p.a.
</t>
        </r>
      </text>
    </comment>
    <comment ref="A12" authorId="0" shapeId="0" xr:uid="{00000000-0006-0000-1400-000002000000}">
      <text>
        <r>
          <rPr>
            <b/>
            <sz val="9"/>
            <color indexed="81"/>
            <rFont val="Tahoma"/>
            <family val="2"/>
          </rPr>
          <t xml:space="preserve">Vishal: </t>
        </r>
        <r>
          <rPr>
            <sz val="9"/>
            <color indexed="81"/>
            <rFont val="Tahoma"/>
            <family val="2"/>
          </rPr>
          <t xml:space="preserve">Maximum exit P/E you should accord to a high-quality business is 20x.
</t>
        </r>
      </text>
    </comment>
  </commentList>
</comments>
</file>

<file path=xl/sharedStrings.xml><?xml version="1.0" encoding="utf-8"?>
<sst xmlns="http://schemas.openxmlformats.org/spreadsheetml/2006/main" count="1148" uniqueCount="776">
  <si>
    <t>COMPANY NAME</t>
  </si>
  <si>
    <t>SCREENER.IN</t>
  </si>
  <si>
    <t>Narration</t>
  </si>
  <si>
    <t>Trailing</t>
  </si>
  <si>
    <t>Sales</t>
  </si>
  <si>
    <t>Expenses</t>
  </si>
  <si>
    <t>Operating Profit</t>
  </si>
  <si>
    <t>Other Income</t>
  </si>
  <si>
    <t>Depreciation</t>
  </si>
  <si>
    <t>Interest</t>
  </si>
  <si>
    <t>Profit before tax</t>
  </si>
  <si>
    <t>Tax</t>
  </si>
  <si>
    <t>Net profit</t>
  </si>
  <si>
    <t>Price to earning</t>
  </si>
  <si>
    <t>Dividend Payout</t>
  </si>
  <si>
    <t>OPM</t>
  </si>
  <si>
    <t>TRENDS:</t>
  </si>
  <si>
    <t>Sales Growth</t>
  </si>
  <si>
    <t>Price to Earning</t>
  </si>
  <si>
    <t>Equity Share Capital</t>
  </si>
  <si>
    <t>Reserves</t>
  </si>
  <si>
    <t>Total</t>
  </si>
  <si>
    <t>Net Block</t>
  </si>
  <si>
    <t>Capital Work in Progress</t>
  </si>
  <si>
    <t>Investments</t>
  </si>
  <si>
    <t>Working Capital</t>
  </si>
  <si>
    <t>Face Value</t>
  </si>
  <si>
    <t>Cash from Operating Activity</t>
  </si>
  <si>
    <t>Cash from Investing Activity</t>
  </si>
  <si>
    <t>Cash from Financing Activity</t>
  </si>
  <si>
    <t>Net Cash Flow</t>
  </si>
  <si>
    <t>PLEASE DO NOT MAKE ANY CHANGES TO THIS SHEET</t>
  </si>
  <si>
    <t>PROFIT &amp; LOSS</t>
  </si>
  <si>
    <t>Report Date</t>
  </si>
  <si>
    <t>Quarters</t>
  </si>
  <si>
    <t>BALANCE SHEET</t>
  </si>
  <si>
    <t>CASH FLOW:</t>
  </si>
  <si>
    <t>Number of shares</t>
  </si>
  <si>
    <t>Current Price</t>
  </si>
  <si>
    <t>Debtors</t>
  </si>
  <si>
    <t>Inventory</t>
  </si>
  <si>
    <t>Debtor Days</t>
  </si>
  <si>
    <t>Inventory Turnover</t>
  </si>
  <si>
    <t>You can customize this workbook as you want.</t>
  </si>
  <si>
    <t>Please don't edit the "Data Sheet" only.</t>
  </si>
  <si>
    <t>After customization, you can upload this back on Screener.</t>
  </si>
  <si>
    <t>Upload on:</t>
  </si>
  <si>
    <t>Download your customized workbooks now onwards.</t>
  </si>
  <si>
    <t>Now whenever you will "Export to excel" from Screener, it will export your customized file.</t>
  </si>
  <si>
    <t>TESTING:</t>
  </si>
  <si>
    <t>This is a testing feature currently.</t>
  </si>
  <si>
    <t>You can report any formula errors on the worksheet at:</t>
  </si>
  <si>
    <t>How to use it?</t>
  </si>
  <si>
    <t>EPS</t>
  </si>
  <si>
    <t>Price</t>
  </si>
  <si>
    <t>Return on Equity</t>
  </si>
  <si>
    <t>LATEST VERSION</t>
  </si>
  <si>
    <t>CURRENT VERSION</t>
  </si>
  <si>
    <t>INDIAN RAILWAY FINANCE CORPORATION LTD</t>
  </si>
  <si>
    <t>META</t>
  </si>
  <si>
    <t>10 YEARS</t>
  </si>
  <si>
    <t>7 YEARS</t>
  </si>
  <si>
    <t>5 YEARS</t>
  </si>
  <si>
    <t>3 YEARS</t>
  </si>
  <si>
    <t>Dividend Amount</t>
  </si>
  <si>
    <t>Borrowings</t>
  </si>
  <si>
    <t>Other Liabilities</t>
  </si>
  <si>
    <t>Other Assets</t>
  </si>
  <si>
    <t>No. of Equity Shares</t>
  </si>
  <si>
    <t>New Bonus Shares</t>
  </si>
  <si>
    <t>DERIVED:</t>
  </si>
  <si>
    <t>PRICE:</t>
  </si>
  <si>
    <t>Receivables</t>
  </si>
  <si>
    <t>Market Capitalization</t>
  </si>
  <si>
    <t>Raw Material Cost</t>
  </si>
  <si>
    <t>Change in Inventory</t>
  </si>
  <si>
    <t>Power and Fuel</t>
  </si>
  <si>
    <t>Other Mfr. Exp</t>
  </si>
  <si>
    <t>Employee Cost</t>
  </si>
  <si>
    <t>Selling and admin</t>
  </si>
  <si>
    <t>Other Expenses</t>
  </si>
  <si>
    <t>Cash &amp; Bank</t>
  </si>
  <si>
    <t>Face value</t>
  </si>
  <si>
    <t>Adjusted Equity Shares in Cr</t>
  </si>
  <si>
    <t>You can add custom formating, add conditional formating, add your own formulas… do ANYTHING.</t>
  </si>
  <si>
    <t xml:space="preserve"> https://www.screener.in/excel/</t>
  </si>
  <si>
    <t>PE Ratio at 0% Growth</t>
  </si>
  <si>
    <t>Year Ended</t>
  </si>
  <si>
    <t>Company Name</t>
  </si>
  <si>
    <t>Operating Profit Margin</t>
  </si>
  <si>
    <t>Net Profit Margin</t>
  </si>
  <si>
    <t>% Growth YOY</t>
  </si>
  <si>
    <t>Cash from Operating Activity (CFO)</t>
  </si>
  <si>
    <t>CFO/Sales</t>
  </si>
  <si>
    <t>CFO/Net Profit</t>
  </si>
  <si>
    <t>Return on Capital Employed</t>
  </si>
  <si>
    <t>Fixed Asset Turnover</t>
  </si>
  <si>
    <t>Debt/Equity</t>
  </si>
  <si>
    <t>Interest Coverage(Times)</t>
  </si>
  <si>
    <t>PBT Margin</t>
  </si>
  <si>
    <t>Selling and Admin Cost</t>
  </si>
  <si>
    <t>Material Cost (% of Sales)</t>
  </si>
  <si>
    <t>Profit before tax (PBT)</t>
  </si>
  <si>
    <t>Check for wide fluctuations in key expense items. For manufacturing firms, check their material costs etc. For services firms, look at employee costs.</t>
  </si>
  <si>
    <t>Long-Term Growth Rate</t>
  </si>
  <si>
    <t>Current Market Cap (Rs Crore)</t>
  </si>
  <si>
    <t>Ben Graham Value (Rs Crore)</t>
  </si>
  <si>
    <t>Avg 5-Yr Net Profit (Rs Crore)</t>
  </si>
  <si>
    <t>Year</t>
  </si>
  <si>
    <t>FCF (Rs Cr)</t>
  </si>
  <si>
    <t>PV of FCF (Rs Cr)</t>
  </si>
  <si>
    <t>Assumed FCF Growth</t>
  </si>
  <si>
    <t>Year 1-3</t>
  </si>
  <si>
    <t>FY18</t>
  </si>
  <si>
    <t>Year 4-6</t>
  </si>
  <si>
    <t>FY19</t>
  </si>
  <si>
    <t>Year 7-10</t>
  </si>
  <si>
    <t>FY20</t>
  </si>
  <si>
    <t>FY21</t>
  </si>
  <si>
    <t>Discount Rate</t>
  </si>
  <si>
    <t>FY22</t>
  </si>
  <si>
    <t>FY23</t>
  </si>
  <si>
    <t>FY24</t>
  </si>
  <si>
    <t>FY25</t>
  </si>
  <si>
    <t>FY26</t>
  </si>
  <si>
    <t>FY27</t>
  </si>
  <si>
    <t>Current Mkt. Cap.</t>
  </si>
  <si>
    <t>Premium/(Discount) to IV</t>
  </si>
  <si>
    <t>Excess Cash (Latest)</t>
  </si>
  <si>
    <t>FCF</t>
  </si>
  <si>
    <t>Average FCF (3 Years)</t>
  </si>
  <si>
    <t>PBT</t>
  </si>
  <si>
    <t>Intrinsic Value</t>
  </si>
  <si>
    <t>Dhandho</t>
  </si>
  <si>
    <t>Ben Graham</t>
  </si>
  <si>
    <t>Years</t>
  </si>
  <si>
    <t>1-5</t>
  </si>
  <si>
    <t>6-10</t>
  </si>
  <si>
    <t>FCF Growth Rate</t>
  </si>
  <si>
    <t>Terminal Growth Rate</t>
  </si>
  <si>
    <t>Growth</t>
  </si>
  <si>
    <t>Present Value</t>
  </si>
  <si>
    <t>Final Calculations</t>
  </si>
  <si>
    <t>Terminal Year</t>
  </si>
  <si>
    <t>PV of Year 1-10 Cash Flows</t>
  </si>
  <si>
    <t>Terminal Value</t>
  </si>
  <si>
    <t>Total PV of Cash Flows</t>
  </si>
  <si>
    <t>Particulars</t>
  </si>
  <si>
    <t>CAGR (5-Yr)</t>
  </si>
  <si>
    <t>Current P/E (x)</t>
  </si>
  <si>
    <t>Exit P/E in the 10th year from now (x, Estimated)</t>
  </si>
  <si>
    <t>CAGR (9-Yr)</t>
  </si>
  <si>
    <t>Estimated CAGR in Net Profit over next 10 years</t>
  </si>
  <si>
    <t>Estimated Net Profit after 10 years (Rs Cr)</t>
  </si>
  <si>
    <t>Net Profit (Rs Crore)</t>
  </si>
  <si>
    <t>Esti. Market Cap (10th year from now; Rs Cr)</t>
  </si>
  <si>
    <t>Current Market Cap (Rs Cr)</t>
  </si>
  <si>
    <t>Discounted Value (Rs Cr)</t>
  </si>
  <si>
    <r>
      <t>Calculations</t>
    </r>
    <r>
      <rPr>
        <sz val="10"/>
        <color rgb="FFC00000"/>
        <rFont val="Arial"/>
        <family val="2"/>
      </rPr>
      <t xml:space="preserve"> </t>
    </r>
    <r>
      <rPr>
        <i/>
        <sz val="10"/>
        <color theme="1"/>
        <rFont val="Arial"/>
        <family val="2"/>
      </rPr>
      <t>(Enter values only in black cells)</t>
    </r>
  </si>
  <si>
    <t>Current Market Cap</t>
  </si>
  <si>
    <t>Dicounted Cash Flow Valuation</t>
  </si>
  <si>
    <t>Initial Cash Flow (Rs Cr)</t>
  </si>
  <si>
    <t>Net Debt Level (Rs Cr)</t>
  </si>
  <si>
    <t>DCF</t>
  </si>
  <si>
    <r>
      <t xml:space="preserve">DCF Value </t>
    </r>
    <r>
      <rPr>
        <b/>
        <i/>
        <sz val="10"/>
        <color theme="1"/>
        <rFont val="Arial"/>
        <family val="2"/>
      </rPr>
      <t>(As calculated in cell B29)</t>
    </r>
  </si>
  <si>
    <t>Expected Returns Model</t>
  </si>
  <si>
    <t>Expected Return</t>
  </si>
  <si>
    <t>Common Size P&amp;L</t>
  </si>
  <si>
    <t>Common Size Balance Sheet</t>
  </si>
  <si>
    <t>Total Liabilities</t>
  </si>
  <si>
    <t>Total Assets</t>
  </si>
  <si>
    <t>Profit Before Tax</t>
  </si>
  <si>
    <t>Net Profit</t>
  </si>
  <si>
    <t>FCF/Sales</t>
  </si>
  <si>
    <t>FCF/Net Profit</t>
  </si>
  <si>
    <t>Lower</t>
  </si>
  <si>
    <t>Higher</t>
  </si>
  <si>
    <t>Cost of Capital/Discount Rate</t>
  </si>
  <si>
    <t>Rs Cr</t>
  </si>
  <si>
    <t>PBT Growth</t>
  </si>
  <si>
    <t>Market Cap</t>
  </si>
  <si>
    <t>Retained Earnings</t>
  </si>
  <si>
    <t>Buffett's $1 Test</t>
  </si>
  <si>
    <t>Other Income as % of Sales</t>
  </si>
  <si>
    <t>Note: See explanation of this model here</t>
  </si>
  <si>
    <t>Buffett Checklist - Read, Remember, Follow!</t>
  </si>
  <si>
    <t>Source - Buffettology by Mary Buffett &amp; David Clark</t>
  </si>
  <si>
    <t>Parameter</t>
  </si>
  <si>
    <t>Explanation</t>
  </si>
  <si>
    <t>Consumer monopoly or commodity?</t>
  </si>
  <si>
    <t>Seek out companies that have no or less competition, either due to a patent or brand name or similar intangible that makes the product unique. Such companies will typically have high gross and operating profit margins because of their unique niche. However, don't just go on margins as high margins may simply highlight companies within industries with traditionally high margins. Thus, look for companies with gross, operating and net profit margins above industry norms. Also look for strong growth in earnings and high return on equity in the past.</t>
  </si>
  <si>
    <t>Understand how business works</t>
  </si>
  <si>
    <t>Try to invest in industries where you possess some specialized knowledge (where you work) or can more effectively judge a company, its industry, and its competitive environment (simple products you consume). While it is difficult to construct a quantitative filter, you should be able to identify areas of interest. You should "only" consider analyzing those companies that operate in areas that you can clearly grasp - your circle of competence. Of course you can increase the size of the circle, but only over time by learning about new industries. More important than the size of the circle is to know its boundaries.</t>
  </si>
  <si>
    <t>Is the company conservatively financed?</t>
  </si>
  <si>
    <t>Seeks out companies with conservative financing, which equates to a simple, safe balance sheet. Such companies tend to have strong cash flows, with little need for long-term debt. Look for low debt to equity or low debt-burden ratios. Also seek companies that have history of consistently generating positive free cash flows.</t>
  </si>
  <si>
    <t>Are earnings strong and do they show an upward trend?</t>
  </si>
  <si>
    <t>Does the company stick with what it knows?</t>
  </si>
  <si>
    <t>Like you should stock to your circle of competence, a company should invest its capital only in those businesses within its circle of competence. This is a difficult factor to screen for on a quantitative level. Before investing in a company, look at the company’s past pattern of acquisitions and new directions. They should fit within the primary range of operations for the firm. Be cautious of companies that have been very aggressive in acquisitions in the past.</t>
  </si>
  <si>
    <t>Has the company been buying back its shares?</t>
  </si>
  <si>
    <t>Buffett prefers that firms reinvest their earnings within the company, provided that profitable opportunities exist. When companies have excess cash flow, Buffett favours shareholder-enhancing maneuvers such as share buybacks. While we do not screen for this factor, a follow-up examination of a company would reveal if it has a share buyback plan in place.</t>
  </si>
  <si>
    <t>Have retained earnings been invested well?</t>
  </si>
  <si>
    <t>Seek companies where earnings have risen as retained earnings (earnings after paying dividends) have been employed profitably. A great way to screen for such companies is by looking at those that have had consistent earnings and strong return on equity in the past.</t>
  </si>
  <si>
    <t>Is the company’s return on equity above average?</t>
  </si>
  <si>
    <t>Is the company free to adjust prices to inflation?</t>
  </si>
  <si>
    <t>That's what is called "pricing power". Companies with moat (as seen from other screening metrics as suggested above (like high ROE, high grow margins, low debt etc.) are able to adjust prices to inflation without the risk of losing significant volume sales.</t>
  </si>
  <si>
    <t>Does the company need to constantly reinvest in capital?</t>
  </si>
  <si>
    <t>Companies that consistently need capital to grow their sales and profits are like bank savings account, and thus bad for an investor's long term portfolio. Seek companies that don't need high capital investments consistently. Retained earnings must first go toward maintaining current operations at competitive levels, so the lower the amount needed to maintain current operations, the better. Here, more than just an absolute assessment, a comparison against competitors will help a lot. Seek companies that consistently generate positive and rising free cash flows.</t>
  </si>
  <si>
    <t>Conclusion</t>
  </si>
  <si>
    <t>Sensible investing is always about using “folly and discipline” - the discipline to identify excellent businesses, and wait for the folly of the market to drive down the value of these businesses to attractive levels. You will have little trouble understanding this philosophy. However, its successful implementation is dependent upon your dedication to learn and follow the principles, and apply them to pick stocks successfully.</t>
  </si>
  <si>
    <t>Never Forget</t>
  </si>
  <si>
    <t>Focus on decisions, not outcomes. Look for disconfirming evidence.</t>
  </si>
  <si>
    <t>Basic Company Details</t>
  </si>
  <si>
    <t>Parameters</t>
  </si>
  <si>
    <t>Details</t>
  </si>
  <si>
    <t>Company</t>
  </si>
  <si>
    <t>Current Stock Price (Rs)</t>
  </si>
  <si>
    <t>Face Value (Rs)</t>
  </si>
  <si>
    <t>No. of Shares (Crore)</t>
  </si>
  <si>
    <t>Market Capitalization (Rs Crore)</t>
  </si>
  <si>
    <t>Net Profit Growth (8-Year CAGR)</t>
  </si>
  <si>
    <t>Average Debt/Equity (5-Years, x)</t>
  </si>
  <si>
    <t>Average Return on Equity (5-Years)</t>
  </si>
  <si>
    <t>Key Financials - Trend</t>
  </si>
  <si>
    <t>Sales Growth (9-Year CAGR)</t>
  </si>
  <si>
    <t>Profit Before Tax Growth (9-Year CAGR)</t>
  </si>
  <si>
    <t>Latest P/E (x)</t>
  </si>
  <si>
    <t>Average P/E (5-Years, x)</t>
  </si>
  <si>
    <t>Ben Graham's Original Formula: Value = EPS x (8.5 + 2G)</t>
  </si>
  <si>
    <t>Here, EPS is the trailing 12 month EPS, 8.5 is the P/E ratio of a stock with 0% growth and g is the growth rate for the next 7-10 years</t>
  </si>
  <si>
    <t>Ben Graham's Revised Formula: Value = [EPS x (8.5 + 2G) x 4.4] / Y</t>
  </si>
  <si>
    <t>Here, 4.4 is what Graham determined to be his minimum required rate of return. At the time of around 1962 when Graham was publicizing his works, the risk free interest rate was 4.4% but to adjust to the present, we divide this number by today’s AAA corporate bond rate, represented by Y in the formula above.</t>
  </si>
  <si>
    <t>Note: I have used Graham's original formula in the above calculations</t>
  </si>
  <si>
    <r>
      <rPr>
        <b/>
        <i/>
        <u/>
        <sz val="10"/>
        <color rgb="FF0000FF"/>
        <rFont val="Arial"/>
        <family val="2"/>
      </rPr>
      <t>Note:</t>
    </r>
    <r>
      <rPr>
        <i/>
        <u/>
        <sz val="10"/>
        <color rgb="FF0000FF"/>
        <rFont val="Arial"/>
        <family val="2"/>
      </rPr>
      <t xml:space="preserve"> See explanation of DCF here</t>
    </r>
  </si>
  <si>
    <r>
      <rPr>
        <i/>
        <sz val="10"/>
        <color rgb="FF0000FF"/>
        <rFont val="Arial"/>
        <family val="2"/>
      </rPr>
      <t xml:space="preserve">Note: </t>
    </r>
    <r>
      <rPr>
        <i/>
        <u/>
        <sz val="10"/>
        <color rgb="FF0000FF"/>
        <rFont val="Arial"/>
        <family val="2"/>
      </rPr>
      <t>See explanation of this model here</t>
    </r>
  </si>
  <si>
    <t>Intrinsic Value Range</t>
  </si>
  <si>
    <t>Profit &amp; Loss Account / Income Statement</t>
  </si>
  <si>
    <t>Check for long term vs short term trends here. Check if the growth over past 3 or 5 years has slowed down / improved compared to long term (7 to 10 years) growth numbers.</t>
  </si>
  <si>
    <t>Dhandho Intrinsic Value Calculation</t>
  </si>
  <si>
    <t>Read the book - The Dhandho Investor by Mohnish Pabrai</t>
  </si>
  <si>
    <t>Dhandho IV - Lower Range</t>
  </si>
  <si>
    <t>Dhandho IV - Higher Range</t>
  </si>
  <si>
    <r>
      <rPr>
        <b/>
        <sz val="10"/>
        <color rgb="FFC00000"/>
        <rFont val="Arial"/>
        <family val="2"/>
      </rPr>
      <t xml:space="preserve">Remember! </t>
    </r>
    <r>
      <rPr>
        <b/>
        <sz val="10"/>
        <color theme="1"/>
        <rFont val="Arial"/>
        <family val="2"/>
      </rPr>
      <t>Focus on decisions, not outcomes. Look for disconfirming evidence. Calculate. Pray!</t>
    </r>
  </si>
  <si>
    <r>
      <rPr>
        <b/>
        <sz val="10"/>
        <color rgb="FFC00000"/>
        <rFont val="Arial"/>
        <family val="2"/>
      </rPr>
      <t xml:space="preserve">Please! </t>
    </r>
    <r>
      <rPr>
        <b/>
        <sz val="10"/>
        <color theme="1"/>
        <rFont val="Arial"/>
        <family val="2"/>
      </rPr>
      <t>It's your money. Please don't blame me if results of this excel cause you to lose it all! I've designed this excel to aid your own thinking, but you alone are responsible for your actions. I want to live peacefully ever after! I am not a sadist who wants you to do the hard work by analyzing companies on your own. But I'd rather give you a compass instead of a map, for you can confuse map with territory and lose it all. All the best!</t>
    </r>
  </si>
  <si>
    <t>HOW TO USE THIS SPREADSHEET</t>
  </si>
  <si>
    <t>IMPORTANT INSTRUCTIONS</t>
  </si>
  <si>
    <t>Last 5-Years' CAGR</t>
  </si>
  <si>
    <t>EXPLANATION</t>
  </si>
  <si>
    <t>Ben Graham Formula (Low Range)</t>
  </si>
  <si>
    <t>Ben Graham Formula (High Range)</t>
  </si>
  <si>
    <t>Balance Sheet</t>
  </si>
  <si>
    <t>Cash Flow Statement</t>
  </si>
  <si>
    <t>DCF as % of Current Mkt Cap</t>
  </si>
  <si>
    <t>Rising earnings serve as a good catalyst for stock prices. So seek companies with strong, consistent, and expanding earnings (profits). Seek companies with 5/10 year earnings per share growth greater than 25% (along with safe balance sheets). To help indicate that earnings growth is still strong, look for companies where the last 3-years earnings growth rate is higher than the last 10-years growth rate. More important than the rate of growth is the consistency in such growth. So exclude companies with volatile earnings growth in the past, even if the "average" growth has been high.</t>
  </si>
  <si>
    <t>Consider it a positive sign when a company is able to earn above-average (better than competitors) returns on equity without employing much debt. Average return on equity for Indian companies over the last 10 years is approximately 16%. Thus, seek companies that earn at least this much (16%) or more than this. Again, consistency is the key here.</t>
  </si>
  <si>
    <t>Current Market Cap.</t>
  </si>
  <si>
    <r>
      <rPr>
        <b/>
        <sz val="10"/>
        <color theme="1"/>
        <rFont val="Arial"/>
        <family val="2"/>
      </rPr>
      <t>P.S.</t>
    </r>
    <r>
      <rPr>
        <sz val="10"/>
        <color theme="1"/>
        <rFont val="Arial"/>
        <family val="2"/>
      </rPr>
      <t xml:space="preserve"> In case of companies earning negative FCF, where this model will not work, you must use a normalized positive FCF as the starting number. This number is your assumption of FCF the business will earn in a normal year, without capex. Check the history of this business while arriving at your assumption, and use your judgment wisely without twisting the model to fit your version of reality.</t>
    </r>
  </si>
  <si>
    <r>
      <rPr>
        <b/>
        <sz val="11"/>
        <color theme="1"/>
        <rFont val="Calibri"/>
        <family val="2"/>
        <scheme val="minor"/>
      </rPr>
      <t>Step 1 -</t>
    </r>
    <r>
      <rPr>
        <sz val="11"/>
        <color theme="1"/>
        <rFont val="Calibri"/>
        <family val="2"/>
        <scheme val="minor"/>
      </rPr>
      <t xml:space="preserve"> This spreadsheet works </t>
    </r>
    <r>
      <rPr>
        <i/>
        <sz val="11"/>
        <color theme="1"/>
        <rFont val="Calibri"/>
        <family val="2"/>
        <scheme val="minor"/>
      </rPr>
      <t>only</t>
    </r>
    <r>
      <rPr>
        <sz val="11"/>
        <color theme="1"/>
        <rFont val="Calibri"/>
        <family val="2"/>
        <scheme val="minor"/>
      </rPr>
      <t xml:space="preserve"> on Screener.in. The first step is to create a free account here - https://www.screener.in/register/</t>
    </r>
  </si>
  <si>
    <r>
      <rPr>
        <b/>
        <sz val="11"/>
        <color theme="1"/>
        <rFont val="Calibri"/>
        <family val="2"/>
        <scheme val="minor"/>
      </rPr>
      <t xml:space="preserve">Step 2 - </t>
    </r>
    <r>
      <rPr>
        <sz val="11"/>
        <color theme="1"/>
        <rFont val="Calibri"/>
        <family val="2"/>
        <scheme val="minor"/>
      </rPr>
      <t>After creating your account, while you are logged in to Screener.in website, visit this page - https://www.screener.in/excel/ - and upload this excel file.</t>
    </r>
  </si>
  <si>
    <r>
      <rPr>
        <b/>
        <sz val="10"/>
        <color theme="1"/>
        <rFont val="Arial"/>
        <family val="2"/>
      </rPr>
      <t>Note:</t>
    </r>
    <r>
      <rPr>
        <sz val="10"/>
        <color theme="1"/>
        <rFont val="Arial"/>
        <family val="2"/>
      </rPr>
      <t xml:space="preserve"> All data is sourced from Screener.in</t>
    </r>
  </si>
  <si>
    <t>Operating Margin</t>
  </si>
  <si>
    <t>Net Profit Growth</t>
  </si>
  <si>
    <t>Net Margin</t>
  </si>
  <si>
    <t>Key Ratios</t>
  </si>
  <si>
    <t>Free Cash Flow (Rs Cr)</t>
  </si>
  <si>
    <t>Interest Coverage (Times)</t>
  </si>
  <si>
    <t>% Growth YoY</t>
  </si>
  <si>
    <t>Operating Cash Flow Growth</t>
  </si>
  <si>
    <t>Free Cash Flow Growth</t>
  </si>
  <si>
    <t>FCF Growth YoY</t>
  </si>
  <si>
    <t>Debt/Assets</t>
  </si>
  <si>
    <t>Margins</t>
  </si>
  <si>
    <t>Management Effectiveness</t>
  </si>
  <si>
    <t>ROE</t>
  </si>
  <si>
    <t>ROCE</t>
  </si>
  <si>
    <t>Dividend Growth</t>
  </si>
  <si>
    <t>Revenue &amp; Profit Growth</t>
  </si>
  <si>
    <t>Revenue Growth</t>
  </si>
  <si>
    <t>Revenue &amp; Profit</t>
  </si>
  <si>
    <t>Revenue</t>
  </si>
  <si>
    <r>
      <t xml:space="preserve">Warning! Excel can be a wonderful tool to analyze the past. But it can be a deadly weapon if you wish to use it to predict the future! So be very careful of what you are getting into. Here, garbage in will </t>
    </r>
    <r>
      <rPr>
        <b/>
        <i/>
        <sz val="10"/>
        <color theme="0"/>
        <rFont val="Arial"/>
        <family val="2"/>
      </rPr>
      <t>always</t>
    </r>
    <r>
      <rPr>
        <b/>
        <sz val="10"/>
        <color theme="0"/>
        <rFont val="Arial"/>
        <family val="2"/>
      </rPr>
      <t xml:space="preserve"> equal garbage out. And if you need the excel to tell you what you must do with a given stock, you must not use this tool anyways.</t>
    </r>
  </si>
  <si>
    <t>Higher is better, but also look for long term stability and consistency</t>
  </si>
  <si>
    <t>Higher isn't always better, esp. when the company is generating high ROE, which means the management is allocating capital efficiently</t>
  </si>
  <si>
    <t>Cash Flows</t>
  </si>
  <si>
    <t>Data for Charts (Please don't touch any number below)</t>
  </si>
  <si>
    <r>
      <rPr>
        <b/>
        <sz val="10"/>
        <color theme="1"/>
        <rFont val="Arial"/>
        <family val="2"/>
      </rPr>
      <t>Explanation:</t>
    </r>
    <r>
      <rPr>
        <sz val="10"/>
        <color theme="1"/>
        <rFont val="Arial"/>
        <family val="2"/>
      </rPr>
      <t xml:space="preserve"> Considering the above range, we can say that Hero Moto's IV range is between Rs 55,000 crore to Rs 95,000 crore. It's a big range, but that's fine (who is looking for precision?). Now, if the current market cap is within this IV range, it makes the stock reasonably/attractively priced. If the current market cap is higher then the higher value of the range, it makes it overpriced. But remember, these are just numbers!</t>
    </r>
  </si>
  <si>
    <r>
      <rPr>
        <b/>
        <sz val="10"/>
        <color rgb="FFC00000"/>
        <rFont val="Arial"/>
        <family val="2"/>
      </rPr>
      <t>Remember!</t>
    </r>
    <r>
      <rPr>
        <b/>
        <sz val="10"/>
        <color theme="1"/>
        <rFont val="Arial"/>
        <family val="2"/>
      </rPr>
      <t xml:space="preserve"> Give importance to a stock's valuations / fair value only "after" you have answered in "Yes" to these two questions - (1) Is this business simple to be understood? and (2) Can I understand this business?
Don't try to quantify everything. In stock research, the less non-mathematical you are, the more simple, sensible, and useful will be your analysis and results. Great analysis is generally "back-of-the-envelope".
Also, your calculated "fair value" will be proven wrong in the future, so don't invest your savings just because you fall in love with it. Don't look for perfection. It is overrated. Focus on decisions, not outcomes. Look for disconfirming evidence.</t>
    </r>
  </si>
  <si>
    <t>Higher is better, but also look for long term stability and consistency, plus the nature of the industry. Also compare with industry peer(s)</t>
  </si>
  <si>
    <t xml:space="preserve">Higher/rising is better. Compare with industry peer(s) </t>
  </si>
  <si>
    <t xml:space="preserve">Lower/reducing is better. Compare with industry peer(s) </t>
  </si>
  <si>
    <t>Nil / lower than 0.5 / reducing is better</t>
  </si>
  <si>
    <t>Lower is better</t>
  </si>
  <si>
    <t>Look for number &gt; 5</t>
  </si>
  <si>
    <t>Look for number &gt; 20%. Also check if the debt is low/nil. Compare with industry peer(s)</t>
  </si>
  <si>
    <t>Look for positive and rising numbers. If the company consistently generates negative FCF over say 10 years, avoid it.</t>
  </si>
  <si>
    <t>P/FCF</t>
  </si>
  <si>
    <t>P/OCF</t>
  </si>
  <si>
    <t>Debt</t>
  </si>
  <si>
    <t>debt/marketcap</t>
  </si>
  <si>
    <t>Min</t>
  </si>
  <si>
    <t>Min all average EPS(10,7,5,3yrs)</t>
  </si>
  <si>
    <t>NetProfit Growth</t>
  </si>
  <si>
    <t>Windage growth %</t>
  </si>
  <si>
    <t>10yrs</t>
  </si>
  <si>
    <t>7yrs</t>
  </si>
  <si>
    <t>6yrs</t>
  </si>
  <si>
    <t>5yrs</t>
  </si>
  <si>
    <t>4yrs</t>
  </si>
  <si>
    <t>3yrs</t>
  </si>
  <si>
    <t>2yrs</t>
  </si>
  <si>
    <t>9yrs</t>
  </si>
  <si>
    <t>8yrs</t>
  </si>
  <si>
    <t>Sales Growth%</t>
  </si>
  <si>
    <t>NetProfit Growth %</t>
  </si>
  <si>
    <t>MIN</t>
  </si>
  <si>
    <t>Windage PE</t>
  </si>
  <si>
    <t>Max</t>
  </si>
  <si>
    <t>Average</t>
  </si>
  <si>
    <t>PE growth</t>
  </si>
  <si>
    <t>twice of windage growth</t>
  </si>
  <si>
    <t>min PE</t>
  </si>
  <si>
    <t xml:space="preserve">Minimum of 1 and 2 above </t>
  </si>
  <si>
    <t>MARR(Min acceptable return rate)</t>
  </si>
  <si>
    <t>Future 10yr EPS (after 10yrs)</t>
  </si>
  <si>
    <t>Future Price after 10 yrs</t>
  </si>
  <si>
    <t>Present Price (Future price/4)</t>
  </si>
  <si>
    <t>MOS (PresentPrice/2 for 50%)</t>
  </si>
  <si>
    <t>CALCULATIONS WITH</t>
  </si>
  <si>
    <t xml:space="preserve">MIN </t>
  </si>
  <si>
    <t>CURRENT</t>
  </si>
  <si>
    <t>AVERAGE(3yrs)</t>
  </si>
  <si>
    <t>Average3ys</t>
  </si>
  <si>
    <t>Current</t>
  </si>
  <si>
    <t>Tax% of PBT</t>
  </si>
  <si>
    <t>Total Debt (D)</t>
  </si>
  <si>
    <t>3 year equity</t>
  </si>
  <si>
    <t>3 year return</t>
  </si>
  <si>
    <t>Book Value</t>
  </si>
  <si>
    <t>Enterprice Price (Equity+debt)</t>
  </si>
  <si>
    <t>Profit</t>
  </si>
  <si>
    <t>Share Capital</t>
  </si>
  <si>
    <t>Return on average equity</t>
  </si>
  <si>
    <t>Average Equity</t>
  </si>
  <si>
    <t>Average net Fixed Assets</t>
  </si>
  <si>
    <t>NFAT = Sales/Average net fixed assets</t>
  </si>
  <si>
    <t>NPM = Net Profit margin as % of sales</t>
  </si>
  <si>
    <t>DPR=Dividend payout Ratio=Dividend paid/PAT</t>
  </si>
  <si>
    <t>Dep = Depn rate as % of net fixed assets</t>
  </si>
  <si>
    <t>SSGR = NFAT*NPM*(1-DPR) – Dep</t>
  </si>
  <si>
    <t>SSGR Calculation</t>
  </si>
  <si>
    <t>New Assets</t>
  </si>
  <si>
    <t>Capex Calculation</t>
  </si>
  <si>
    <t>EPS YoY</t>
  </si>
  <si>
    <t>Sales YoY</t>
  </si>
  <si>
    <t>P/L - Annual - YoY change</t>
  </si>
  <si>
    <t>Graph Data:</t>
  </si>
  <si>
    <t>last 4 Qtr</t>
  </si>
  <si>
    <t>Value created per INR of RE (B/A)</t>
  </si>
  <si>
    <t>Net Cash Flow (CFO+CFI+CFF)</t>
  </si>
  <si>
    <t>Cash from Financing Activity (CFF)</t>
  </si>
  <si>
    <t>Cash from Investing Activity (CFI)</t>
  </si>
  <si>
    <t>Interest Coverage (OP/Int.Out)</t>
  </si>
  <si>
    <t>Interest outgo (Rs. Cr.)</t>
  </si>
  <si>
    <t>Cost of funds</t>
  </si>
  <si>
    <t>Debt to Equity ratio (D/E)</t>
  </si>
  <si>
    <t xml:space="preserve">Total Equity (E) </t>
  </si>
  <si>
    <t>Cash + Investments (CI +NCI)</t>
  </si>
  <si>
    <t>Mcap</t>
  </si>
  <si>
    <t>Dividend Payout (Div/PAT)</t>
  </si>
  <si>
    <t>Dividend Paid (Div) Without DDT</t>
  </si>
  <si>
    <t>Capital Work in Progress (CWIP)</t>
  </si>
  <si>
    <t>Net Fixed Assets (NFA)</t>
  </si>
  <si>
    <t>Inventory Turnover (High is better)</t>
  </si>
  <si>
    <t>Receivables days (Low is better)</t>
  </si>
  <si>
    <t>Net Fixed Asset Turnover (High is better)</t>
  </si>
  <si>
    <t>Profit/Mcap</t>
  </si>
  <si>
    <t>Incremental ROE 3Yr Rolling</t>
  </si>
  <si>
    <t>ROCE (EBIT on Avg CE/TA) (&lt;10%,&gt;35%)</t>
  </si>
  <si>
    <t>ROE on Avg Equity (&lt;7%, &gt;25%)</t>
  </si>
  <si>
    <t>PBT/Avg. NFA (&lt;10%,&gt;25%)</t>
  </si>
  <si>
    <t>Self-Sustainable Growth Rate (SSGR)</t>
  </si>
  <si>
    <t>Capex (NFA+WIP+Dep)</t>
  </si>
  <si>
    <t>10Yr Cash profit Margin (10yr CPM%)</t>
  </si>
  <si>
    <t>Cash Profit Margin (CPM%)</t>
  </si>
  <si>
    <t>Net Profit Margin (NPM%)</t>
  </si>
  <si>
    <t>Net Profit after tax (PAT)</t>
  </si>
  <si>
    <t>Tax%</t>
  </si>
  <si>
    <t>Operating Profit Margin (OPM%)</t>
  </si>
  <si>
    <t>TTM</t>
  </si>
  <si>
    <t>3Yr</t>
  </si>
  <si>
    <t>5Yr</t>
  </si>
  <si>
    <t>7Yr</t>
  </si>
  <si>
    <t>10Yr</t>
  </si>
  <si>
    <t>Growth Trends</t>
  </si>
  <si>
    <t>Last 4 Quarters</t>
  </si>
  <si>
    <t>(INR Crores/10 Millions)</t>
  </si>
  <si>
    <t>4.Which factors are going to move my stocks and where can I get unique insights on these factors?</t>
  </si>
  <si>
    <t>3.Don’t change price target unless there is ample reason, whether a revised forecast, a revised multiple, or a new valuation method. Another critical point: If you’re going to change your price target, don’t do it incrementally.</t>
  </si>
  <si>
    <t>2.It is essential to get a grasp on expectations and concerns of market participants and where those fit into the larger market outlook.</t>
  </si>
  <si>
    <t>1.Analysts need to be careful of and fix their own internal flaws, keeping emotions in check. Steering clear of the overconfidence mind trap, the heuristics mind trap, confirmation bias, and the like would keep you in good stead. “Make sure we know there’s always a different view on a particular stock,” Valentine states</t>
  </si>
  <si>
    <t>The art of valuation</t>
  </si>
  <si>
    <t>A vast majority of customers will have something positive about the company</t>
  </si>
  <si>
    <r>
      <t xml:space="preserve">Invest in companies with </t>
    </r>
    <r>
      <rPr>
        <b/>
        <sz val="12"/>
        <color theme="1"/>
        <rFont val="Calibri"/>
        <family val="2"/>
        <scheme val="minor"/>
      </rPr>
      <t xml:space="preserve">share of mind </t>
    </r>
    <r>
      <rPr>
        <sz val="10"/>
        <color theme="1"/>
        <rFont val="Calibri"/>
        <family val="2"/>
        <scheme val="minor"/>
      </rPr>
      <t>among consumers. These companies have pricing power and a unique moat. The consumers keep coming back to these products</t>
    </r>
  </si>
  <si>
    <t>Accept that market and returns have cycles. What goes up will go down.</t>
  </si>
  <si>
    <t>Good investing means being prepared for an environment different than what we thought and keeping Plan B ready. Predit less and plan more.</t>
  </si>
  <si>
    <t>When your stock falls, ask yourself. Is it critical to its survival or is it just a temporary patch? If it is temporary, your stock will most likely pass through the tough phase. As you go about investing, always keep in mind, every good stock will have bad days.</t>
  </si>
  <si>
    <t>Particpate in the market with the power of information and preparedness. There are sensible approaches for discerning investor to participate in the value that businesses create</t>
  </si>
  <si>
    <t>Next time you look at a stock, don’t forget to look at its long term ROCE – it’ll give you an insight about the inherent strength of the company’s business, and its ability to squeeze value from every rupee of capital. That will not only determine its valuation but also the price performance.</t>
  </si>
  <si>
    <t>Trading is about moving the capital quickly across positions, evaluating them as you go along. If you merely buy &amp; sell without that agility it is your broker who will make the money, not you.</t>
  </si>
  <si>
    <t>Let us look at the Abrasives Industry (which was picked randomly) which has a fairly uniform product, the relationship between the five-year average ROCE and Price/Book Value is fairly consistent with the findings above.</t>
  </si>
  <si>
    <t>Traders are tested when the bets move against them and a good one will bow out and take the loss on the chin. The amateur will hold the position &amp; wish for the markets to oblige &amp; get caught up in steep loss.</t>
  </si>
  <si>
    <t>An interesting example: The Abrasives Industry</t>
  </si>
  <si>
    <t>Riding the momentum in a stock and booking some quick gains can make you mistakenly believe that it is all easy. Its just that you got lukcy in a gamble ans you may not be able to replicate your gains.</t>
  </si>
  <si>
    <t>Do not indulge in day trading if you not mastered the art of managing your capital. Trading is very different from investing &amp; calls for a different set of skills.</t>
  </si>
  <si>
    <t>At Marketsmojo, the five-year average ROCE  is one of the most important metric used in our Quality Parameter.</t>
  </si>
  <si>
    <t>15. Dies the company has management of unquestionable integrity</t>
  </si>
  <si>
    <t>The relationship remains the same today. Is it any wonder why Hindustan Unilever, Nestle or Page Industries enjoy such high valuations?</t>
  </si>
  <si>
    <t>If you are unable to see at a loss and move on, you may still not be ready for equity investing.If you do not cut your loss, your profits may get wiped off.</t>
  </si>
  <si>
    <t>A 2011 report, “Impact of ROCE on valuation”, by PWC concluded: “Companies that deliver better Return on Capital Employed (ROCE) experience higher valuation”</t>
  </si>
  <si>
    <t>14.Does the management talk freely to investors about its affairs when things are going well but calm up when trouble and disappointments happen</t>
  </si>
  <si>
    <t xml:space="preserve">Do not hope to recover your loss from the stock you wrongly picked. You can make it in a another stock.By letting your losses to persist, you are allowing your capital to bleed. </t>
  </si>
  <si>
    <t>In 1997, when running research for HSBC, I had written a piece on the importance of ROCE. I had found that, everything else remaining the same, high ROCE companies enjoy far higher valuation that companies with low ROCE. At least for the companies where market believes that the high ROCE is sustainable.</t>
  </si>
  <si>
    <t>There are too many unknowns and a stock you picked might end up doing worse that you expected. Your portfolio will do well if you focus on selling off what is losing money for you, rather than selling what is making money.</t>
  </si>
  <si>
    <t>High ROCE Means High Valuation</t>
  </si>
  <si>
    <t>13.In the foreseeable future will the growth of the company require sufficient equity financing so that the large number of shares then outstanding will largely cancel the existing share holder's benefit from this anticipated growth</t>
  </si>
  <si>
    <t>Do not hesitate to throw out the bad apples. There is no way you will get each one of the stock picks right - even if you did the best research and analysis.</t>
  </si>
  <si>
    <t>We have had many such companies in India as well. Many consumer related business enjoy high ROCE due to their Asset Light nature.  Hindustan Unilever with ROCE at close to 800%, Nestle at 400%, Page Industries at 84% are great examples.</t>
  </si>
  <si>
    <t>12.Does the company have a short-range or a long-range outlook in regard to its profits</t>
  </si>
  <si>
    <t>Allow your gains to run. What you have to be hawk-eyed is the loss.</t>
  </si>
  <si>
    <t>It follows from the equation that in order to generate high ROCE, a company must either have very high profit margins or need low levels of Capital Employed or a combination of the two.</t>
  </si>
  <si>
    <t>Remember that a bull market is not defined by its highs, but by its lows. No one knows how far your stock will run and you may regret quitting too soon.</t>
  </si>
  <si>
    <t>ROCE is a far more useful measure compared to Return on Equity (ROE) as: “ ROCE is especially useful when comparing the performance of companies in capital-intensive sectors such as utilities and telecoms. This is because unlike return on equity (ROE), which only analyzes profitability related to a company’s equity, ROCE considers debt and other liabilities as well. This provides a better indication of financial performance for companies with significant debt.”</t>
  </si>
  <si>
    <t>11.Are there other aspects of the business, somewhat peculiar to the industry involved, which will give the investor important clues as to how outstanding the company maybe in relation to its competitors</t>
  </si>
  <si>
    <t>Tentativeness about how far the markets will run up will increase as naysayers point to the end of the bull market with every rise.</t>
  </si>
  <si>
    <t>EBIT is easy to calculate, but what about the Capital Employed? The paper says: “Capital Employed is the capital investment necessary for a business to function. It is commonly represented as total assets less current liabilities (or Fixed Assets plus Working Capital).”</t>
  </si>
  <si>
    <t xml:space="preserve">Stories about how someone did not make all the money because of not getting out at the right time remain in memory. </t>
  </si>
  <si>
    <t>How do we calculated ROCE? Well, there are a few variants. But the easiest one is shown in this paper by Mirae Asset Management. Marketsmojo uses the same method.</t>
  </si>
  <si>
    <t>10.How good are the company's cost analysis and accounting controls</t>
  </si>
  <si>
    <t>Do not quit in great haste. The desire to be right about timing the market is very high with investors. Coming off from a flat into a boom creates anxities.</t>
  </si>
  <si>
    <t>ROCE = EBIT/Capital Employed</t>
  </si>
  <si>
    <t>9.Does the company have depth to its management</t>
  </si>
  <si>
    <t>It does not matter when that would happen, not is it necessary to predict the next fall. Returns will eventually average out overtime and these abnormal gains will bufer you again.</t>
  </si>
  <si>
    <t>A company that needs large increases in capital to engender its growth may well prove to be a satisfactory investment. There is, to follow through on our example, nothing shabby about earning $82 million pre-tax on $400 million of net tangible assets. But that equation for the owner is vastly different from the See’s situation.It’s far better to have an ever-increasing stream of earnings with virtually no major capital requirements. Ask Microsoft or Google.”</t>
  </si>
  <si>
    <t>Do not be taken in by recent  experiences of appreciation in the value of your investments. Learn to see these as the buffer for the inevitable correction that will come in the future.</t>
  </si>
  <si>
    <t>There aren’t many See’s in Corporate America. Typically, companies that increase their earnings from $5 million to $82 million require, say, $400 million or so of capital investment to finance their growth. That’s because growing businesses have both working capital needs that increase in proportion to sales growth and significant requirements for fixed asset investments.</t>
  </si>
  <si>
    <t>8.Does the company have outstanding executive relations</t>
  </si>
  <si>
    <t>Investors who see a 10% return as fantastic will begin to believe that a 40% return is to be normally expected.</t>
  </si>
  <si>
    <t>Last year See’s sales were $383 million, and pre-tax profits were $82 million. The capital now required to run the business is $40 million. This means we have had to reinvest only $32 million since 1972 to handle the modest physical growth – and somewhat immodest financial growth – of the business. In the meantime pre-tax earnings have totaled $1.35 billion. All of that, except for the $32 million, has been sent to Berkshire (or, in the early years, to Blue Chip). After paying corporate taxes on the profits, we have used the rest to buy other attractive businesses. Just as Adam and Eve kick-started an activity that led to six billion humans, See’s has given birth to multiple new streams of cash for us. (The biblical command to “be fruitful and multiply” is one we take seriously at Berkshire.)</t>
  </si>
  <si>
    <t>Not venturing in unrelated business or making unrelated acquisitions</t>
  </si>
  <si>
    <t xml:space="preserve">A bull market attracts investors as their confidence moves up when what they have invested in begins to do well, or exceed their expectations </t>
  </si>
  <si>
    <t>“We bought See’s for $25 million when its sales were $30 million and pre-tax earnings were less than $5 million. The capital then required to conduct the business was $8 million (Modest seasonal debt was also needed for a few months each year). Consequently, the company was earning 60% pre-tax on invested capital. Two factors helped to minimize the funds required for operations. First, the product was sold for cash, and that eliminated accounts receivable. Second, the production and distribution cycle was short, which minimized inventories.</t>
  </si>
  <si>
    <t>Stable leadership</t>
  </si>
  <si>
    <t>7.Does the company have outstanding labor and personel relations</t>
  </si>
  <si>
    <t>Do not benchmark your returns with what you may have gained in the short-term by participating in the equity markets. It is a good feeling to see the value of investments go up.</t>
  </si>
  <si>
    <t>The 2007 letter of Berkshire Hathaway is a classic. If there is only one Berkshire Hathaway letter you want to read, this one is it. In that letter, Warren Buffett narrates the success of See’s Candy.</t>
  </si>
  <si>
    <t>Ability to convert as opportunities what peers see as risk</t>
  </si>
  <si>
    <t>The Magic of ROCE</t>
  </si>
  <si>
    <t>There is relentless focus on execution and excellent capital allocation</t>
  </si>
  <si>
    <t>6.What is the company doing to maintain or improve its profit margin</t>
  </si>
  <si>
    <t>Your money deserves better</t>
  </si>
  <si>
    <t>Up the ante in customer satisfaction</t>
  </si>
  <si>
    <t>Make sure your holdings are worth your hard earned money. Do not take chances with unknown stocks and overhyped IPO when there are enough of others with well established track record &amp; performance numbers</t>
  </si>
  <si>
    <t>In this, the fourth piece in the series of Going to Bed Smarter, I present pieces which let you into the secret of ROCE.</t>
  </si>
  <si>
    <t>They stay relevant through economic cycles by anticipating and adapting to disruption better.</t>
  </si>
  <si>
    <t>5.Does the company have a worthwhile profit margin</t>
  </si>
  <si>
    <t>While it is not possible to predict the future with any degee of certainity, you need to have an investment thesis or a basic set of reasons why you bought the stock. Write down your reasons.</t>
  </si>
  <si>
    <t>At Marketsmojo we use the concept of Return on Capital Employed (ROCE) to uncover great companies that can deliver fantastic shareholder returns. </t>
  </si>
  <si>
    <t>Company is in perpetual challenger mode. Responds swiftly to competition.</t>
  </si>
  <si>
    <t>What you see as the rise in the price of the stock in the past is history. What will matter to you is how the stock stock will behave in the future.</t>
  </si>
  <si>
    <t>His 2007 newsletter reads: “A truly great business must have an enduring ‘moat’ that protects excellent returns on invested capital (ROIC).” </t>
  </si>
  <si>
    <t>Use of technology and premiumization to improve margins</t>
  </si>
  <si>
    <t>4.Does the company have an above average sales organization</t>
  </si>
  <si>
    <t>Do not sacrifice quality for anything. The rising tide allows lightweights to also soar. Do not use price as an indicator of how good the stock is.</t>
  </si>
  <si>
    <t>Let’s discuss how Warren Buffett finds a great business.</t>
  </si>
  <si>
    <t>Outperformers</t>
  </si>
  <si>
    <t>Yesterday’s ET story says,“Warren Buffett in Talks for a Slice of Paytm”.</t>
  </si>
  <si>
    <t>3.How effective are the company's research and development efforts in relation to its size</t>
  </si>
  <si>
    <t>Stay focussed on that micro reality, not on the macro nartatives floating around.</t>
  </si>
  <si>
    <t>  </t>
  </si>
  <si>
    <t xml:space="preserve">Explanations about why the market is up or down is equally useless. Discount them. How you will do is a function of what you are buying, holding and selling. </t>
  </si>
  <si>
    <t>August 28, 11:54: AM IST</t>
  </si>
  <si>
    <t>5.Formation of too many subsidiaries</t>
  </si>
  <si>
    <t>2.Does the management has determination to continue to develop products or processes that will further increase total sales potential when the growth potential of currently attractive product lines have largely been exploited</t>
  </si>
  <si>
    <t>Do not treat them like immediate calls for actions. Do not check the index everyday, and do not make generalizations based on the index.</t>
  </si>
  <si>
    <t>4.Too many acquisitions</t>
  </si>
  <si>
    <t>These are journeys of an index which will go up as the market prices of stocks go up. They are not urgent reminders that tell you about loss opportunities.</t>
  </si>
  <si>
    <t>Sanjeev Mohta</t>
  </si>
  <si>
    <t>3.Unusual related party transactions</t>
  </si>
  <si>
    <t>1.Does the company have products or services with sufficient market potential to make possible a sizeable increase in sales for atleast several years</t>
  </si>
  <si>
    <t>Do not be taken in by the new highs. Once the past peak of the index has been crossed, every new level is a new high &amp; there is nothing extraordinary about it.</t>
  </si>
  <si>
    <t>At Marketsmojo we use the concept of Return on Capital Employed (ROCE) to uncover great companies that can deliver fantastic shareholder returns.  In this, the fourth piece in the series of Going to Bed Smarter, I present pieces which let you into the secret of ROCE.</t>
  </si>
  <si>
    <t>2.Absence or low implementation of policies</t>
  </si>
  <si>
    <t>Going to Bed Smarter #4: ROCE, the Secret Winning Edge to any portfolio</t>
  </si>
  <si>
    <t>1. Skewed business performance - Significant change In financial ratios from previous year</t>
  </si>
  <si>
    <t>Philip Fisher on What to Buy</t>
  </si>
  <si>
    <t>List of mistakes made in the market made over and over again -</t>
  </si>
  <si>
    <t>RoCE</t>
  </si>
  <si>
    <t>Red Flags</t>
  </si>
  <si>
    <t>YEARS</t>
  </si>
  <si>
    <t>Mar-14</t>
  </si>
  <si>
    <t>Mar-15</t>
  </si>
  <si>
    <t>Mar-16</t>
  </si>
  <si>
    <t>Mar-17</t>
  </si>
  <si>
    <t>Mar-18</t>
  </si>
  <si>
    <t>Mar-19</t>
  </si>
  <si>
    <t>OPM Growth</t>
  </si>
  <si>
    <t>Price to earning(NetProfit)</t>
  </si>
  <si>
    <t>Equity</t>
  </si>
  <si>
    <t>D/E</t>
  </si>
  <si>
    <t>Debt history</t>
  </si>
  <si>
    <t>EPS history</t>
  </si>
  <si>
    <t>SSGR%</t>
  </si>
  <si>
    <t>Rolling ROE calculation</t>
  </si>
  <si>
    <t>MaxPE</t>
  </si>
  <si>
    <t>MinEPS</t>
  </si>
  <si>
    <t>MaxEPS</t>
  </si>
  <si>
    <t>MinPE</t>
  </si>
  <si>
    <t>AvePE</t>
  </si>
  <si>
    <t>AverageEPS</t>
  </si>
  <si>
    <t>AVERAGE(5yrs)</t>
  </si>
  <si>
    <t>Min5yrs</t>
  </si>
  <si>
    <t>Max5yrs</t>
  </si>
  <si>
    <t>Price TO BUY (AverageEPS)</t>
  </si>
  <si>
    <t>Price TO BUY (MinEPS)</t>
  </si>
  <si>
    <t>AveragePE</t>
  </si>
  <si>
    <t>4Qtr</t>
  </si>
  <si>
    <t>ave5yrs</t>
  </si>
  <si>
    <t>current</t>
  </si>
  <si>
    <t>Price To Buy (4QtrlastEPS)</t>
  </si>
  <si>
    <t>Price To Buy (max EPS)</t>
  </si>
  <si>
    <t>value</t>
  </si>
  <si>
    <t>current(EPS*(Min,Ave,MaxPE))</t>
  </si>
  <si>
    <t>Min,Ave,Max (PE and EPS)</t>
  </si>
  <si>
    <t>Low</t>
  </si>
  <si>
    <t>Peloe</t>
  </si>
  <si>
    <t>PEHigh</t>
  </si>
  <si>
    <t>High</t>
  </si>
  <si>
    <t>FutureEPS</t>
  </si>
  <si>
    <t>GrowthLowPE</t>
  </si>
  <si>
    <t>FINANCIAL ANALYSIS</t>
  </si>
  <si>
    <t>Sales growth</t>
  </si>
  <si>
    <t>CAGR &gt;15% for last 7-10 years</t>
  </si>
  <si>
    <t>Growth should be a consistent year on year. Ignore companies where a sudden spurt of sales in one year is confounding the 10 years performance</t>
  </si>
  <si>
    <t>Very high growth rates of &gt;50% are unsustainable.</t>
  </si>
  <si>
    <t>Profitability</t>
  </si>
  <si>
    <t>NPM &gt;8%</t>
  </si>
  <si>
    <t>Look for companies with sustained operating &amp; net profit margins over the years</t>
  </si>
  <si>
    <t>Tax payout</t>
  </si>
  <si>
    <t>&gt;30%</t>
  </si>
  <si>
    <t>The tax rate should be near general corporate tax rate unless some specific tax incentives are applicable to the company.</t>
  </si>
  <si>
    <t>Interest coverage</t>
  </si>
  <si>
    <t>&gt;3</t>
  </si>
  <si>
    <t>Debt to Equity ratio</t>
  </si>
  <si>
    <t>&lt; 0.5</t>
  </si>
  <si>
    <t>Look for companies with D/E ratio of as low as possible. Preferably zero debt</t>
  </si>
  <si>
    <t>Current ratio</t>
  </si>
  <si>
    <t>&gt;1.25</t>
  </si>
  <si>
    <t>Cash flow</t>
  </si>
  <si>
    <t>CFO &gt; 0</t>
  </si>
  <si>
    <t>Positive CFO is necessary.</t>
  </si>
  <si>
    <t>It’s great if CFO meets the outflow for CFI and CFF</t>
  </si>
  <si>
    <t>Cumulative PAT vs. CFO</t>
  </si>
  <si>
    <t>cPAT ~ cCFO</t>
  </si>
  <si>
    <t>Cumulative PAT and CFO are similar for last 10 years</t>
  </si>
  <si>
    <t>VALUATION</t>
  </si>
  <si>
    <t>P/E ratio</t>
  </si>
  <si>
    <t>&lt;10</t>
  </si>
  <si>
    <t>Such companies provide good margin of safety</t>
  </si>
  <si>
    <t>P/E to Growth ratio (PEG ratio)</t>
  </si>
  <si>
    <t>&lt; 1</t>
  </si>
  <si>
    <t>Earnings Yield (EY)</t>
  </si>
  <si>
    <t>&gt; 10yrs Govt Bond FDs</t>
  </si>
  <si>
    <t>P/B ratio</t>
  </si>
  <si>
    <t>&lt;1</t>
  </si>
  <si>
    <t>However, I find P/B ratio irrelevant for sectors other than financial services</t>
  </si>
  <si>
    <t>Price to Sales rato (P/S ratio)</t>
  </si>
  <si>
    <t>&lt;1.5</t>
  </si>
  <si>
    <t>James O’Shaughnessy: Buy if P/S ratio is &lt; 1.5 and sell if &gt;3</t>
  </si>
  <si>
    <t>Dividend Yield (DY)</t>
  </si>
  <si>
    <t>&gt; 0%</t>
  </si>
  <si>
    <t>Higher the better.</t>
  </si>
  <si>
    <t>DY of &gt;5% is very attractive. However, do not focus a lot on DY for companies in fast growth phase</t>
  </si>
  <si>
    <t>MANAGEMENT (1to5 are subjective parameters and beyond that are Objective parameters)</t>
  </si>
  <si>
    <t>Background check of promoters &amp; directors</t>
  </si>
  <si>
    <t>Web search</t>
  </si>
  <si>
    <t>There should not be any information questioning the integrity of promoters &amp; directors</t>
  </si>
  <si>
    <t>Management succession plans</t>
  </si>
  <si>
    <t>Good succession plan should be in place</t>
  </si>
  <si>
    <t>Salary being paid to potential successors should be in line with their experience</t>
  </si>
  <si>
    <t>Commitment of management</t>
  </si>
  <si>
    <t>Check part quarterly pomises</t>
  </si>
  <si>
    <t>Guidance is released with every quarter results. Check for past 7-8 guidance and crossverify against results</t>
  </si>
  <si>
    <t>Management Integrety</t>
  </si>
  <si>
    <t>Should not run private business</t>
  </si>
  <si>
    <t>management should not run private company with conflicting interest</t>
  </si>
  <si>
    <t>Project execution skills</t>
  </si>
  <si>
    <t>Green/brownfield project execution</t>
  </si>
  <si>
    <t>The company should have shown good project execution skills with cost and time overruns.</t>
  </si>
  <si>
    <t>Exclude capacity increase by mergers &amp; acquisitions.</t>
  </si>
  <si>
    <t>Salary of promoters vs. net profits</t>
  </si>
  <si>
    <t>No salary increase with declining profits/losses</t>
  </si>
  <si>
    <t>promoter should not have a history of seeking increase in remuneration when the profits of the company declined in past</t>
  </si>
  <si>
    <t>Consistent increase in dividend payments</t>
  </si>
  <si>
    <t>Dividend CAGR &gt; 0</t>
  </si>
  <si>
    <t>Dividends should be increasing with increase in profits of the company</t>
  </si>
  <si>
    <t>Promoter shareholding</t>
  </si>
  <si>
    <t>&gt; 51%</t>
  </si>
  <si>
    <t>Higher the better</t>
  </si>
  <si>
    <t>Promoter buying the shares</t>
  </si>
  <si>
    <t>Insider buying ++</t>
  </si>
  <si>
    <t>If promoter of a company buys its shares, investors should buy too</t>
  </si>
  <si>
    <t>FII shareholding</t>
  </si>
  <si>
    <t>~ 0%</t>
  </si>
  <si>
    <t>the lower the better</t>
  </si>
  <si>
    <t>Holding trend</t>
  </si>
  <si>
    <t>Trent of holding by promoters</t>
  </si>
  <si>
    <t>increasing is better</t>
  </si>
  <si>
    <t>Debt trend</t>
  </si>
  <si>
    <t>Trend of debt</t>
  </si>
  <si>
    <t>decreasing is better</t>
  </si>
  <si>
    <t>Dividend Paid</t>
  </si>
  <si>
    <t>Capex</t>
  </si>
  <si>
    <t>Total+CapitalWIP</t>
  </si>
  <si>
    <t>Change in Total+CapitalWIP</t>
  </si>
  <si>
    <r>
      <rPr>
        <b/>
        <sz val="10"/>
        <color theme="1"/>
        <rFont val="Arial"/>
        <family val="2"/>
      </rPr>
      <t>Step 3 -</t>
    </r>
    <r>
      <rPr>
        <sz val="10"/>
        <color theme="1"/>
        <rFont val="Arial"/>
        <family val="2"/>
      </rPr>
      <t xml:space="preserve"> Visit the home page of Screener.in and enter a company of your choice in search. Once you do that, you will see details of your chosen company. </t>
    </r>
  </si>
  <si>
    <r>
      <rPr>
        <b/>
        <sz val="10"/>
        <color theme="1"/>
        <rFont val="Arial"/>
        <family val="2"/>
      </rPr>
      <t>Step 4 -</t>
    </r>
    <r>
      <rPr>
        <sz val="10"/>
        <color theme="1"/>
        <rFont val="Arial"/>
        <family val="2"/>
      </rPr>
      <t xml:space="preserve"> Click on "Export to Excel" on the right side. </t>
    </r>
  </si>
  <si>
    <t xml:space="preserve">1. DON’T touch any cell except </t>
  </si>
  <si>
    <t>2. Comments and Instructions are added wherever necessary.</t>
  </si>
  <si>
    <t>4. For any bug/errors in this spreadsheet please email me at - sumitkumalik@gmail.com - and I will try to fix the same and update the sheet</t>
  </si>
  <si>
    <t>3. This sheet is not a replacement of the work required to read annual reports as part of the analysis process. (Since data is not taken from bse or NSE sources you have to make sure by reading annual report before investing.</t>
  </si>
  <si>
    <t>INDIAN Stock Analysis Excel (Ver. 1.0)</t>
  </si>
  <si>
    <t>What to look for? Explaination below against each row</t>
  </si>
  <si>
    <t>SrNo</t>
  </si>
  <si>
    <t>Value</t>
  </si>
  <si>
    <t>Remarks</t>
  </si>
  <si>
    <t>Growth should be consistent year on year. Ignore companies where sudden spurt of sales in one year is confounding the 10 years performance.  Very high growth rates of &gt;50% are unsustainable.</t>
  </si>
  <si>
    <t>Tax rate should be near general corporate tax rate unless some specific tax incentives are applicable to the company.</t>
  </si>
  <si>
    <t>Positive CFO is necessary. It’s great if CFO meets the outflow for CFI and CFF</t>
  </si>
  <si>
    <t>VALUATION ANALYSIS</t>
  </si>
  <si>
    <t>Read: 3 Principles to decide ideal PE ratio to pay for a stock</t>
  </si>
  <si>
    <t>&gt; 10 year G-Sec yield</t>
  </si>
  <si>
    <t>EY should be greater than long term government bond yields or bank fixed deposit interest rates</t>
  </si>
  <si>
    <r>
      <rPr>
        <sz val="12"/>
        <color rgb="FF333333"/>
        <rFont val="&quot;Times New Roman&quot;"/>
      </rPr>
      <t xml:space="preserve">However, I find P/B ratio </t>
    </r>
    <r>
      <rPr>
        <b/>
        <sz val="12"/>
        <color rgb="FF333333"/>
        <rFont val="&quot;Times New Roman&quot;"/>
      </rPr>
      <t>irrelevant for sectors other than financial services</t>
    </r>
  </si>
  <si>
    <t>Price to Sales ratio (P/S ratio)</t>
  </si>
  <si>
    <t>&lt; 1.5</t>
  </si>
  <si>
    <t>Higher the better. DY of &gt;5% is very attractive. However, do not focus a lot on DY for companies in fast growth phase</t>
  </si>
  <si>
    <t>BUSINESS &amp; INDUSTRY ANALYSIS</t>
  </si>
  <si>
    <t>Comparison with industry peers</t>
  </si>
  <si>
    <t>Sales growth &gt; peers</t>
  </si>
  <si>
    <t>The Company must show sales growth higher than peers. If its sales growth is similar to peers, then there is no Moat</t>
  </si>
  <si>
    <t>Increase in production capacity and sales volume</t>
  </si>
  <si>
    <t>Production capacity &amp; sales volume CAGR ~ Sales CAGR</t>
  </si>
  <si>
    <t>Company must have shown increased market penetration by selling higher volumes of its product/service</t>
  </si>
  <si>
    <t>Conversion of sales growth into profits</t>
  </si>
  <si>
    <t>Profit CAGR ~ Sales CAGR</t>
  </si>
  <si>
    <t>A Moat would result in increasing profits with increasing sales. Otherwise, sales growth is only a result of unnecessary expansion or aggressive marketing push, which would erode value in long term</t>
  </si>
  <si>
    <t>Conversion of profits into cash</t>
  </si>
  <si>
    <t>If cPAT &gt;&gt; cCFO, then either the profits are fictitious or the company is selling to any John Doe for higher sales without having the ability to collect money from them</t>
  </si>
  <si>
    <t>Creation of value for shareholders from the profits retained</t>
  </si>
  <si>
    <t>Increase in Mcap in last 10 yrs. &gt; Retained profits in last 10 yrs.</t>
  </si>
  <si>
    <t>Otherwise company is destroying wealth of shareholders</t>
  </si>
  <si>
    <t>MANAGEMENT ANALYSIS</t>
  </si>
  <si>
    <t>Company should have shown good project execution skills with cost and time overruns. Exclude capacity increase by mergers &amp; acquisitions.</t>
  </si>
  <si>
    <t>Product diversification</t>
  </si>
  <si>
    <t>Pure play</t>
  </si>
  <si>
    <t>Company should be either a pure play (only one business segment) or related products. Pure play model ensures that the management is specialized in what they are doing. Entirely different unrelated products/services are a strict NO. An investor should rather buy stocks of different companies, if she wants such diversification.</t>
  </si>
  <si>
    <t>Govt. influence</t>
  </si>
  <si>
    <t>No govt. interference in profit making</t>
  </si>
  <si>
    <t>No cap on profit returns or pricing of product.  No compulsion to supply to certain clients.</t>
  </si>
  <si>
    <t>EY &gt; 10 Yr G-Sec Yield</t>
  </si>
  <si>
    <t>Higher the EY than 10 Yr G-Sec Yield, the better</t>
  </si>
  <si>
    <t>Self Sustainable Growth Rate(SSGR)</t>
  </si>
  <si>
    <t>SSGR &gt; Achieved Sales Growth Rate</t>
  </si>
  <si>
    <t>Higher the SSGR than achieved Sales Growth, the better</t>
  </si>
  <si>
    <t>Free Cash Flow(FCF)</t>
  </si>
  <si>
    <t>FCF/CFO &gt;&gt; 0</t>
  </si>
  <si>
    <t>Higher the FCF as proportion of CFO, the better</t>
  </si>
  <si>
    <t>Credit RatingHistory</t>
  </si>
  <si>
    <t>BBB- &amp; above</t>
  </si>
  <si>
    <t>Current credit rating should be minimum BBB-  Credit rating should have been improving over the years</t>
  </si>
  <si>
    <t>Consistence Sales growth</t>
  </si>
  <si>
    <t>Profitability (NPM&gt;8%-10%)</t>
  </si>
  <si>
    <t>Tax payout (&gt;30%)</t>
  </si>
  <si>
    <t>Debt to Equity ratio (&lt;50%)</t>
  </si>
  <si>
    <t>Cash flow Operation</t>
  </si>
  <si>
    <t>Cash flow Operation (&gt;0)</t>
  </si>
  <si>
    <t>Earnings Yield (EY) (&gt;10yrs GS)</t>
  </si>
  <si>
    <t>P/B ratio  (Only for banks,etc)</t>
  </si>
  <si>
    <t>Price to Sales ratio (P/S ratio) (&lt;1.5)</t>
  </si>
  <si>
    <t>Promoter shareholding (&gt;51%)</t>
  </si>
  <si>
    <t>Promoter buying the shares ?</t>
  </si>
  <si>
    <t>FII shareholding ?</t>
  </si>
  <si>
    <t>Govt. influence  ?</t>
  </si>
  <si>
    <t>Pure play of business (Not too much diversified business) ?</t>
  </si>
  <si>
    <t>SSGR</t>
  </si>
  <si>
    <t>cPAT</t>
  </si>
  <si>
    <t>cCFO</t>
  </si>
  <si>
    <t>Interest coverage (&gt;3)</t>
  </si>
  <si>
    <t>Profit CAGR</t>
  </si>
  <si>
    <t>Sales CAGR</t>
  </si>
  <si>
    <t>Share Capital (in cr)</t>
  </si>
  <si>
    <t>Receivable days (lowering is better)</t>
  </si>
  <si>
    <t>Net Fixed assets (increasing) ?</t>
  </si>
  <si>
    <t>Credit rating (&gt; BBB-)  ?</t>
  </si>
  <si>
    <t xml:space="preserve">DividendPaidRatio (Div/PAT) </t>
  </si>
  <si>
    <t>EBITDA</t>
  </si>
  <si>
    <t>CFO/EBITDA</t>
  </si>
  <si>
    <t>Provisioning for debtor</t>
  </si>
  <si>
    <t>Yield on cash</t>
  </si>
  <si>
    <t>Interest earning</t>
  </si>
  <si>
    <t>contengencies libalities as %age of Net worth</t>
  </si>
  <si>
    <t>Auditor's fees growing faster than revenue</t>
  </si>
  <si>
    <t>Mukherjea ratios</t>
  </si>
  <si>
    <t>Net Asset - Net liability</t>
  </si>
  <si>
    <t>Contingent liabilities as % of net worth (as I could not find how to calculate Net worth , I am using Net Profit PAT as Net worth in the formula)</t>
  </si>
  <si>
    <t>Contingent liabilities</t>
  </si>
  <si>
    <t>PAT</t>
  </si>
  <si>
    <t>%contingent liability to PAT</t>
  </si>
  <si>
    <t>Free cash flow (CFO+CFI)</t>
  </si>
  <si>
    <t>Median Revenue rolling 3 years</t>
  </si>
  <si>
    <t>Free cash flow (cash flow from operations + cashflow from investing) to median revenues which is to check if cash generated by business is being siphoned off or whether reported revenue/earnings are believable</t>
  </si>
  <si>
    <t>%FCF to median revenue</t>
  </si>
  <si>
    <t>%FCF to revenue</t>
  </si>
  <si>
    <t>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t>
  </si>
  <si>
    <t>FCF(=CFO+CFI)</t>
  </si>
  <si>
    <t>FCF as % of Sales</t>
  </si>
  <si>
    <t>The statement "Capital work in progress to gross block, which signifies that a high ratio may indicate unsubstantiated capex" refers to a metric used to evaluate the proportion of capital work in progress (CWIP) in relation to the gross block of a company. This analysis helps identify potential concerns related to the capital expenditure (capex) undertaken by the company.
The gross block represents the total value of a company's fixed assets, including property, plant, and equipment (PPE), at a given point in time. It reflects the historical cost of acquiring and constructing these assets.</t>
  </si>
  <si>
    <t>CWIP to Fixed Assets</t>
  </si>
  <si>
    <t>CWIP to gross block(Fixed Assets)</t>
  </si>
  <si>
    <t>Rolling 3Years ROE</t>
  </si>
  <si>
    <t>%CFO to revenue</t>
  </si>
  <si>
    <t>CFO</t>
  </si>
  <si>
    <t>PE</t>
  </si>
  <si>
    <t>Last4Q</t>
  </si>
  <si>
    <t>Mar-20</t>
  </si>
  <si>
    <t>Mar-21</t>
  </si>
  <si>
    <t>Mar-22</t>
  </si>
  <si>
    <t>Mar-23</t>
  </si>
  <si>
    <t>stressfreeinvesting1@gmail.com</t>
  </si>
  <si>
    <t>FCF (Free Cash Flow= CFO-CAPEX)</t>
  </si>
  <si>
    <t>cCAPEX</t>
  </si>
  <si>
    <t>cFCF</t>
  </si>
  <si>
    <t>REMARKS</t>
  </si>
  <si>
    <t>cFreeCashFlow</t>
  </si>
  <si>
    <t>ROE &gt;12%</t>
  </si>
  <si>
    <t>ROCE &gt;12%</t>
  </si>
  <si>
    <t>CWIP as % of gross Block</t>
  </si>
  <si>
    <t>Cash Conversion Ratio</t>
  </si>
  <si>
    <t>(₹ Crores)</t>
  </si>
  <si>
    <t xml:space="preserve">Last 10 Yrs Total </t>
  </si>
  <si>
    <t xml:space="preserve">Sales Growth </t>
  </si>
  <si>
    <t xml:space="preserve">Gross Profit Margin </t>
  </si>
  <si>
    <t>Net profit after tax (PAT)</t>
  </si>
  <si>
    <t>Capex [(NFA+WIP) change+Dep]</t>
  </si>
  <si>
    <t>Free Cash Flow (FCF)</t>
  </si>
  <si>
    <t>FCFE (FCF - Int exp)</t>
  </si>
  <si>
    <t>Total Div 10 Yrs</t>
  </si>
  <si>
    <t>D/E (Debt by Equity)</t>
  </si>
  <si>
    <t>Inc. in Debt 10Y</t>
  </si>
  <si>
    <t>Surplus funds</t>
  </si>
  <si>
    <t>FCF/CFO</t>
  </si>
  <si>
    <t>ROE on Avg Equity (&lt;7%,&gt;25%)</t>
  </si>
  <si>
    <t>Months of RM held as Inv. (Low is better)</t>
  </si>
  <si>
    <t>Working capital cycle days (Rec + Inv Days)</t>
  </si>
  <si>
    <t>Retained Earnings (RE=PAT-Div)</t>
  </si>
  <si>
    <t xml:space="preserve">Cash Flows </t>
  </si>
  <si>
    <t>Cash &amp; Eq. at the end of year</t>
  </si>
  <si>
    <t>Source: Screener.in</t>
  </si>
  <si>
    <t>Earnings Yield (EY) = (EPS/Current Stockprice) *100%</t>
  </si>
  <si>
    <t>Average Profit Growth 3yrs rolling</t>
  </si>
  <si>
    <t>Net Profit growth</t>
  </si>
  <si>
    <t xml:space="preserve">Net Profit Growth </t>
  </si>
  <si>
    <t xml:space="preserve">Total increase in Retained Earnings (RE) in 10 Yrs </t>
  </si>
  <si>
    <t>Current RE (reserves)  (A)</t>
  </si>
  <si>
    <t xml:space="preserve">Total increase in Mcap in 10yrs </t>
  </si>
  <si>
    <t>Current Market cap  (B)</t>
  </si>
  <si>
    <t>Sales Growth ~ Ne Profit Growth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</si>
</sst>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43" formatCode="_ * #,##0.00_ ;_ * \-#,##0.00_ ;_ * &quot;-&quot;??_ ;_ @_ "/>
    <numFmt numFmtId="164" formatCode="&quot;$&quot;#,##0_);[Red]\(&quot;$&quot;#,##0\)"/>
    <numFmt numFmtId="165" formatCode="_(* #,##0.00_);_(* \(#,##0.00\);_(* &quot;-&quot;??_);_(@_)"/>
    <numFmt numFmtId="166" formatCode="[$-409]mmm\-yy;@"/>
    <numFmt numFmtId="167" formatCode="_(* #,##0_);_(* \(#,##0\);_(* &quot;-&quot;??_);_(@_)"/>
    <numFmt numFmtId="168" formatCode="_(* #,##0.0_);_(* \(#,##0.0\);_(* &quot;-&quot;??_);_(@_)"/>
    <numFmt numFmtId="169" formatCode="[$-409]mmm/yy;@"/>
    <numFmt numFmtId="170" formatCode="_ * #,##0.0_ ;_ * \-#,##0.0_ ;_ * &quot;-&quot;??_ ;_ @_ "/>
    <numFmt numFmtId="171" formatCode="_ * #,##0_ ;_ * \-#,##0_ ;_ * &quot;-&quot;??_ ;_ @_ "/>
    <numFmt numFmtId="172" formatCode="0.0%"/>
    <numFmt numFmtId="173" formatCode="#,##0.000_);[Red]\(#,##0.000\)"/>
    <numFmt numFmtId="174" formatCode="0.0000%"/>
    <numFmt numFmtId="175" formatCode="0.0"/>
    <numFmt numFmtId="176" formatCode="#,##0.0"/>
    <numFmt numFmtId="178" formatCode="[$-409]mmm\-yy"/>
    <numFmt numFmtId="179" formatCode="#,##0.0_);[Red]\(#,##0.0\)"/>
    <numFmt numFmtId="180" formatCode="#,##0_);[Red]\(#,##0\)"/>
  </numFmts>
  <fonts count="102">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font>
    <font>
      <sz val="11"/>
      <color theme="0"/>
      <name val="Calibri"/>
      <family val="2"/>
      <scheme val="minor"/>
    </font>
    <font>
      <b/>
      <u/>
      <sz val="11"/>
      <color theme="10"/>
      <name val="Calibri"/>
      <family val="2"/>
    </font>
    <font>
      <b/>
      <sz val="16"/>
      <color theme="1"/>
      <name val="Calibri"/>
      <family val="2"/>
      <scheme val="minor"/>
    </font>
    <font>
      <b/>
      <sz val="15"/>
      <color theme="1"/>
      <name val="Arial"/>
      <family val="2"/>
    </font>
    <font>
      <b/>
      <sz val="10"/>
      <color theme="1"/>
      <name val="Arial"/>
      <family val="2"/>
    </font>
    <font>
      <sz val="10"/>
      <color theme="1"/>
      <name val="Arial"/>
      <family val="2"/>
    </font>
    <font>
      <b/>
      <sz val="10"/>
      <color theme="0"/>
      <name val="Arial"/>
      <family val="2"/>
    </font>
    <font>
      <i/>
      <sz val="10"/>
      <color theme="1"/>
      <name val="Arial"/>
      <family val="2"/>
    </font>
    <font>
      <sz val="10"/>
      <color theme="0"/>
      <name val="Arial"/>
      <family val="2"/>
    </font>
    <font>
      <sz val="10"/>
      <name val="Arial"/>
      <family val="2"/>
    </font>
    <font>
      <u/>
      <sz val="10"/>
      <color theme="10"/>
      <name val="Arial"/>
      <family val="2"/>
    </font>
    <font>
      <sz val="9"/>
      <color indexed="81"/>
      <name val="Tahoma"/>
      <family val="2"/>
    </font>
    <font>
      <b/>
      <sz val="9"/>
      <color indexed="81"/>
      <name val="Tahoma"/>
      <family val="2"/>
    </font>
    <font>
      <sz val="10"/>
      <color rgb="FFC00000"/>
      <name val="Arial"/>
      <family val="2"/>
    </font>
    <font>
      <b/>
      <sz val="10"/>
      <color theme="1" tint="0.14999847407452621"/>
      <name val="Arial"/>
      <family val="2"/>
    </font>
    <font>
      <sz val="10"/>
      <color theme="1" tint="0.14999847407452621"/>
      <name val="Arial"/>
      <family val="2"/>
    </font>
    <font>
      <b/>
      <i/>
      <sz val="9"/>
      <color indexed="81"/>
      <name val="Tahoma"/>
      <family val="2"/>
    </font>
    <font>
      <b/>
      <sz val="10"/>
      <name val="Arial"/>
      <family val="2"/>
    </font>
    <font>
      <i/>
      <sz val="10"/>
      <color rgb="FFC00000"/>
      <name val="Arial"/>
      <family val="2"/>
    </font>
    <font>
      <b/>
      <sz val="10"/>
      <color rgb="FFC00000"/>
      <name val="Arial"/>
      <family val="2"/>
    </font>
    <font>
      <b/>
      <i/>
      <sz val="10"/>
      <color theme="1"/>
      <name val="Arial"/>
      <family val="2"/>
    </font>
    <font>
      <sz val="10"/>
      <color theme="1"/>
      <name val="Calibri"/>
      <family val="2"/>
      <scheme val="minor"/>
    </font>
    <font>
      <i/>
      <u/>
      <sz val="10"/>
      <color rgb="FF0000FF"/>
      <name val="Arial"/>
      <family val="2"/>
    </font>
    <font>
      <b/>
      <i/>
      <u/>
      <sz val="10"/>
      <color rgb="FF0000FF"/>
      <name val="Arial"/>
      <family val="2"/>
    </font>
    <font>
      <i/>
      <sz val="10"/>
      <color rgb="FF0000FF"/>
      <name val="Arial"/>
      <family val="2"/>
    </font>
    <font>
      <sz val="10"/>
      <color theme="1"/>
      <name val="Arial"/>
      <family val="2"/>
    </font>
    <font>
      <b/>
      <sz val="10"/>
      <color theme="1"/>
      <name val="Arial"/>
      <family val="2"/>
    </font>
    <font>
      <b/>
      <sz val="10"/>
      <color theme="0"/>
      <name val="Arial"/>
      <family val="2"/>
    </font>
    <font>
      <i/>
      <sz val="10"/>
      <color theme="1"/>
      <name val="Arial"/>
      <family val="2"/>
    </font>
    <font>
      <i/>
      <sz val="9"/>
      <color indexed="81"/>
      <name val="Tahoma"/>
      <family val="2"/>
    </font>
    <font>
      <b/>
      <sz val="10"/>
      <color theme="1"/>
      <name val="Arial"/>
      <family val="2"/>
    </font>
    <font>
      <sz val="10"/>
      <color theme="1"/>
      <name val="Arial"/>
      <family val="2"/>
    </font>
    <font>
      <sz val="20"/>
      <color theme="1"/>
      <name val="Arial Black"/>
      <family val="2"/>
    </font>
    <font>
      <b/>
      <sz val="10"/>
      <color theme="1"/>
      <name val="Arial"/>
      <family val="2"/>
    </font>
    <font>
      <sz val="10"/>
      <color theme="1"/>
      <name val="Arial"/>
      <family val="2"/>
    </font>
    <font>
      <b/>
      <sz val="10"/>
      <color theme="0"/>
      <name val="Arial"/>
      <family val="2"/>
    </font>
    <font>
      <i/>
      <sz val="10"/>
      <color theme="1"/>
      <name val="Arial"/>
      <family val="2"/>
    </font>
    <font>
      <b/>
      <i/>
      <sz val="10"/>
      <color rgb="FFC00000"/>
      <name val="Arial"/>
      <family val="2"/>
    </font>
    <font>
      <b/>
      <u/>
      <sz val="12"/>
      <color rgb="FF0000FF"/>
      <name val="Arial"/>
      <family val="2"/>
    </font>
    <font>
      <sz val="10"/>
      <color theme="1"/>
      <name val="Arial"/>
      <family val="2"/>
    </font>
    <font>
      <b/>
      <u/>
      <sz val="12"/>
      <color rgb="FF0000FF"/>
      <name val="Arial"/>
      <family val="2"/>
    </font>
    <font>
      <b/>
      <sz val="12"/>
      <color rgb="FFC00000"/>
      <name val="Arial"/>
      <family val="2"/>
    </font>
    <font>
      <i/>
      <sz val="11"/>
      <color theme="1"/>
      <name val="Calibri"/>
      <family val="2"/>
      <scheme val="minor"/>
    </font>
    <font>
      <i/>
      <sz val="10"/>
      <color theme="1"/>
      <name val="Arial"/>
      <family val="2"/>
    </font>
    <font>
      <b/>
      <i/>
      <sz val="10"/>
      <color theme="0"/>
      <name val="Arial"/>
      <family val="2"/>
    </font>
    <font>
      <sz val="9"/>
      <color theme="1"/>
      <name val="Arial"/>
      <family val="2"/>
    </font>
    <font>
      <b/>
      <sz val="9"/>
      <color theme="1"/>
      <name val="Arial"/>
      <family val="2"/>
    </font>
    <font>
      <u/>
      <sz val="10"/>
      <color rgb="FF0070C0"/>
      <name val="Arial"/>
      <family val="2"/>
    </font>
    <font>
      <b/>
      <sz val="10"/>
      <color rgb="FF0070C0"/>
      <name val="Arial"/>
      <family val="2"/>
    </font>
    <font>
      <b/>
      <sz val="11"/>
      <color theme="0"/>
      <name val="Calibri"/>
      <family val="2"/>
      <scheme val="minor"/>
    </font>
    <font>
      <sz val="11"/>
      <name val="Calibri"/>
      <family val="2"/>
      <scheme val="minor"/>
    </font>
    <font>
      <sz val="11"/>
      <name val="Calibri"/>
      <family val="2"/>
      <charset val="1"/>
    </font>
    <font>
      <sz val="10"/>
      <name val="Calibri"/>
      <family val="2"/>
      <charset val="1"/>
    </font>
    <font>
      <b/>
      <sz val="10"/>
      <name val="Calibri"/>
      <family val="2"/>
    </font>
    <font>
      <sz val="8"/>
      <name val="Calibri"/>
      <family val="2"/>
      <charset val="1"/>
    </font>
    <font>
      <b/>
      <sz val="11"/>
      <color indexed="9"/>
      <name val="Calibri"/>
      <family val="2"/>
      <charset val="1"/>
    </font>
    <font>
      <b/>
      <sz val="11"/>
      <name val="Calibri"/>
      <family val="2"/>
      <charset val="1"/>
    </font>
    <font>
      <b/>
      <sz val="9"/>
      <color theme="1"/>
      <name val="Calibri"/>
      <family val="2"/>
      <scheme val="minor"/>
    </font>
    <font>
      <sz val="9"/>
      <color theme="1"/>
      <name val="Calibri"/>
      <family val="2"/>
      <scheme val="minor"/>
    </font>
    <font>
      <b/>
      <sz val="12"/>
      <color theme="1"/>
      <name val="Calibri"/>
      <family val="2"/>
      <scheme val="minor"/>
    </font>
    <font>
      <b/>
      <sz val="11"/>
      <color rgb="FFFF0000"/>
      <name val="Calibri"/>
      <family val="2"/>
      <scheme val="minor"/>
    </font>
    <font>
      <sz val="10"/>
      <color theme="0"/>
      <name val="Calibri"/>
      <family val="2"/>
      <scheme val="minor"/>
    </font>
    <font>
      <b/>
      <sz val="10"/>
      <color indexed="9"/>
      <name val="Calibri"/>
      <family val="2"/>
      <charset val="1"/>
    </font>
    <font>
      <sz val="11"/>
      <color rgb="FF000000"/>
      <name val="Calibri"/>
      <family val="2"/>
    </font>
    <font>
      <sz val="10"/>
      <color rgb="FF000000"/>
      <name val="Arial"/>
      <family val="2"/>
    </font>
    <font>
      <i/>
      <sz val="10"/>
      <name val="Arial"/>
      <family val="2"/>
    </font>
    <font>
      <b/>
      <i/>
      <sz val="10"/>
      <name val="Arial"/>
      <family val="2"/>
    </font>
    <font>
      <b/>
      <sz val="15"/>
      <name val="Arial"/>
      <family val="2"/>
    </font>
    <font>
      <b/>
      <sz val="15"/>
      <color theme="5"/>
      <name val="Arial"/>
      <family val="2"/>
    </font>
    <font>
      <b/>
      <sz val="11"/>
      <color theme="5"/>
      <name val="Arial"/>
      <family val="2"/>
    </font>
    <font>
      <b/>
      <sz val="16"/>
      <color theme="5"/>
      <name val="Arial"/>
      <family val="2"/>
    </font>
    <font>
      <b/>
      <sz val="18"/>
      <color theme="5"/>
      <name val="Arial"/>
      <family val="2"/>
    </font>
    <font>
      <b/>
      <sz val="12"/>
      <name val="Arial"/>
      <family val="2"/>
    </font>
    <font>
      <b/>
      <sz val="12"/>
      <color rgb="FF333333"/>
      <name val="&quot;Times New Roman&quot;"/>
    </font>
    <font>
      <sz val="10"/>
      <color theme="1"/>
      <name val="Calibri"/>
      <family val="2"/>
      <scheme val="minor"/>
    </font>
    <font>
      <u/>
      <sz val="12"/>
      <color rgb="FF0000FF"/>
      <name val="&quot;Times New Roman&quot;"/>
    </font>
    <font>
      <sz val="10"/>
      <name val="Arial"/>
      <family val="2"/>
    </font>
    <font>
      <sz val="12"/>
      <color rgb="FF333333"/>
      <name val="&quot;Times New Roman&quot;"/>
    </font>
    <font>
      <sz val="12"/>
      <color rgb="FF000000"/>
      <name val="&quot;Times New Roman&quot;"/>
    </font>
    <font>
      <sz val="12"/>
      <color theme="7"/>
      <name val="&quot;Times New Roman&quot;"/>
    </font>
    <font>
      <sz val="11"/>
      <color theme="7"/>
      <name val="Calibri"/>
      <family val="2"/>
      <scheme val="minor"/>
    </font>
    <font>
      <sz val="11"/>
      <color rgb="FF7030A0"/>
      <name val="Calibri"/>
      <family val="2"/>
      <scheme val="minor"/>
    </font>
    <font>
      <sz val="12"/>
      <color rgb="FFC00000"/>
      <name val="&quot;Times New Roman&quot;"/>
    </font>
    <font>
      <sz val="11"/>
      <color rgb="FFC00000"/>
      <name val="Calibri"/>
      <family val="2"/>
      <scheme val="minor"/>
    </font>
    <font>
      <sz val="12"/>
      <name val="Segoe UI"/>
      <family val="2"/>
    </font>
    <font>
      <sz val="8"/>
      <name val="Calibri"/>
      <family val="2"/>
      <scheme val="minor"/>
    </font>
    <font>
      <b/>
      <sz val="11"/>
      <color theme="7"/>
      <name val="Calibri"/>
      <family val="2"/>
      <scheme val="minor"/>
    </font>
    <font>
      <b/>
      <sz val="9"/>
      <color theme="1"/>
      <name val="Nunito"/>
    </font>
    <font>
      <b/>
      <sz val="9"/>
      <color rgb="FFFFFFFF"/>
      <name val="Nunito"/>
    </font>
    <font>
      <sz val="9"/>
      <color theme="1"/>
      <name val="Nunito"/>
    </font>
    <font>
      <b/>
      <sz val="9"/>
      <color rgb="FF000000"/>
      <name val="Nunito"/>
    </font>
    <font>
      <b/>
      <sz val="9"/>
      <color rgb="FF1155CC"/>
      <name val="Nunito"/>
    </font>
    <font>
      <b/>
      <sz val="18"/>
      <color theme="1"/>
      <name val="Nunito"/>
    </font>
    <font>
      <sz val="11"/>
      <name val="Calibri"/>
    </font>
    <font>
      <b/>
      <sz val="9"/>
      <color theme="0"/>
      <name val="Nunito"/>
    </font>
    <font>
      <sz val="18"/>
      <color theme="1"/>
      <name val="Nunito"/>
    </font>
    <font>
      <sz val="11"/>
      <color theme="1"/>
      <name val="Calibri"/>
      <scheme val="minor"/>
    </font>
    <font>
      <b/>
      <sz val="10"/>
      <color theme="7"/>
      <name val="Arial"/>
      <family val="2"/>
    </font>
  </fonts>
  <fills count="32">
    <fill>
      <patternFill patternType="none"/>
    </fill>
    <fill>
      <patternFill patternType="gray125"/>
    </fill>
    <fill>
      <patternFill patternType="solid">
        <fgColor theme="9"/>
      </patternFill>
    </fill>
    <fill>
      <patternFill patternType="solid">
        <fgColor rgb="FF0275D8"/>
        <bgColor indexed="64"/>
      </patternFill>
    </fill>
    <fill>
      <patternFill patternType="solid">
        <fgColor theme="1"/>
        <bgColor indexed="64"/>
      </patternFill>
    </fill>
    <fill>
      <patternFill patternType="solid">
        <fgColor theme="0"/>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C00000"/>
        <bgColor indexed="64"/>
      </patternFill>
    </fill>
    <fill>
      <patternFill patternType="solid">
        <fgColor rgb="FFFFFF00"/>
        <bgColor indexed="64"/>
      </patternFill>
    </fill>
    <fill>
      <patternFill patternType="solid">
        <fgColor rgb="FFFFC000"/>
        <bgColor indexed="64"/>
      </patternFill>
    </fill>
    <fill>
      <patternFill patternType="solid">
        <fgColor theme="5" tint="0.79998168889431442"/>
        <bgColor indexed="64"/>
      </patternFill>
    </fill>
    <fill>
      <patternFill patternType="solid">
        <fgColor rgb="FF92D050"/>
        <bgColor indexed="64"/>
      </patternFill>
    </fill>
    <fill>
      <patternFill patternType="solid">
        <fgColor rgb="FF00B0F0"/>
        <bgColor indexed="64"/>
      </patternFill>
    </fill>
    <fill>
      <patternFill patternType="solid">
        <fgColor rgb="FF7030A0"/>
        <bgColor indexed="64"/>
      </patternFill>
    </fill>
    <fill>
      <patternFill patternType="solid">
        <fgColor indexed="30"/>
        <bgColor indexed="40"/>
      </patternFill>
    </fill>
    <fill>
      <patternFill patternType="solid">
        <fgColor theme="8" tint="0.79998168889431442"/>
        <bgColor indexed="64"/>
      </patternFill>
    </fill>
    <fill>
      <patternFill patternType="solid">
        <fgColor rgb="FFFF0000"/>
        <bgColor indexed="64"/>
      </patternFill>
    </fill>
    <fill>
      <patternFill patternType="solid">
        <fgColor rgb="FF0070C0"/>
        <bgColor indexed="64"/>
      </patternFill>
    </fill>
    <fill>
      <patternFill patternType="solid">
        <fgColor rgb="FF0070C0"/>
        <bgColor indexed="40"/>
      </patternFill>
    </fill>
    <fill>
      <patternFill patternType="solid">
        <fgColor theme="7" tint="0.79998168889431442"/>
        <bgColor indexed="64"/>
      </patternFill>
    </fill>
    <fill>
      <patternFill patternType="solid">
        <fgColor theme="2" tint="-0.249977111117893"/>
        <bgColor indexed="64"/>
      </patternFill>
    </fill>
    <fill>
      <patternFill patternType="solid">
        <fgColor theme="2"/>
        <bgColor indexed="64"/>
      </patternFill>
    </fill>
    <fill>
      <patternFill patternType="solid">
        <fgColor theme="4"/>
        <bgColor theme="4"/>
      </patternFill>
    </fill>
    <fill>
      <patternFill patternType="solid">
        <fgColor rgb="FFFFFFFF"/>
        <bgColor rgb="FFFFFFFF"/>
      </patternFill>
    </fill>
    <fill>
      <patternFill patternType="solid">
        <fgColor rgb="FF000000"/>
        <bgColor rgb="FF000000"/>
      </patternFill>
    </fill>
    <fill>
      <patternFill patternType="solid">
        <fgColor theme="0"/>
        <bgColor theme="0"/>
      </patternFill>
    </fill>
    <fill>
      <patternFill patternType="solid">
        <fgColor rgb="FFFFD666"/>
        <bgColor rgb="FFFFD666"/>
      </patternFill>
    </fill>
    <fill>
      <patternFill patternType="solid">
        <fgColor rgb="FFEBF9EE"/>
        <bgColor rgb="FFEBF9EE"/>
      </patternFill>
    </fill>
    <fill>
      <patternFill patternType="solid">
        <fgColor rgb="FFEEF8E4"/>
        <bgColor rgb="FFEEF8E4"/>
      </patternFill>
    </fill>
  </fills>
  <borders count="122">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8"/>
      </left>
      <right style="thin">
        <color indexed="8"/>
      </right>
      <top style="thin">
        <color indexed="8"/>
      </top>
      <bottom style="thin">
        <color indexed="8"/>
      </bottom>
      <diagonal/>
    </border>
    <border>
      <left style="hair">
        <color indexed="8"/>
      </left>
      <right style="hair">
        <color indexed="8"/>
      </right>
      <top style="hair">
        <color indexed="8"/>
      </top>
      <bottom/>
      <diagonal/>
    </border>
    <border>
      <left style="hair">
        <color indexed="8"/>
      </left>
      <right style="hair">
        <color indexed="8"/>
      </right>
      <top style="hair">
        <color indexed="8"/>
      </top>
      <bottom style="hair">
        <color indexed="8"/>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000000"/>
      </right>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diagonal/>
    </border>
    <border>
      <left style="thin">
        <color indexed="64"/>
      </left>
      <right style="medium">
        <color indexed="64"/>
      </right>
      <top style="thin">
        <color indexed="64"/>
      </top>
      <bottom/>
      <diagonal/>
    </border>
    <border>
      <left style="thin">
        <color rgb="FFCCCCCC"/>
      </left>
      <right style="thin">
        <color rgb="FFCCCCCC"/>
      </right>
      <top style="thin">
        <color rgb="FFCCCCCC"/>
      </top>
      <bottom style="thin">
        <color rgb="FFCCCCCC"/>
      </bottom>
      <diagonal/>
    </border>
    <border>
      <left style="thin">
        <color rgb="FFCCCCCC"/>
      </left>
      <right/>
      <top style="thin">
        <color rgb="FFCCCCCC"/>
      </top>
      <bottom style="thin">
        <color rgb="FFCCCCCC"/>
      </bottom>
      <diagonal/>
    </border>
    <border>
      <left/>
      <right/>
      <top style="thin">
        <color rgb="FFCCCCCC"/>
      </top>
      <bottom style="thin">
        <color rgb="FFCCCCCC"/>
      </bottom>
      <diagonal/>
    </border>
    <border>
      <left/>
      <right style="thin">
        <color rgb="FFCCCCCC"/>
      </right>
      <top style="thin">
        <color rgb="FFCCCCCC"/>
      </top>
      <bottom style="thin">
        <color rgb="FFCCCCCC"/>
      </bottom>
      <diagonal/>
    </border>
    <border>
      <left style="thin">
        <color rgb="FFCCCCCC"/>
      </left>
      <right style="thin">
        <color rgb="FFCCCCCC"/>
      </right>
      <top style="thin">
        <color rgb="FFCCCCCC"/>
      </top>
      <bottom/>
      <diagonal/>
    </border>
    <border>
      <left style="thin">
        <color rgb="FFCCCCCC"/>
      </left>
      <right style="thin">
        <color rgb="FFCCCCCC"/>
      </right>
      <top/>
      <bottom style="thin">
        <color rgb="FFCCCCCC"/>
      </bottom>
      <diagonal/>
    </border>
    <border>
      <left style="medium">
        <color rgb="FFC00000"/>
      </left>
      <right/>
      <top/>
      <bottom/>
      <diagonal/>
    </border>
    <border>
      <left/>
      <right style="medium">
        <color rgb="FFC00000"/>
      </right>
      <top/>
      <bottom/>
      <diagonal/>
    </border>
    <border>
      <left style="medium">
        <color rgb="FFC00000"/>
      </left>
      <right/>
      <top/>
      <bottom style="medium">
        <color rgb="FFC00000"/>
      </bottom>
      <diagonal/>
    </border>
    <border>
      <left/>
      <right style="medium">
        <color rgb="FFC00000"/>
      </right>
      <top/>
      <bottom style="medium">
        <color rgb="FFC00000"/>
      </bottom>
      <diagonal/>
    </border>
    <border>
      <left style="medium">
        <color theme="7"/>
      </left>
      <right/>
      <top style="medium">
        <color theme="7"/>
      </top>
      <bottom/>
      <diagonal/>
    </border>
    <border>
      <left/>
      <right style="medium">
        <color theme="7"/>
      </right>
      <top style="medium">
        <color theme="7"/>
      </top>
      <bottom/>
      <diagonal/>
    </border>
    <border>
      <left style="medium">
        <color theme="7"/>
      </left>
      <right/>
      <top/>
      <bottom/>
      <diagonal/>
    </border>
    <border>
      <left/>
      <right style="medium">
        <color theme="7"/>
      </right>
      <top/>
      <bottom/>
      <diagonal/>
    </border>
    <border>
      <left style="medium">
        <color theme="7"/>
      </left>
      <right/>
      <top/>
      <bottom style="medium">
        <color theme="7"/>
      </bottom>
      <diagonal/>
    </border>
    <border>
      <left/>
      <right style="medium">
        <color theme="7"/>
      </right>
      <top/>
      <bottom style="medium">
        <color theme="7"/>
      </bottom>
      <diagonal/>
    </border>
    <border>
      <left style="medium">
        <color theme="7"/>
      </left>
      <right/>
      <top/>
      <bottom style="medium">
        <color rgb="FF00B0F0"/>
      </bottom>
      <diagonal/>
    </border>
    <border>
      <left/>
      <right style="medium">
        <color theme="7"/>
      </right>
      <top/>
      <bottom style="medium">
        <color rgb="FF00B0F0"/>
      </bottom>
      <diagonal/>
    </border>
    <border>
      <left style="medium">
        <color rgb="FF00B0F0"/>
      </left>
      <right/>
      <top style="medium">
        <color rgb="FF00B0F0"/>
      </top>
      <bottom/>
      <diagonal/>
    </border>
    <border>
      <left style="medium">
        <color rgb="FF00B0F0"/>
      </left>
      <right/>
      <top/>
      <bottom/>
      <diagonal/>
    </border>
    <border>
      <left/>
      <right style="medium">
        <color rgb="FF00B0F0"/>
      </right>
      <top/>
      <bottom/>
      <diagonal/>
    </border>
    <border>
      <left style="medium">
        <color rgb="FF00B0F0"/>
      </left>
      <right/>
      <top/>
      <bottom style="medium">
        <color rgb="FF00B0F0"/>
      </bottom>
      <diagonal/>
    </border>
    <border>
      <left style="medium">
        <color rgb="FFFFC000"/>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theme="7"/>
      </left>
      <right style="thin">
        <color rgb="FFFFC000"/>
      </right>
      <top/>
      <bottom/>
      <diagonal/>
    </border>
    <border>
      <left style="medium">
        <color rgb="FF000000"/>
      </left>
      <right/>
      <top style="medium">
        <color rgb="FF000000"/>
      </top>
      <bottom/>
      <diagonal/>
    </border>
    <border>
      <left/>
      <right/>
      <top style="medium">
        <color rgb="FF000000"/>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right style="medium">
        <color rgb="FF000000"/>
      </right>
      <top style="medium">
        <color rgb="FF000000"/>
      </top>
      <bottom/>
      <diagonal/>
    </border>
    <border>
      <left style="thick">
        <color rgb="FF000000"/>
      </left>
      <right/>
      <top/>
      <bottom/>
      <diagonal/>
    </border>
    <border>
      <left/>
      <right style="thick">
        <color rgb="FF000000"/>
      </right>
      <top/>
      <bottom/>
      <diagonal/>
    </border>
    <border>
      <left style="thick">
        <color rgb="FF000000"/>
      </left>
      <right style="thick">
        <color rgb="FF000000"/>
      </right>
      <top style="thick">
        <color rgb="FF000000"/>
      </top>
      <bottom/>
      <diagonal/>
    </border>
    <border>
      <left style="thick">
        <color rgb="FF000000"/>
      </left>
      <right style="thick">
        <color rgb="FF000000"/>
      </right>
      <top/>
      <bottom style="thick">
        <color rgb="FF000000"/>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double">
        <color rgb="FF000000"/>
      </left>
      <right/>
      <top style="thick">
        <color rgb="FF000000"/>
      </top>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thick">
        <color rgb="FF000000"/>
      </right>
      <top/>
      <bottom style="thick">
        <color rgb="FF000000"/>
      </bottom>
      <diagonal/>
    </border>
    <border>
      <left style="thick">
        <color rgb="FF000000"/>
      </left>
      <right style="thick">
        <color rgb="FF000000"/>
      </right>
      <top style="thick">
        <color rgb="FF000000"/>
      </top>
      <bottom style="thick">
        <color rgb="FF000000"/>
      </bottom>
      <diagonal/>
    </border>
    <border>
      <left style="thick">
        <color rgb="FF000000"/>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style="medium">
        <color rgb="FF000000"/>
      </left>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diagonal/>
    </border>
    <border>
      <left/>
      <right style="medium">
        <color rgb="FF000000"/>
      </right>
      <top/>
      <bottom style="medium">
        <color rgb="FF000000"/>
      </bottom>
      <diagonal/>
    </border>
    <border>
      <left style="medium">
        <color theme="2" tint="-0.249977111117893"/>
      </left>
      <right/>
      <top style="medium">
        <color theme="2" tint="-0.249977111117893"/>
      </top>
      <bottom/>
      <diagonal/>
    </border>
    <border>
      <left/>
      <right style="medium">
        <color theme="2" tint="-0.249977111117893"/>
      </right>
      <top style="medium">
        <color theme="2" tint="-0.249977111117893"/>
      </top>
      <bottom/>
      <diagonal/>
    </border>
    <border>
      <left style="medium">
        <color theme="2" tint="-0.249977111117893"/>
      </left>
      <right/>
      <top/>
      <bottom/>
      <diagonal/>
    </border>
    <border>
      <left/>
      <right style="medium">
        <color theme="2" tint="-0.249977111117893"/>
      </right>
      <top/>
      <bottom/>
      <diagonal/>
    </border>
    <border>
      <left style="medium">
        <color theme="2" tint="-0.249977111117893"/>
      </left>
      <right/>
      <top/>
      <bottom style="medium">
        <color theme="2" tint="-0.249977111117893"/>
      </bottom>
      <diagonal/>
    </border>
    <border>
      <left/>
      <right style="medium">
        <color theme="2" tint="-0.249977111117893"/>
      </right>
      <top/>
      <bottom style="medium">
        <color theme="2" tint="-0.249977111117893"/>
      </bottom>
      <diagonal/>
    </border>
  </borders>
  <cellStyleXfs count="8">
    <xf numFmtId="0" fontId="0" fillId="0" borderId="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0" fontId="4" fillId="2" borderId="0" applyNumberFormat="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165" fontId="2" fillId="0" borderId="0" applyFont="0" applyFill="0" applyBorder="0" applyAlignment="0" applyProtection="0"/>
  </cellStyleXfs>
  <cellXfs count="791">
    <xf numFmtId="0" fontId="0" fillId="0" borderId="0" xfId="0"/>
    <xf numFmtId="0" fontId="1" fillId="0" borderId="0" xfId="0" applyFont="1"/>
    <xf numFmtId="0" fontId="6" fillId="0" borderId="0" xfId="0" applyFont="1"/>
    <xf numFmtId="0" fontId="0" fillId="0" borderId="0" xfId="0" applyAlignment="1">
      <alignment horizontal="left"/>
    </xf>
    <xf numFmtId="0" fontId="5" fillId="0" borderId="0" xfId="2" applyFont="1" applyBorder="1" applyAlignment="1" applyProtection="1">
      <alignment horizontal="left"/>
    </xf>
    <xf numFmtId="0" fontId="8" fillId="0" borderId="0" xfId="0" applyFont="1"/>
    <xf numFmtId="0" fontId="9" fillId="0" borderId="0" xfId="0" applyFont="1"/>
    <xf numFmtId="166" fontId="10" fillId="3" borderId="0" xfId="0" applyNumberFormat="1" applyFont="1" applyFill="1" applyAlignment="1">
      <alignment horizontal="center"/>
    </xf>
    <xf numFmtId="43" fontId="8" fillId="0" borderId="0" xfId="1" applyFont="1" applyBorder="1"/>
    <xf numFmtId="0" fontId="11" fillId="0" borderId="0" xfId="0" applyFont="1"/>
    <xf numFmtId="43" fontId="9" fillId="0" borderId="0" xfId="1" applyFont="1" applyBorder="1"/>
    <xf numFmtId="0" fontId="9" fillId="0" borderId="1" xfId="0" applyFont="1" applyBorder="1"/>
    <xf numFmtId="0" fontId="9" fillId="5" borderId="1" xfId="0" applyFont="1" applyFill="1" applyBorder="1" applyAlignment="1">
      <alignment horizontal="right"/>
    </xf>
    <xf numFmtId="169" fontId="9" fillId="5" borderId="1" xfId="0" applyNumberFormat="1" applyFont="1" applyFill="1" applyBorder="1" applyAlignment="1">
      <alignment horizontal="right"/>
    </xf>
    <xf numFmtId="0" fontId="9" fillId="5" borderId="0" xfId="0" applyFont="1" applyFill="1" applyAlignment="1">
      <alignment horizontal="right"/>
    </xf>
    <xf numFmtId="168" fontId="9" fillId="5" borderId="1" xfId="1" applyNumberFormat="1" applyFont="1" applyFill="1" applyBorder="1" applyAlignment="1">
      <alignment horizontal="right"/>
    </xf>
    <xf numFmtId="167" fontId="9" fillId="0" borderId="0" xfId="1" applyNumberFormat="1" applyFont="1"/>
    <xf numFmtId="0" fontId="9" fillId="0" borderId="0" xfId="0" applyFont="1" applyAlignment="1">
      <alignment horizontal="right"/>
    </xf>
    <xf numFmtId="9" fontId="9" fillId="0" borderId="0" xfId="4" applyFont="1"/>
    <xf numFmtId="0" fontId="13" fillId="0" borderId="0" xfId="0" applyFont="1"/>
    <xf numFmtId="166" fontId="10" fillId="3" borderId="0" xfId="1" applyNumberFormat="1" applyFont="1" applyFill="1" applyBorder="1"/>
    <xf numFmtId="166" fontId="13" fillId="0" borderId="0" xfId="1" applyNumberFormat="1" applyFont="1" applyFill="1" applyBorder="1"/>
    <xf numFmtId="165" fontId="9" fillId="0" borderId="0" xfId="1" applyNumberFormat="1" applyFont="1" applyBorder="1"/>
    <xf numFmtId="171" fontId="9" fillId="0" borderId="1" xfId="1" applyNumberFormat="1" applyFont="1" applyBorder="1"/>
    <xf numFmtId="167" fontId="9" fillId="7" borderId="1" xfId="1" applyNumberFormat="1" applyFont="1" applyFill="1" applyBorder="1" applyAlignment="1">
      <alignment horizontal="right"/>
    </xf>
    <xf numFmtId="168" fontId="9" fillId="0" borderId="1" xfId="1" applyNumberFormat="1" applyFont="1" applyFill="1" applyBorder="1" applyAlignment="1">
      <alignment horizontal="right"/>
    </xf>
    <xf numFmtId="0" fontId="10" fillId="4" borderId="1" xfId="0" applyFont="1" applyFill="1" applyBorder="1"/>
    <xf numFmtId="0" fontId="9" fillId="0" borderId="1" xfId="0" applyFont="1" applyBorder="1" applyAlignment="1">
      <alignment horizontal="center"/>
    </xf>
    <xf numFmtId="167" fontId="17" fillId="0" borderId="1" xfId="1" applyNumberFormat="1" applyFont="1" applyBorder="1" applyAlignment="1">
      <alignment horizontal="right"/>
    </xf>
    <xf numFmtId="167" fontId="9" fillId="0" borderId="1" xfId="1" applyNumberFormat="1" applyFont="1" applyBorder="1" applyAlignment="1">
      <alignment horizontal="right"/>
    </xf>
    <xf numFmtId="167" fontId="9" fillId="0" borderId="1" xfId="1" applyNumberFormat="1" applyFont="1" applyBorder="1"/>
    <xf numFmtId="9" fontId="9" fillId="0" borderId="1" xfId="4" applyFont="1" applyBorder="1"/>
    <xf numFmtId="0" fontId="18" fillId="8" borderId="1" xfId="0" applyFont="1" applyFill="1" applyBorder="1" applyAlignment="1">
      <alignment horizontal="center"/>
    </xf>
    <xf numFmtId="0" fontId="18" fillId="8" borderId="1" xfId="0" applyFont="1" applyFill="1" applyBorder="1"/>
    <xf numFmtId="0" fontId="18" fillId="8" borderId="1" xfId="0" applyFont="1" applyFill="1" applyBorder="1" applyAlignment="1">
      <alignment horizontal="right"/>
    </xf>
    <xf numFmtId="9" fontId="10" fillId="4" borderId="1" xfId="0" applyNumberFormat="1" applyFont="1" applyFill="1" applyBorder="1"/>
    <xf numFmtId="167" fontId="10" fillId="4" borderId="1" xfId="1" applyNumberFormat="1" applyFont="1" applyFill="1" applyBorder="1" applyAlignment="1">
      <alignment horizontal="right"/>
    </xf>
    <xf numFmtId="171" fontId="10" fillId="4" borderId="1" xfId="1" applyNumberFormat="1" applyFont="1" applyFill="1" applyBorder="1" applyAlignment="1">
      <alignment horizontal="right"/>
    </xf>
    <xf numFmtId="167" fontId="9" fillId="7" borderId="1" xfId="1" applyNumberFormat="1" applyFont="1" applyFill="1" applyBorder="1"/>
    <xf numFmtId="167" fontId="19" fillId="7" borderId="1" xfId="1" applyNumberFormat="1" applyFont="1" applyFill="1" applyBorder="1"/>
    <xf numFmtId="0" fontId="22" fillId="0" borderId="0" xfId="0" applyFont="1" applyAlignment="1">
      <alignment horizontal="center"/>
    </xf>
    <xf numFmtId="167" fontId="9" fillId="0" borderId="13" xfId="1" applyNumberFormat="1" applyFont="1" applyFill="1" applyBorder="1" applyAlignment="1">
      <alignment horizontal="center"/>
    </xf>
    <xf numFmtId="0" fontId="9" fillId="0" borderId="0" xfId="0" applyFont="1" applyAlignment="1">
      <alignment horizontal="left"/>
    </xf>
    <xf numFmtId="49" fontId="21" fillId="9" borderId="14" xfId="0" applyNumberFormat="1" applyFont="1" applyFill="1" applyBorder="1" applyAlignment="1">
      <alignment horizontal="center"/>
    </xf>
    <xf numFmtId="49" fontId="21" fillId="9" borderId="15" xfId="0" applyNumberFormat="1" applyFont="1" applyFill="1" applyBorder="1" applyAlignment="1">
      <alignment horizontal="center"/>
    </xf>
    <xf numFmtId="49" fontId="13" fillId="0" borderId="0" xfId="0" applyNumberFormat="1" applyFont="1" applyAlignment="1">
      <alignment horizontal="center"/>
    </xf>
    <xf numFmtId="9" fontId="9" fillId="0" borderId="0" xfId="0" applyNumberFormat="1" applyFont="1" applyAlignment="1">
      <alignment horizontal="center"/>
    </xf>
    <xf numFmtId="0" fontId="23" fillId="0" borderId="0" xfId="0" applyFont="1"/>
    <xf numFmtId="9" fontId="9" fillId="0" borderId="0" xfId="0" applyNumberFormat="1" applyFont="1"/>
    <xf numFmtId="9" fontId="23" fillId="0" borderId="0" xfId="0" applyNumberFormat="1" applyFont="1" applyAlignment="1">
      <alignment horizontal="center"/>
    </xf>
    <xf numFmtId="0" fontId="21" fillId="9" borderId="7" xfId="0" applyFont="1" applyFill="1" applyBorder="1" applyAlignment="1">
      <alignment horizontal="center"/>
    </xf>
    <xf numFmtId="0" fontId="21" fillId="9" borderId="8" xfId="0" applyFont="1" applyFill="1" applyBorder="1" applyAlignment="1">
      <alignment horizontal="center"/>
    </xf>
    <xf numFmtId="0" fontId="21" fillId="9" borderId="9" xfId="0" applyFont="1" applyFill="1" applyBorder="1" applyAlignment="1">
      <alignment horizontal="center"/>
    </xf>
    <xf numFmtId="0" fontId="13" fillId="0" borderId="24" xfId="0" applyFont="1" applyBorder="1" applyAlignment="1">
      <alignment horizontal="center"/>
    </xf>
    <xf numFmtId="38" fontId="13" fillId="0" borderId="1" xfId="0" applyNumberFormat="1" applyFont="1" applyBorder="1" applyAlignment="1">
      <alignment horizontal="center"/>
    </xf>
    <xf numFmtId="9" fontId="13" fillId="0" borderId="1" xfId="0" applyNumberFormat="1" applyFont="1" applyBorder="1" applyAlignment="1">
      <alignment horizontal="center"/>
    </xf>
    <xf numFmtId="167" fontId="13" fillId="0" borderId="25" xfId="0" applyNumberFormat="1" applyFont="1" applyBorder="1" applyAlignment="1">
      <alignment horizontal="center"/>
    </xf>
    <xf numFmtId="167" fontId="9" fillId="0" borderId="0" xfId="0" applyNumberFormat="1" applyFont="1"/>
    <xf numFmtId="0" fontId="13" fillId="0" borderId="10" xfId="0" applyFont="1" applyBorder="1" applyAlignment="1">
      <alignment horizontal="center"/>
    </xf>
    <xf numFmtId="38" fontId="13" fillId="0" borderId="11" xfId="0" applyNumberFormat="1" applyFont="1" applyBorder="1" applyAlignment="1">
      <alignment horizontal="center"/>
    </xf>
    <xf numFmtId="9" fontId="13" fillId="0" borderId="11" xfId="0" applyNumberFormat="1" applyFont="1" applyBorder="1" applyAlignment="1">
      <alignment horizontal="center"/>
    </xf>
    <xf numFmtId="167" fontId="13" fillId="0" borderId="12" xfId="0" applyNumberFormat="1" applyFont="1" applyBorder="1" applyAlignment="1">
      <alignment horizontal="center"/>
    </xf>
    <xf numFmtId="0" fontId="13" fillId="0" borderId="0" xfId="0" applyFont="1" applyAlignment="1">
      <alignment horizontal="center"/>
    </xf>
    <xf numFmtId="173" fontId="13" fillId="0" borderId="0" xfId="0" applyNumberFormat="1" applyFont="1" applyAlignment="1">
      <alignment horizontal="center"/>
    </xf>
    <xf numFmtId="9" fontId="13" fillId="0" borderId="0" xfId="0" applyNumberFormat="1" applyFont="1" applyAlignment="1">
      <alignment horizontal="center"/>
    </xf>
    <xf numFmtId="164" fontId="13" fillId="0" borderId="0" xfId="0" applyNumberFormat="1" applyFont="1" applyAlignment="1">
      <alignment horizontal="center"/>
    </xf>
    <xf numFmtId="0" fontId="13" fillId="0" borderId="24" xfId="0" applyFont="1" applyBorder="1" applyAlignment="1">
      <alignment horizontal="left"/>
    </xf>
    <xf numFmtId="0" fontId="13" fillId="0" borderId="24" xfId="0" quotePrefix="1" applyFont="1" applyBorder="1" applyAlignment="1">
      <alignment horizontal="left"/>
    </xf>
    <xf numFmtId="0" fontId="8" fillId="9" borderId="29" xfId="0" applyFont="1" applyFill="1" applyBorder="1"/>
    <xf numFmtId="169" fontId="8" fillId="9" borderId="30" xfId="0" applyNumberFormat="1" applyFont="1" applyFill="1" applyBorder="1" applyAlignment="1">
      <alignment horizontal="right"/>
    </xf>
    <xf numFmtId="0" fontId="9" fillId="0" borderId="32" xfId="0" applyFont="1" applyBorder="1" applyAlignment="1">
      <alignment wrapText="1"/>
    </xf>
    <xf numFmtId="0" fontId="11" fillId="0" borderId="24" xfId="0" applyFont="1" applyBorder="1" applyAlignment="1">
      <alignment wrapText="1"/>
    </xf>
    <xf numFmtId="9" fontId="11" fillId="0" borderId="1" xfId="4" applyFont="1" applyBorder="1" applyAlignment="1">
      <alignment horizontal="right" wrapText="1"/>
    </xf>
    <xf numFmtId="0" fontId="11" fillId="0" borderId="10" xfId="0" applyFont="1" applyBorder="1" applyAlignment="1">
      <alignment wrapText="1"/>
    </xf>
    <xf numFmtId="9" fontId="11" fillId="0" borderId="11" xfId="4" applyFont="1" applyBorder="1" applyAlignment="1">
      <alignment horizontal="right" wrapText="1"/>
    </xf>
    <xf numFmtId="0" fontId="9" fillId="0" borderId="0" xfId="0" applyFont="1" applyAlignment="1">
      <alignment wrapText="1"/>
    </xf>
    <xf numFmtId="9" fontId="9" fillId="0" borderId="0" xfId="4" applyFont="1" applyBorder="1" applyAlignment="1">
      <alignment horizontal="right" wrapText="1"/>
    </xf>
    <xf numFmtId="167" fontId="9" fillId="0" borderId="0" xfId="1" applyNumberFormat="1" applyFont="1" applyAlignment="1">
      <alignment wrapText="1"/>
    </xf>
    <xf numFmtId="0" fontId="9" fillId="0" borderId="7" xfId="0" applyFont="1" applyBorder="1"/>
    <xf numFmtId="0" fontId="9" fillId="0" borderId="24" xfId="0" applyFont="1" applyBorder="1"/>
    <xf numFmtId="167" fontId="9" fillId="5" borderId="25" xfId="1" applyNumberFormat="1" applyFont="1" applyFill="1" applyBorder="1"/>
    <xf numFmtId="174" fontId="9" fillId="0" borderId="0" xfId="4" applyNumberFormat="1" applyFont="1"/>
    <xf numFmtId="0" fontId="25" fillId="0" borderId="0" xfId="0" applyFont="1"/>
    <xf numFmtId="0" fontId="8" fillId="9" borderId="30" xfId="0" applyFont="1" applyFill="1" applyBorder="1" applyAlignment="1">
      <alignment horizontal="right"/>
    </xf>
    <xf numFmtId="0" fontId="8" fillId="9" borderId="31" xfId="0" applyFont="1" applyFill="1" applyBorder="1" applyAlignment="1">
      <alignment horizontal="right"/>
    </xf>
    <xf numFmtId="171" fontId="9" fillId="0" borderId="1" xfId="1" applyNumberFormat="1" applyFont="1" applyBorder="1" applyAlignment="1">
      <alignment horizontal="right" wrapText="1"/>
    </xf>
    <xf numFmtId="9" fontId="9" fillId="5" borderId="25" xfId="4" applyFont="1" applyFill="1" applyBorder="1"/>
    <xf numFmtId="9" fontId="9" fillId="0" borderId="1" xfId="4" applyFont="1" applyFill="1" applyBorder="1" applyAlignment="1">
      <alignment horizontal="center"/>
    </xf>
    <xf numFmtId="9" fontId="9" fillId="0" borderId="25" xfId="4" applyFont="1" applyFill="1" applyBorder="1" applyAlignment="1">
      <alignment horizontal="center"/>
    </xf>
    <xf numFmtId="9" fontId="11" fillId="0" borderId="1" xfId="4" applyFont="1" applyFill="1" applyBorder="1" applyAlignment="1">
      <alignment horizontal="center"/>
    </xf>
    <xf numFmtId="9" fontId="11" fillId="0" borderId="25" xfId="4" applyFont="1" applyFill="1" applyBorder="1" applyAlignment="1">
      <alignment horizontal="center"/>
    </xf>
    <xf numFmtId="9" fontId="11" fillId="0" borderId="11" xfId="4" applyFont="1" applyFill="1" applyBorder="1" applyAlignment="1">
      <alignment horizontal="center"/>
    </xf>
    <xf numFmtId="9" fontId="11" fillId="0" borderId="12" xfId="4" applyFont="1" applyFill="1" applyBorder="1" applyAlignment="1">
      <alignment horizontal="center"/>
    </xf>
    <xf numFmtId="168" fontId="9" fillId="5" borderId="25" xfId="1" applyNumberFormat="1" applyFont="1" applyFill="1" applyBorder="1"/>
    <xf numFmtId="9" fontId="12" fillId="4" borderId="9" xfId="0" applyNumberFormat="1" applyFont="1" applyFill="1" applyBorder="1"/>
    <xf numFmtId="168" fontId="12" fillId="4" borderId="25" xfId="1" applyNumberFormat="1" applyFont="1" applyFill="1" applyBorder="1"/>
    <xf numFmtId="9" fontId="10" fillId="4" borderId="16" xfId="0" applyNumberFormat="1" applyFont="1" applyFill="1" applyBorder="1" applyAlignment="1">
      <alignment horizontal="center"/>
    </xf>
    <xf numFmtId="9" fontId="10" fillId="4" borderId="17" xfId="0" applyNumberFormat="1" applyFont="1" applyFill="1" applyBorder="1" applyAlignment="1">
      <alignment horizontal="center"/>
    </xf>
    <xf numFmtId="9" fontId="10" fillId="4" borderId="21" xfId="0" applyNumberFormat="1" applyFont="1" applyFill="1" applyBorder="1" applyAlignment="1">
      <alignment horizontal="center"/>
    </xf>
    <xf numFmtId="9" fontId="10" fillId="4" borderId="13" xfId="0" applyNumberFormat="1" applyFont="1" applyFill="1" applyBorder="1" applyAlignment="1">
      <alignment horizontal="center"/>
    </xf>
    <xf numFmtId="0" fontId="11" fillId="0" borderId="1" xfId="0" applyFont="1" applyBorder="1"/>
    <xf numFmtId="0" fontId="8" fillId="0" borderId="1" xfId="0" applyFont="1" applyBorder="1"/>
    <xf numFmtId="166" fontId="10" fillId="3" borderId="1" xfId="0" applyNumberFormat="1" applyFont="1" applyFill="1" applyBorder="1" applyAlignment="1">
      <alignment horizontal="center"/>
    </xf>
    <xf numFmtId="9" fontId="8" fillId="9" borderId="1" xfId="0" applyNumberFormat="1" applyFont="1" applyFill="1" applyBorder="1"/>
    <xf numFmtId="9" fontId="9" fillId="0" borderId="1" xfId="0" applyNumberFormat="1" applyFont="1" applyBorder="1"/>
    <xf numFmtId="9" fontId="11" fillId="0" borderId="1" xfId="4" applyFont="1" applyBorder="1"/>
    <xf numFmtId="171" fontId="8" fillId="0" borderId="1" xfId="1" applyNumberFormat="1" applyFont="1" applyBorder="1"/>
    <xf numFmtId="171" fontId="11" fillId="0" borderId="1" xfId="0" applyNumberFormat="1" applyFont="1" applyBorder="1"/>
    <xf numFmtId="167" fontId="8" fillId="9" borderId="1" xfId="1" applyNumberFormat="1" applyFont="1" applyFill="1" applyBorder="1" applyAlignment="1">
      <alignment horizontal="right"/>
    </xf>
    <xf numFmtId="167" fontId="8" fillId="9" borderId="1" xfId="1" applyNumberFormat="1" applyFont="1" applyFill="1" applyBorder="1"/>
    <xf numFmtId="167" fontId="9" fillId="9" borderId="25" xfId="1" applyNumberFormat="1" applyFont="1" applyFill="1" applyBorder="1"/>
    <xf numFmtId="0" fontId="10" fillId="3" borderId="33" xfId="0" applyFont="1" applyFill="1" applyBorder="1"/>
    <xf numFmtId="166" fontId="10" fillId="3" borderId="30" xfId="0" applyNumberFormat="1" applyFont="1" applyFill="1" applyBorder="1" applyAlignment="1">
      <alignment horizontal="center"/>
    </xf>
    <xf numFmtId="166" fontId="10" fillId="3" borderId="2" xfId="0" applyNumberFormat="1" applyFont="1" applyFill="1" applyBorder="1" applyAlignment="1">
      <alignment horizontal="center"/>
    </xf>
    <xf numFmtId="0" fontId="8" fillId="0" borderId="6" xfId="0" applyFont="1" applyBorder="1"/>
    <xf numFmtId="171" fontId="8" fillId="0" borderId="4" xfId="1" applyNumberFormat="1" applyFont="1" applyBorder="1"/>
    <xf numFmtId="0" fontId="11" fillId="0" borderId="6" xfId="0" applyFont="1" applyBorder="1"/>
    <xf numFmtId="43" fontId="11" fillId="0" borderId="1" xfId="1" applyFont="1" applyBorder="1"/>
    <xf numFmtId="9" fontId="11" fillId="0" borderId="4" xfId="4" applyFont="1" applyBorder="1"/>
    <xf numFmtId="0" fontId="9" fillId="0" borderId="6" xfId="0" applyFont="1" applyBorder="1"/>
    <xf numFmtId="171" fontId="9" fillId="0" borderId="4" xfId="1" applyNumberFormat="1" applyFont="1" applyBorder="1"/>
    <xf numFmtId="0" fontId="11" fillId="0" borderId="34" xfId="0" applyFont="1" applyBorder="1"/>
    <xf numFmtId="9" fontId="11" fillId="0" borderId="35" xfId="4" applyFont="1" applyBorder="1"/>
    <xf numFmtId="9" fontId="11" fillId="0" borderId="36" xfId="4" applyFont="1" applyBorder="1"/>
    <xf numFmtId="0" fontId="8" fillId="9" borderId="7" xfId="0" applyFont="1" applyFill="1" applyBorder="1" applyAlignment="1">
      <alignment wrapText="1"/>
    </xf>
    <xf numFmtId="0" fontId="8" fillId="9" borderId="9" xfId="0" applyFont="1" applyFill="1" applyBorder="1" applyAlignment="1">
      <alignment horizontal="left"/>
    </xf>
    <xf numFmtId="0" fontId="8" fillId="0" borderId="10" xfId="0" applyFont="1" applyBorder="1" applyAlignment="1">
      <alignment vertical="center" wrapText="1"/>
    </xf>
    <xf numFmtId="0" fontId="9" fillId="0" borderId="12" xfId="0" applyFont="1" applyBorder="1" applyAlignment="1">
      <alignment wrapText="1"/>
    </xf>
    <xf numFmtId="0" fontId="9" fillId="9" borderId="0" xfId="0" applyFont="1" applyFill="1" applyAlignment="1">
      <alignment wrapText="1"/>
    </xf>
    <xf numFmtId="0" fontId="9" fillId="9" borderId="0" xfId="0" applyFont="1" applyFill="1"/>
    <xf numFmtId="0" fontId="8" fillId="0" borderId="16" xfId="0" applyFont="1" applyBorder="1" applyAlignment="1">
      <alignment vertical="center" wrapText="1"/>
    </xf>
    <xf numFmtId="0" fontId="9" fillId="0" borderId="17" xfId="0" applyFont="1" applyBorder="1" applyAlignment="1">
      <alignment wrapText="1"/>
    </xf>
    <xf numFmtId="0" fontId="8" fillId="9" borderId="0" xfId="0" applyFont="1" applyFill="1" applyAlignment="1">
      <alignment vertical="center"/>
    </xf>
    <xf numFmtId="0" fontId="8" fillId="0" borderId="1" xfId="0" applyFont="1" applyBorder="1" applyAlignment="1">
      <alignment vertical="center" wrapText="1"/>
    </xf>
    <xf numFmtId="0" fontId="9" fillId="0" borderId="1" xfId="0" applyFont="1" applyBorder="1" applyAlignment="1">
      <alignment wrapText="1"/>
    </xf>
    <xf numFmtId="0" fontId="17" fillId="9" borderId="0" xfId="0" applyFont="1" applyFill="1"/>
    <xf numFmtId="0" fontId="26" fillId="0" borderId="0" xfId="2" applyFont="1" applyFill="1" applyBorder="1" applyAlignment="1" applyProtection="1"/>
    <xf numFmtId="0" fontId="26" fillId="0" borderId="0" xfId="2" applyFont="1" applyAlignment="1" applyProtection="1">
      <alignment horizontal="left"/>
    </xf>
    <xf numFmtId="0" fontId="29" fillId="0" borderId="0" xfId="0" applyFont="1"/>
    <xf numFmtId="0" fontId="30" fillId="0" borderId="0" xfId="0" applyFont="1"/>
    <xf numFmtId="0" fontId="31" fillId="3" borderId="7" xfId="0" applyFont="1" applyFill="1" applyBorder="1"/>
    <xf numFmtId="166" fontId="31" fillId="3" borderId="8" xfId="0" applyNumberFormat="1" applyFont="1" applyFill="1" applyBorder="1" applyAlignment="1">
      <alignment horizontal="center"/>
    </xf>
    <xf numFmtId="0" fontId="31" fillId="3" borderId="9" xfId="0" applyFont="1" applyFill="1" applyBorder="1" applyAlignment="1">
      <alignment horizontal="center"/>
    </xf>
    <xf numFmtId="0" fontId="30" fillId="0" borderId="24" xfId="0" applyFont="1" applyBorder="1"/>
    <xf numFmtId="171" fontId="30" fillId="0" borderId="1" xfId="1" applyNumberFormat="1" applyFont="1" applyBorder="1"/>
    <xf numFmtId="171" fontId="30" fillId="0" borderId="25" xfId="1" applyNumberFormat="1" applyFont="1" applyBorder="1"/>
    <xf numFmtId="0" fontId="32" fillId="9" borderId="24" xfId="0" applyFont="1" applyFill="1" applyBorder="1"/>
    <xf numFmtId="43" fontId="30" fillId="9" borderId="1" xfId="1" applyFont="1" applyFill="1" applyBorder="1"/>
    <xf numFmtId="9" fontId="32" fillId="9" borderId="1" xfId="4" applyFont="1" applyFill="1" applyBorder="1"/>
    <xf numFmtId="9" fontId="32" fillId="9" borderId="25" xfId="4" applyFont="1" applyFill="1" applyBorder="1"/>
    <xf numFmtId="0" fontId="29" fillId="0" borderId="24" xfId="0" applyFont="1" applyBorder="1"/>
    <xf numFmtId="171" fontId="29" fillId="0" borderId="1" xfId="1" applyNumberFormat="1" applyFont="1" applyBorder="1"/>
    <xf numFmtId="171" fontId="29" fillId="0" borderId="25" xfId="1" applyNumberFormat="1" applyFont="1" applyBorder="1"/>
    <xf numFmtId="43" fontId="32" fillId="0" borderId="24" xfId="1" applyFont="1" applyBorder="1" applyAlignment="1">
      <alignment horizontal="left" indent="1"/>
    </xf>
    <xf numFmtId="9" fontId="32" fillId="0" borderId="1" xfId="4" applyFont="1" applyBorder="1"/>
    <xf numFmtId="9" fontId="32" fillId="0" borderId="25" xfId="4" applyFont="1" applyBorder="1"/>
    <xf numFmtId="172" fontId="32" fillId="9" borderId="1" xfId="1" applyNumberFormat="1" applyFont="1" applyFill="1" applyBorder="1"/>
    <xf numFmtId="172" fontId="32" fillId="9" borderId="25" xfId="1" applyNumberFormat="1" applyFont="1" applyFill="1" applyBorder="1"/>
    <xf numFmtId="171" fontId="32" fillId="9" borderId="1" xfId="1" applyNumberFormat="1" applyFont="1" applyFill="1" applyBorder="1"/>
    <xf numFmtId="171" fontId="32" fillId="9" borderId="25" xfId="1" applyNumberFormat="1" applyFont="1" applyFill="1" applyBorder="1"/>
    <xf numFmtId="170" fontId="29" fillId="0" borderId="1" xfId="1" applyNumberFormat="1" applyFont="1" applyBorder="1"/>
    <xf numFmtId="170" fontId="29" fillId="0" borderId="25" xfId="1" applyNumberFormat="1" applyFont="1" applyBorder="1"/>
    <xf numFmtId="0" fontId="29" fillId="9" borderId="24" xfId="0" applyFont="1" applyFill="1" applyBorder="1"/>
    <xf numFmtId="170" fontId="29" fillId="9" borderId="1" xfId="1" applyNumberFormat="1" applyFont="1" applyFill="1" applyBorder="1"/>
    <xf numFmtId="170" fontId="29" fillId="9" borderId="25" xfId="1" applyNumberFormat="1" applyFont="1" applyFill="1" applyBorder="1"/>
    <xf numFmtId="172" fontId="29" fillId="0" borderId="1" xfId="0" applyNumberFormat="1" applyFont="1" applyBorder="1"/>
    <xf numFmtId="10" fontId="29" fillId="0" borderId="25" xfId="0" applyNumberFormat="1" applyFont="1" applyBorder="1"/>
    <xf numFmtId="0" fontId="29" fillId="0" borderId="10" xfId="0" applyFont="1" applyBorder="1"/>
    <xf numFmtId="170" fontId="29" fillId="0" borderId="11" xfId="1" applyNumberFormat="1" applyFont="1" applyBorder="1"/>
    <xf numFmtId="172" fontId="29" fillId="0" borderId="11" xfId="0" applyNumberFormat="1" applyFont="1" applyBorder="1"/>
    <xf numFmtId="10" fontId="29" fillId="0" borderId="12" xfId="0" applyNumberFormat="1" applyFont="1" applyBorder="1"/>
    <xf numFmtId="171" fontId="29" fillId="0" borderId="0" xfId="0" applyNumberFormat="1" applyFont="1"/>
    <xf numFmtId="166" fontId="31" fillId="3" borderId="1" xfId="0" applyNumberFormat="1" applyFont="1" applyFill="1" applyBorder="1" applyAlignment="1">
      <alignment horizontal="center"/>
    </xf>
    <xf numFmtId="0" fontId="29" fillId="0" borderId="1" xfId="0" applyFont="1" applyBorder="1"/>
    <xf numFmtId="172" fontId="29" fillId="9" borderId="1" xfId="0" applyNumberFormat="1" applyFont="1" applyFill="1" applyBorder="1"/>
    <xf numFmtId="0" fontId="35" fillId="0" borderId="0" xfId="0" applyFont="1"/>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35" fillId="0" borderId="1" xfId="1" applyNumberFormat="1" applyFont="1" applyBorder="1"/>
    <xf numFmtId="0" fontId="25" fillId="0" borderId="0" xfId="0" applyFont="1" applyAlignment="1">
      <alignment horizontal="left"/>
    </xf>
    <xf numFmtId="0" fontId="8" fillId="9" borderId="24" xfId="0" applyFont="1" applyFill="1" applyBorder="1" applyAlignment="1">
      <alignment horizontal="left"/>
    </xf>
    <xf numFmtId="9" fontId="8" fillId="9" borderId="25" xfId="4" applyFont="1" applyFill="1" applyBorder="1" applyAlignment="1">
      <alignment horizontal="right"/>
    </xf>
    <xf numFmtId="9" fontId="9" fillId="0" borderId="25" xfId="4" applyFont="1" applyFill="1" applyBorder="1" applyAlignment="1">
      <alignment horizontal="left"/>
    </xf>
    <xf numFmtId="167" fontId="9" fillId="0" borderId="25" xfId="1" applyNumberFormat="1" applyFont="1" applyFill="1" applyBorder="1" applyAlignment="1">
      <alignment horizontal="left"/>
    </xf>
    <xf numFmtId="168" fontId="9" fillId="0" borderId="25" xfId="1" applyNumberFormat="1" applyFont="1" applyFill="1" applyBorder="1" applyAlignment="1">
      <alignment horizontal="left"/>
    </xf>
    <xf numFmtId="172" fontId="9" fillId="0" borderId="25" xfId="4" applyNumberFormat="1" applyFont="1" applyFill="1" applyBorder="1" applyAlignment="1">
      <alignment horizontal="right"/>
    </xf>
    <xf numFmtId="168" fontId="9" fillId="0" borderId="25" xfId="1" applyNumberFormat="1" applyFont="1" applyFill="1" applyBorder="1" applyAlignment="1">
      <alignment horizontal="left" indent="1"/>
    </xf>
    <xf numFmtId="172" fontId="9" fillId="0" borderId="25" xfId="4" applyNumberFormat="1" applyFont="1" applyFill="1" applyBorder="1" applyAlignment="1"/>
    <xf numFmtId="170" fontId="9" fillId="0" borderId="25" xfId="1" applyNumberFormat="1" applyFont="1" applyFill="1" applyBorder="1" applyAlignment="1"/>
    <xf numFmtId="0" fontId="13" fillId="0" borderId="10" xfId="0" applyFont="1" applyBorder="1" applyAlignment="1">
      <alignment horizontal="left"/>
    </xf>
    <xf numFmtId="170" fontId="9" fillId="0" borderId="12" xfId="1" applyNumberFormat="1" applyFont="1" applyFill="1" applyBorder="1" applyAlignment="1"/>
    <xf numFmtId="166" fontId="10" fillId="3" borderId="24" xfId="1" applyNumberFormat="1" applyFont="1" applyFill="1" applyBorder="1"/>
    <xf numFmtId="166" fontId="10" fillId="3" borderId="25" xfId="0" applyNumberFormat="1" applyFont="1" applyFill="1" applyBorder="1" applyAlignment="1">
      <alignment horizontal="center"/>
    </xf>
    <xf numFmtId="9" fontId="9" fillId="0" borderId="24" xfId="4" applyFont="1" applyBorder="1"/>
    <xf numFmtId="9" fontId="9" fillId="0" borderId="25" xfId="4" applyFont="1" applyBorder="1"/>
    <xf numFmtId="9" fontId="9" fillId="0" borderId="26" xfId="4" applyFont="1" applyBorder="1"/>
    <xf numFmtId="0" fontId="9" fillId="0" borderId="27" xfId="0" applyFont="1" applyBorder="1"/>
    <xf numFmtId="0" fontId="9" fillId="0" borderId="28" xfId="0" applyFont="1" applyBorder="1"/>
    <xf numFmtId="9" fontId="9" fillId="0" borderId="25" xfId="0" applyNumberFormat="1" applyFont="1" applyBorder="1"/>
    <xf numFmtId="0" fontId="37" fillId="0" borderId="0" xfId="0" applyFont="1"/>
    <xf numFmtId="0" fontId="38" fillId="0" borderId="0" xfId="0" applyFont="1"/>
    <xf numFmtId="171" fontId="38" fillId="0" borderId="1" xfId="1" applyNumberFormat="1" applyFont="1" applyBorder="1" applyAlignment="1">
      <alignment horizontal="center"/>
    </xf>
    <xf numFmtId="171" fontId="37" fillId="0" borderId="1" xfId="1" applyNumberFormat="1" applyFont="1" applyBorder="1" applyAlignment="1">
      <alignment horizontal="center"/>
    </xf>
    <xf numFmtId="171" fontId="38" fillId="0" borderId="1" xfId="1" applyNumberFormat="1" applyFont="1" applyBorder="1"/>
    <xf numFmtId="171" fontId="38" fillId="0" borderId="0" xfId="1" applyNumberFormat="1" applyFont="1" applyBorder="1"/>
    <xf numFmtId="0" fontId="41" fillId="0" borderId="0" xfId="0" applyFont="1"/>
    <xf numFmtId="0" fontId="41" fillId="0" borderId="0" xfId="0" applyFont="1" applyAlignment="1">
      <alignment wrapText="1"/>
    </xf>
    <xf numFmtId="166" fontId="39" fillId="3" borderId="30" xfId="0" applyNumberFormat="1" applyFont="1" applyFill="1" applyBorder="1" applyAlignment="1">
      <alignment horizontal="center"/>
    </xf>
    <xf numFmtId="0" fontId="39" fillId="3" borderId="29" xfId="0" applyFont="1" applyFill="1" applyBorder="1"/>
    <xf numFmtId="166" fontId="39" fillId="3" borderId="31" xfId="0" applyNumberFormat="1" applyFont="1" applyFill="1" applyBorder="1" applyAlignment="1">
      <alignment horizontal="center"/>
    </xf>
    <xf numFmtId="0" fontId="38" fillId="0" borderId="24" xfId="0" applyFont="1" applyBorder="1"/>
    <xf numFmtId="171" fontId="38" fillId="0" borderId="25" xfId="1" applyNumberFormat="1" applyFont="1" applyBorder="1" applyAlignment="1">
      <alignment horizontal="center"/>
    </xf>
    <xf numFmtId="0" fontId="37" fillId="0" borderId="24" xfId="0" applyFont="1" applyBorder="1"/>
    <xf numFmtId="171" fontId="37" fillId="0" borderId="25" xfId="1" applyNumberFormat="1" applyFont="1" applyBorder="1" applyAlignment="1">
      <alignment horizontal="center"/>
    </xf>
    <xf numFmtId="171" fontId="38" fillId="0" borderId="25" xfId="1" applyNumberFormat="1" applyFont="1" applyBorder="1"/>
    <xf numFmtId="0" fontId="10" fillId="3" borderId="24" xfId="0" applyFont="1" applyFill="1" applyBorder="1"/>
    <xf numFmtId="0" fontId="8" fillId="0" borderId="24" xfId="0" applyFont="1" applyBorder="1"/>
    <xf numFmtId="171" fontId="8" fillId="0" borderId="23" xfId="1" applyNumberFormat="1" applyFont="1" applyBorder="1"/>
    <xf numFmtId="0" fontId="11" fillId="0" borderId="24" xfId="0" applyFont="1" applyBorder="1"/>
    <xf numFmtId="171" fontId="11" fillId="0" borderId="23" xfId="1" applyNumberFormat="1" applyFont="1" applyBorder="1"/>
    <xf numFmtId="171" fontId="24" fillId="0" borderId="23" xfId="1" applyNumberFormat="1" applyFont="1" applyBorder="1"/>
    <xf numFmtId="171" fontId="9" fillId="0" borderId="23" xfId="1" applyNumberFormat="1" applyFont="1" applyBorder="1"/>
    <xf numFmtId="0" fontId="11" fillId="0" borderId="10" xfId="0" applyFont="1" applyBorder="1"/>
    <xf numFmtId="9" fontId="11" fillId="0" borderId="11" xfId="4" applyFont="1" applyBorder="1"/>
    <xf numFmtId="171" fontId="9" fillId="0" borderId="28" xfId="1" applyNumberFormat="1" applyFont="1" applyBorder="1"/>
    <xf numFmtId="0" fontId="43" fillId="0" borderId="0" xfId="0" applyFont="1" applyAlignment="1">
      <alignment wrapText="1"/>
    </xf>
    <xf numFmtId="0" fontId="44" fillId="0" borderId="0" xfId="2" applyFont="1" applyFill="1" applyBorder="1" applyAlignment="1" applyProtection="1">
      <alignment horizontal="center" wrapText="1"/>
    </xf>
    <xf numFmtId="9" fontId="11" fillId="0" borderId="5" xfId="4" applyFont="1" applyBorder="1" applyAlignment="1">
      <alignment horizontal="center"/>
    </xf>
    <xf numFmtId="169" fontId="10" fillId="3" borderId="1" xfId="0" applyNumberFormat="1" applyFont="1" applyFill="1" applyBorder="1"/>
    <xf numFmtId="172" fontId="9" fillId="0" borderId="1" xfId="4" applyNumberFormat="1" applyFont="1" applyBorder="1"/>
    <xf numFmtId="172" fontId="9" fillId="0" borderId="1" xfId="0" applyNumberFormat="1" applyFont="1" applyBorder="1"/>
    <xf numFmtId="170" fontId="9" fillId="0" borderId="1" xfId="1" applyNumberFormat="1" applyFont="1" applyBorder="1"/>
    <xf numFmtId="0" fontId="12" fillId="3" borderId="24" xfId="0" applyFont="1" applyFill="1" applyBorder="1"/>
    <xf numFmtId="169" fontId="10" fillId="3" borderId="25" xfId="0" applyNumberFormat="1" applyFont="1" applyFill="1" applyBorder="1"/>
    <xf numFmtId="172" fontId="9" fillId="0" borderId="25" xfId="4" applyNumberFormat="1" applyFont="1" applyBorder="1"/>
    <xf numFmtId="0" fontId="9" fillId="0" borderId="25" xfId="0" applyFont="1" applyBorder="1"/>
    <xf numFmtId="172" fontId="9" fillId="0" borderId="25" xfId="0" applyNumberFormat="1" applyFont="1" applyBorder="1"/>
    <xf numFmtId="170" fontId="9" fillId="0" borderId="25" xfId="1" applyNumberFormat="1" applyFont="1" applyBorder="1"/>
    <xf numFmtId="0" fontId="49" fillId="0" borderId="0" xfId="0" applyFont="1"/>
    <xf numFmtId="0" fontId="50" fillId="0" borderId="0" xfId="0" applyFont="1"/>
    <xf numFmtId="169" fontId="49" fillId="0" borderId="0" xfId="0" applyNumberFormat="1" applyFont="1"/>
    <xf numFmtId="169" fontId="50" fillId="0" borderId="0" xfId="0" applyNumberFormat="1" applyFont="1"/>
    <xf numFmtId="9" fontId="49" fillId="0" borderId="0" xfId="4" applyFont="1"/>
    <xf numFmtId="171" fontId="49" fillId="0" borderId="0" xfId="1" applyNumberFormat="1" applyFont="1"/>
    <xf numFmtId="0" fontId="51" fillId="0" borderId="1" xfId="2" applyFont="1" applyBorder="1" applyAlignment="1" applyProtection="1"/>
    <xf numFmtId="0" fontId="8" fillId="7" borderId="1" xfId="0" applyFont="1" applyFill="1" applyBorder="1"/>
    <xf numFmtId="0" fontId="52" fillId="0" borderId="0" xfId="0" applyFont="1"/>
    <xf numFmtId="165" fontId="25" fillId="0" borderId="1" xfId="0" applyNumberFormat="1" applyFont="1" applyBorder="1"/>
    <xf numFmtId="0" fontId="25" fillId="0" borderId="1" xfId="0" applyFont="1" applyBorder="1"/>
    <xf numFmtId="170" fontId="29" fillId="11" borderId="1" xfId="1" applyNumberFormat="1" applyFont="1" applyFill="1" applyBorder="1"/>
    <xf numFmtId="171" fontId="30" fillId="5" borderId="1" xfId="1" applyNumberFormat="1" applyFont="1" applyFill="1" applyBorder="1"/>
    <xf numFmtId="0" fontId="8" fillId="0" borderId="40" xfId="0" applyFont="1" applyBorder="1"/>
    <xf numFmtId="2" fontId="25" fillId="0" borderId="0" xfId="0" applyNumberFormat="1" applyFont="1" applyAlignment="1">
      <alignment horizontal="left"/>
    </xf>
    <xf numFmtId="9" fontId="29" fillId="0" borderId="41" xfId="4" applyFont="1" applyBorder="1"/>
    <xf numFmtId="9" fontId="25" fillId="0" borderId="0" xfId="0" applyNumberFormat="1" applyFont="1" applyAlignment="1">
      <alignment horizontal="left"/>
    </xf>
    <xf numFmtId="9" fontId="29" fillId="0" borderId="0" xfId="4" applyFont="1" applyBorder="1"/>
    <xf numFmtId="9" fontId="29" fillId="11" borderId="0" xfId="0" applyNumberFormat="1" applyFont="1" applyFill="1"/>
    <xf numFmtId="9" fontId="29" fillId="0" borderId="0" xfId="0" applyNumberFormat="1" applyFont="1"/>
    <xf numFmtId="10" fontId="25" fillId="0" borderId="35" xfId="4" applyNumberFormat="1" applyFont="1" applyBorder="1" applyAlignment="1"/>
    <xf numFmtId="0" fontId="25" fillId="7" borderId="0" xfId="0" applyFont="1" applyFill="1" applyAlignment="1">
      <alignment horizontal="left"/>
    </xf>
    <xf numFmtId="0" fontId="25" fillId="7" borderId="0" xfId="4" applyNumberFormat="1" applyFont="1" applyFill="1" applyAlignment="1">
      <alignment horizontal="right"/>
    </xf>
    <xf numFmtId="0" fontId="25" fillId="7" borderId="0" xfId="0" applyFont="1" applyFill="1" applyAlignment="1">
      <alignment horizontal="right"/>
    </xf>
    <xf numFmtId="0" fontId="25" fillId="15" borderId="18" xfId="0" applyFont="1" applyFill="1" applyBorder="1" applyAlignment="1">
      <alignment horizontal="left"/>
    </xf>
    <xf numFmtId="0" fontId="25" fillId="15" borderId="19" xfId="0" applyFont="1" applyFill="1" applyBorder="1" applyAlignment="1">
      <alignment horizontal="left"/>
    </xf>
    <xf numFmtId="0" fontId="25" fillId="15" borderId="20" xfId="0" applyFont="1" applyFill="1" applyBorder="1" applyAlignment="1">
      <alignment horizontal="left"/>
    </xf>
    <xf numFmtId="0" fontId="25" fillId="15" borderId="26" xfId="0" applyFont="1" applyFill="1" applyBorder="1" applyAlignment="1">
      <alignment horizontal="left"/>
    </xf>
    <xf numFmtId="2" fontId="25" fillId="15" borderId="27" xfId="0" applyNumberFormat="1" applyFont="1" applyFill="1" applyBorder="1" applyAlignment="1">
      <alignment horizontal="left"/>
    </xf>
    <xf numFmtId="2" fontId="25" fillId="15" borderId="28" xfId="0" applyNumberFormat="1" applyFont="1" applyFill="1" applyBorder="1" applyAlignment="1">
      <alignment horizontal="left"/>
    </xf>
    <xf numFmtId="0" fontId="25" fillId="15" borderId="0" xfId="0" applyFont="1" applyFill="1" applyAlignment="1">
      <alignment horizontal="left"/>
    </xf>
    <xf numFmtId="9" fontId="25" fillId="15" borderId="0" xfId="0" applyNumberFormat="1" applyFont="1" applyFill="1" applyAlignment="1">
      <alignment horizontal="left"/>
    </xf>
    <xf numFmtId="1" fontId="25" fillId="0" borderId="0" xfId="0" applyNumberFormat="1" applyFont="1" applyAlignment="1">
      <alignment horizontal="left"/>
    </xf>
    <xf numFmtId="1" fontId="25" fillId="12" borderId="0" xfId="0" applyNumberFormat="1" applyFont="1" applyFill="1" applyAlignment="1">
      <alignment horizontal="left"/>
    </xf>
    <xf numFmtId="1" fontId="25" fillId="13" borderId="0" xfId="0" applyNumberFormat="1" applyFont="1" applyFill="1" applyAlignment="1">
      <alignment horizontal="left"/>
    </xf>
    <xf numFmtId="2" fontId="25" fillId="7" borderId="0" xfId="0" applyNumberFormat="1" applyFont="1" applyFill="1" applyAlignment="1">
      <alignment horizontal="left"/>
    </xf>
    <xf numFmtId="0" fontId="24" fillId="9" borderId="24" xfId="0" applyFont="1" applyFill="1" applyBorder="1"/>
    <xf numFmtId="9" fontId="24" fillId="9" borderId="1" xfId="4" applyFont="1" applyFill="1" applyBorder="1"/>
    <xf numFmtId="9" fontId="24" fillId="9" borderId="25" xfId="4" applyFont="1" applyFill="1" applyBorder="1"/>
    <xf numFmtId="171" fontId="9" fillId="0" borderId="25" xfId="1" applyNumberFormat="1" applyFont="1" applyBorder="1"/>
    <xf numFmtId="10" fontId="9" fillId="0" borderId="0" xfId="0" applyNumberFormat="1" applyFont="1"/>
    <xf numFmtId="9" fontId="9" fillId="0" borderId="1" xfId="1" applyNumberFormat="1" applyFont="1" applyBorder="1"/>
    <xf numFmtId="1" fontId="9" fillId="0" borderId="0" xfId="0" applyNumberFormat="1" applyFont="1"/>
    <xf numFmtId="43" fontId="0" fillId="0" borderId="0" xfId="5" applyFont="1" applyBorder="1"/>
    <xf numFmtId="43" fontId="1" fillId="0" borderId="0" xfId="5" applyFont="1" applyBorder="1"/>
    <xf numFmtId="43" fontId="2" fillId="0" borderId="0" xfId="5" applyFont="1" applyBorder="1"/>
    <xf numFmtId="166" fontId="54" fillId="0" borderId="0" xfId="5" applyNumberFormat="1" applyFont="1" applyFill="1" applyBorder="1"/>
    <xf numFmtId="166" fontId="53" fillId="3" borderId="0" xfId="0" applyNumberFormat="1" applyFont="1" applyFill="1" applyAlignment="1">
      <alignment horizontal="center"/>
    </xf>
    <xf numFmtId="166" fontId="53" fillId="3" borderId="0" xfId="5" applyNumberFormat="1" applyFont="1" applyFill="1" applyBorder="1"/>
    <xf numFmtId="1" fontId="0" fillId="0" borderId="0" xfId="0" applyNumberFormat="1" applyAlignment="1">
      <alignment horizontal="center"/>
    </xf>
    <xf numFmtId="43" fontId="2" fillId="0" borderId="0" xfId="5" applyFont="1" applyBorder="1" applyAlignment="1"/>
    <xf numFmtId="0" fontId="55" fillId="0" borderId="0" xfId="0" applyFont="1"/>
    <xf numFmtId="1" fontId="55" fillId="0" borderId="0" xfId="0" applyNumberFormat="1" applyFont="1" applyAlignment="1">
      <alignment horizontal="center"/>
    </xf>
    <xf numFmtId="0" fontId="55" fillId="0" borderId="3" xfId="0" applyFont="1" applyBorder="1"/>
    <xf numFmtId="43" fontId="0" fillId="0" borderId="0" xfId="5" applyFont="1" applyFill="1" applyBorder="1" applyAlignment="1"/>
    <xf numFmtId="2" fontId="55" fillId="0" borderId="0" xfId="0" applyNumberFormat="1" applyFont="1"/>
    <xf numFmtId="1" fontId="56" fillId="0" borderId="48" xfId="0" applyNumberFormat="1" applyFont="1" applyBorder="1" applyAlignment="1">
      <alignment horizontal="center"/>
    </xf>
    <xf numFmtId="2" fontId="56" fillId="0" borderId="0" xfId="0" applyNumberFormat="1" applyFont="1"/>
    <xf numFmtId="2" fontId="56" fillId="0" borderId="48" xfId="0" applyNumberFormat="1" applyFont="1" applyBorder="1"/>
    <xf numFmtId="1" fontId="56" fillId="0" borderId="48" xfId="0" applyNumberFormat="1" applyFont="1" applyBorder="1"/>
    <xf numFmtId="9" fontId="55" fillId="0" borderId="0" xfId="4" applyFont="1" applyBorder="1" applyAlignment="1"/>
    <xf numFmtId="0" fontId="56" fillId="0" borderId="0" xfId="0" applyFont="1"/>
    <xf numFmtId="165" fontId="55" fillId="0" borderId="0" xfId="7" applyFont="1" applyBorder="1" applyAlignment="1"/>
    <xf numFmtId="0" fontId="57" fillId="0" borderId="0" xfId="0" applyFont="1"/>
    <xf numFmtId="2" fontId="55" fillId="0" borderId="3" xfId="0" applyNumberFormat="1" applyFont="1" applyBorder="1"/>
    <xf numFmtId="9" fontId="56" fillId="0" borderId="0" xfId="4" applyFont="1" applyFill="1"/>
    <xf numFmtId="9" fontId="58" fillId="0" borderId="0" xfId="4" applyFont="1" applyFill="1"/>
    <xf numFmtId="168" fontId="56" fillId="0" borderId="0" xfId="7" applyNumberFormat="1" applyFont="1"/>
    <xf numFmtId="167" fontId="56" fillId="0" borderId="0" xfId="7" applyNumberFormat="1" applyFont="1"/>
    <xf numFmtId="166" fontId="56" fillId="0" borderId="0" xfId="4" applyNumberFormat="1" applyFont="1"/>
    <xf numFmtId="0" fontId="56" fillId="11" borderId="0" xfId="0" applyFont="1" applyFill="1"/>
    <xf numFmtId="0" fontId="4" fillId="16" borderId="0" xfId="0" applyFont="1" applyFill="1"/>
    <xf numFmtId="1" fontId="59" fillId="17" borderId="49" xfId="0" applyNumberFormat="1" applyFont="1" applyFill="1" applyBorder="1" applyAlignment="1">
      <alignment horizontal="center"/>
    </xf>
    <xf numFmtId="0" fontId="4" fillId="0" borderId="0" xfId="0" applyFont="1"/>
    <xf numFmtId="166" fontId="59" fillId="17" borderId="49" xfId="0" applyNumberFormat="1" applyFont="1" applyFill="1" applyBorder="1" applyAlignment="1">
      <alignment horizontal="center"/>
    </xf>
    <xf numFmtId="2" fontId="56" fillId="18" borderId="48" xfId="0" applyNumberFormat="1" applyFont="1" applyFill="1" applyBorder="1"/>
    <xf numFmtId="1" fontId="56" fillId="18" borderId="48" xfId="0" applyNumberFormat="1" applyFont="1" applyFill="1" applyBorder="1" applyAlignment="1">
      <alignment horizontal="center"/>
    </xf>
    <xf numFmtId="43" fontId="2" fillId="18" borderId="0" xfId="5" applyFont="1" applyFill="1" applyBorder="1"/>
    <xf numFmtId="0" fontId="59" fillId="17" borderId="50" xfId="0" applyFont="1" applyFill="1" applyBorder="1" applyAlignment="1">
      <alignment horizontal="center"/>
    </xf>
    <xf numFmtId="43" fontId="1" fillId="18" borderId="0" xfId="5" applyFont="1" applyFill="1" applyBorder="1"/>
    <xf numFmtId="2" fontId="0" fillId="0" borderId="0" xfId="0" applyNumberFormat="1"/>
    <xf numFmtId="0" fontId="60" fillId="0" borderId="0" xfId="0" applyFont="1"/>
    <xf numFmtId="9" fontId="0" fillId="0" borderId="0" xfId="4" applyFont="1"/>
    <xf numFmtId="0" fontId="64" fillId="0" borderId="0" xfId="0" applyFont="1"/>
    <xf numFmtId="0" fontId="65" fillId="19" borderId="0" xfId="0" applyFont="1" applyFill="1"/>
    <xf numFmtId="0" fontId="1" fillId="12" borderId="0" xfId="0" applyFont="1" applyFill="1"/>
    <xf numFmtId="0" fontId="0" fillId="12" borderId="0" xfId="0" applyFill="1"/>
    <xf numFmtId="0" fontId="0" fillId="0" borderId="1" xfId="0" applyBorder="1"/>
    <xf numFmtId="9" fontId="0" fillId="0" borderId="1" xfId="4" applyFont="1" applyBorder="1"/>
    <xf numFmtId="0" fontId="13" fillId="0" borderId="1" xfId="0" applyFont="1" applyBorder="1" applyAlignment="1">
      <alignment horizontal="left"/>
    </xf>
    <xf numFmtId="0" fontId="13" fillId="0" borderId="35" xfId="0" applyFont="1" applyBorder="1" applyAlignment="1">
      <alignment horizontal="left"/>
    </xf>
    <xf numFmtId="0" fontId="0" fillId="20" borderId="33" xfId="0" applyFill="1" applyBorder="1"/>
    <xf numFmtId="166" fontId="66" fillId="21" borderId="2" xfId="0" applyNumberFormat="1" applyFont="1" applyFill="1" applyBorder="1"/>
    <xf numFmtId="0" fontId="0" fillId="0" borderId="6" xfId="0" applyBorder="1"/>
    <xf numFmtId="1" fontId="0" fillId="0" borderId="1" xfId="0" applyNumberFormat="1" applyBorder="1"/>
    <xf numFmtId="1" fontId="0" fillId="0" borderId="4" xfId="0" applyNumberFormat="1" applyBorder="1"/>
    <xf numFmtId="0" fontId="1" fillId="0" borderId="6" xfId="0" applyFont="1" applyBorder="1"/>
    <xf numFmtId="9" fontId="61" fillId="0" borderId="1" xfId="4" applyFont="1" applyBorder="1"/>
    <xf numFmtId="9" fontId="61" fillId="0" borderId="4" xfId="4" applyFont="1" applyBorder="1"/>
    <xf numFmtId="9" fontId="62" fillId="0" borderId="1" xfId="4" applyFont="1" applyBorder="1"/>
    <xf numFmtId="9" fontId="62" fillId="0" borderId="4" xfId="4" applyFont="1" applyBorder="1"/>
    <xf numFmtId="0" fontId="0" fillId="0" borderId="4" xfId="0" applyBorder="1"/>
    <xf numFmtId="0" fontId="1" fillId="12" borderId="6" xfId="0" applyFont="1" applyFill="1" applyBorder="1"/>
    <xf numFmtId="0" fontId="1" fillId="0" borderId="1" xfId="0" applyFont="1" applyBorder="1"/>
    <xf numFmtId="9" fontId="1" fillId="0" borderId="1" xfId="4" applyFont="1" applyBorder="1"/>
    <xf numFmtId="175" fontId="0" fillId="0" borderId="1" xfId="0" applyNumberFormat="1" applyBorder="1"/>
    <xf numFmtId="175" fontId="0" fillId="0" borderId="4" xfId="0" applyNumberFormat="1" applyBorder="1"/>
    <xf numFmtId="172" fontId="0" fillId="0" borderId="1" xfId="0" applyNumberFormat="1" applyBorder="1"/>
    <xf numFmtId="175" fontId="1" fillId="0" borderId="1" xfId="0" applyNumberFormat="1" applyFont="1" applyBorder="1"/>
    <xf numFmtId="176" fontId="0" fillId="0" borderId="1" xfId="0" applyNumberFormat="1" applyBorder="1"/>
    <xf numFmtId="0" fontId="0" fillId="0" borderId="34" xfId="0" applyBorder="1"/>
    <xf numFmtId="175" fontId="0" fillId="0" borderId="35" xfId="0" applyNumberFormat="1" applyBorder="1"/>
    <xf numFmtId="0" fontId="0" fillId="0" borderId="35" xfId="0" applyBorder="1"/>
    <xf numFmtId="0" fontId="0" fillId="0" borderId="36" xfId="0" applyBorder="1"/>
    <xf numFmtId="1" fontId="1" fillId="0" borderId="1" xfId="0" applyNumberFormat="1" applyFont="1" applyBorder="1"/>
    <xf numFmtId="1" fontId="1" fillId="0" borderId="4" xfId="0" applyNumberFormat="1" applyFont="1" applyBorder="1"/>
    <xf numFmtId="2" fontId="9" fillId="0" borderId="0" xfId="0" applyNumberFormat="1" applyFont="1"/>
    <xf numFmtId="9" fontId="49" fillId="0" borderId="0" xfId="0" applyNumberFormat="1" applyFont="1"/>
    <xf numFmtId="170" fontId="29" fillId="0" borderId="0" xfId="0" applyNumberFormat="1" applyFont="1"/>
    <xf numFmtId="165" fontId="29" fillId="0" borderId="0" xfId="0" applyNumberFormat="1" applyFont="1"/>
    <xf numFmtId="1" fontId="29" fillId="0" borderId="0" xfId="0" applyNumberFormat="1" applyFont="1"/>
    <xf numFmtId="167" fontId="29" fillId="0" borderId="0" xfId="0" applyNumberFormat="1" applyFont="1"/>
    <xf numFmtId="170" fontId="9" fillId="14" borderId="42" xfId="0" applyNumberFormat="1" applyFont="1" applyFill="1" applyBorder="1"/>
    <xf numFmtId="170" fontId="9" fillId="12" borderId="0" xfId="0" applyNumberFormat="1" applyFont="1" applyFill="1"/>
    <xf numFmtId="175" fontId="8" fillId="14" borderId="41" xfId="4" applyNumberFormat="1" applyFont="1" applyFill="1" applyBorder="1"/>
    <xf numFmtId="170" fontId="8" fillId="12" borderId="0" xfId="0" applyNumberFormat="1" applyFont="1" applyFill="1"/>
    <xf numFmtId="0" fontId="9" fillId="14" borderId="0" xfId="0" applyFont="1" applyFill="1"/>
    <xf numFmtId="0" fontId="9" fillId="12" borderId="0" xfId="0" applyFont="1" applyFill="1"/>
    <xf numFmtId="0" fontId="9" fillId="22" borderId="0" xfId="0" applyFont="1" applyFill="1"/>
    <xf numFmtId="175" fontId="8" fillId="22" borderId="0" xfId="0" applyNumberFormat="1" applyFont="1" applyFill="1"/>
    <xf numFmtId="170" fontId="9" fillId="22" borderId="0" xfId="0" applyNumberFormat="1" applyFont="1" applyFill="1"/>
    <xf numFmtId="0" fontId="9" fillId="15" borderId="0" xfId="0" applyFont="1" applyFill="1"/>
    <xf numFmtId="1" fontId="29" fillId="11" borderId="1" xfId="0" applyNumberFormat="1" applyFont="1" applyFill="1" applyBorder="1"/>
    <xf numFmtId="1" fontId="29" fillId="0" borderId="1" xfId="0" applyNumberFormat="1" applyFont="1" applyBorder="1"/>
    <xf numFmtId="0" fontId="0" fillId="0" borderId="0" xfId="0" applyAlignment="1">
      <alignment vertical="center" wrapText="1"/>
    </xf>
    <xf numFmtId="9" fontId="0" fillId="0" borderId="0" xfId="4" applyFont="1" applyBorder="1"/>
    <xf numFmtId="171" fontId="11" fillId="0" borderId="4" xfId="0" applyNumberFormat="1" applyFont="1" applyBorder="1" applyAlignment="1">
      <alignment horizontal="center"/>
    </xf>
    <xf numFmtId="0" fontId="0" fillId="11" borderId="6" xfId="0" applyFill="1" applyBorder="1"/>
    <xf numFmtId="0" fontId="11" fillId="6" borderId="24" xfId="0" applyFont="1" applyFill="1" applyBorder="1"/>
    <xf numFmtId="171" fontId="24" fillId="6" borderId="1" xfId="1" applyNumberFormat="1" applyFont="1" applyFill="1" applyBorder="1"/>
    <xf numFmtId="9" fontId="11" fillId="6" borderId="1" xfId="4" applyFont="1" applyFill="1" applyBorder="1"/>
    <xf numFmtId="171" fontId="24" fillId="6" borderId="23" xfId="1" applyNumberFormat="1" applyFont="1" applyFill="1" applyBorder="1"/>
    <xf numFmtId="0" fontId="9" fillId="6" borderId="24" xfId="0" applyFont="1" applyFill="1" applyBorder="1"/>
    <xf numFmtId="171" fontId="9" fillId="6" borderId="1" xfId="1" applyNumberFormat="1" applyFont="1" applyFill="1" applyBorder="1"/>
    <xf numFmtId="171" fontId="8" fillId="6" borderId="23" xfId="1" applyNumberFormat="1" applyFont="1" applyFill="1" applyBorder="1"/>
    <xf numFmtId="171" fontId="11" fillId="6" borderId="23" xfId="1" applyNumberFormat="1" applyFont="1" applyFill="1" applyBorder="1"/>
    <xf numFmtId="171" fontId="11" fillId="6" borderId="4" xfId="0" applyNumberFormat="1" applyFont="1" applyFill="1" applyBorder="1" applyAlignment="1">
      <alignment horizontal="center"/>
    </xf>
    <xf numFmtId="171" fontId="11" fillId="6" borderId="5" xfId="0" applyNumberFormat="1" applyFont="1" applyFill="1" applyBorder="1" applyAlignment="1">
      <alignment horizontal="center"/>
    </xf>
    <xf numFmtId="171" fontId="11" fillId="6" borderId="6" xfId="0" applyNumberFormat="1" applyFont="1" applyFill="1" applyBorder="1" applyAlignment="1">
      <alignment horizontal="center"/>
    </xf>
    <xf numFmtId="171" fontId="9" fillId="6" borderId="23" xfId="1" applyNumberFormat="1" applyFont="1" applyFill="1" applyBorder="1"/>
    <xf numFmtId="0" fontId="24" fillId="0" borderId="0" xfId="0" applyFont="1"/>
    <xf numFmtId="0" fontId="69" fillId="6" borderId="24" xfId="0" applyFont="1" applyFill="1" applyBorder="1"/>
    <xf numFmtId="171" fontId="69" fillId="6" borderId="1" xfId="1" applyNumberFormat="1" applyFont="1" applyFill="1" applyBorder="1"/>
    <xf numFmtId="171" fontId="70" fillId="6" borderId="23" xfId="1" applyNumberFormat="1" applyFont="1" applyFill="1" applyBorder="1"/>
    <xf numFmtId="0" fontId="43" fillId="24" borderId="41" xfId="0" applyFont="1" applyFill="1" applyBorder="1" applyAlignment="1">
      <alignment wrapText="1"/>
    </xf>
    <xf numFmtId="0" fontId="9" fillId="24" borderId="41" xfId="0" applyFont="1" applyFill="1" applyBorder="1" applyAlignment="1">
      <alignment wrapText="1"/>
    </xf>
    <xf numFmtId="0" fontId="0" fillId="24" borderId="41" xfId="0" applyFill="1" applyBorder="1" applyAlignment="1">
      <alignment wrapText="1"/>
    </xf>
    <xf numFmtId="0" fontId="45" fillId="24" borderId="40" xfId="0" applyFont="1" applyFill="1" applyBorder="1" applyAlignment="1">
      <alignment horizontal="left" wrapText="1"/>
    </xf>
    <xf numFmtId="0" fontId="47" fillId="24" borderId="0" xfId="0" applyFont="1" applyFill="1" applyAlignment="1">
      <alignment wrapText="1"/>
    </xf>
    <xf numFmtId="0" fontId="72" fillId="24" borderId="40" xfId="0" applyFont="1" applyFill="1" applyBorder="1" applyAlignment="1">
      <alignment horizontal="left" wrapText="1"/>
    </xf>
    <xf numFmtId="0" fontId="67" fillId="24" borderId="56" xfId="0" applyFont="1" applyFill="1" applyBorder="1" applyAlignment="1">
      <alignment wrapText="1"/>
    </xf>
    <xf numFmtId="0" fontId="9" fillId="24" borderId="54" xfId="0" applyFont="1" applyFill="1" applyBorder="1" applyAlignment="1">
      <alignment wrapText="1"/>
    </xf>
    <xf numFmtId="0" fontId="13" fillId="24" borderId="56" xfId="0" applyFont="1" applyFill="1" applyBorder="1" applyAlignment="1">
      <alignment wrapText="1"/>
    </xf>
    <xf numFmtId="0" fontId="9" fillId="24" borderId="56" xfId="0" applyFont="1" applyFill="1" applyBorder="1" applyAlignment="1">
      <alignment wrapText="1"/>
    </xf>
    <xf numFmtId="0" fontId="68" fillId="24" borderId="56" xfId="0" applyFont="1" applyFill="1" applyBorder="1" applyAlignment="1">
      <alignment wrapText="1"/>
    </xf>
    <xf numFmtId="0" fontId="9" fillId="14" borderId="54" xfId="0" applyFont="1" applyFill="1" applyBorder="1" applyAlignment="1">
      <alignment wrapText="1"/>
    </xf>
    <xf numFmtId="0" fontId="9" fillId="14" borderId="56" xfId="0" applyFont="1" applyFill="1" applyBorder="1" applyAlignment="1">
      <alignment wrapText="1"/>
    </xf>
    <xf numFmtId="0" fontId="9" fillId="23" borderId="54" xfId="0" applyFont="1" applyFill="1" applyBorder="1" applyAlignment="1">
      <alignment wrapText="1"/>
    </xf>
    <xf numFmtId="0" fontId="9" fillId="23" borderId="56" xfId="0" applyFont="1" applyFill="1" applyBorder="1" applyAlignment="1">
      <alignment wrapText="1"/>
    </xf>
    <xf numFmtId="0" fontId="9" fillId="24" borderId="24" xfId="0" applyFont="1" applyFill="1" applyBorder="1"/>
    <xf numFmtId="172" fontId="9" fillId="24" borderId="1" xfId="4" applyNumberFormat="1" applyFont="1" applyFill="1" applyBorder="1"/>
    <xf numFmtId="172" fontId="9" fillId="24" borderId="25" xfId="4" applyNumberFormat="1" applyFont="1" applyFill="1" applyBorder="1"/>
    <xf numFmtId="172" fontId="9" fillId="24" borderId="1" xfId="0" applyNumberFormat="1" applyFont="1" applyFill="1" applyBorder="1"/>
    <xf numFmtId="172" fontId="9" fillId="24" borderId="25" xfId="0" applyNumberFormat="1" applyFont="1" applyFill="1" applyBorder="1"/>
    <xf numFmtId="170" fontId="9" fillId="24" borderId="1" xfId="1" applyNumberFormat="1" applyFont="1" applyFill="1" applyBorder="1"/>
    <xf numFmtId="170" fontId="9" fillId="24" borderId="25" xfId="1" applyNumberFormat="1" applyFont="1" applyFill="1" applyBorder="1"/>
    <xf numFmtId="0" fontId="9" fillId="24" borderId="10" xfId="0" applyFont="1" applyFill="1" applyBorder="1"/>
    <xf numFmtId="171" fontId="9" fillId="24" borderId="11" xfId="1" applyNumberFormat="1" applyFont="1" applyFill="1" applyBorder="1"/>
    <xf numFmtId="171" fontId="9" fillId="24" borderId="12" xfId="1" applyNumberFormat="1" applyFont="1" applyFill="1" applyBorder="1"/>
    <xf numFmtId="172" fontId="9" fillId="0" borderId="1" xfId="4" applyNumberFormat="1" applyFont="1" applyFill="1" applyBorder="1"/>
    <xf numFmtId="172" fontId="9" fillId="0" borderId="25" xfId="4" applyNumberFormat="1" applyFont="1" applyFill="1" applyBorder="1"/>
    <xf numFmtId="9" fontId="9" fillId="24" borderId="24" xfId="4" applyFont="1" applyFill="1" applyBorder="1"/>
    <xf numFmtId="9" fontId="9" fillId="24" borderId="1" xfId="4" applyFont="1" applyFill="1" applyBorder="1"/>
    <xf numFmtId="9" fontId="9" fillId="24" borderId="25" xfId="4" applyFont="1" applyFill="1" applyBorder="1"/>
    <xf numFmtId="9" fontId="9" fillId="24" borderId="10" xfId="4" applyFont="1" applyFill="1" applyBorder="1"/>
    <xf numFmtId="9" fontId="9" fillId="24" borderId="11" xfId="4" applyFont="1" applyFill="1" applyBorder="1"/>
    <xf numFmtId="9" fontId="9" fillId="24" borderId="12" xfId="4" applyFont="1" applyFill="1" applyBorder="1"/>
    <xf numFmtId="9" fontId="9" fillId="0" borderId="24" xfId="4" applyFont="1" applyFill="1" applyBorder="1"/>
    <xf numFmtId="9" fontId="9" fillId="0" borderId="1" xfId="4" applyFont="1" applyFill="1" applyBorder="1"/>
    <xf numFmtId="9" fontId="9" fillId="0" borderId="25" xfId="4" applyFont="1" applyFill="1" applyBorder="1"/>
    <xf numFmtId="9" fontId="8" fillId="24" borderId="24" xfId="4" applyFont="1" applyFill="1" applyBorder="1"/>
    <xf numFmtId="9" fontId="8" fillId="24" borderId="1" xfId="0" applyNumberFormat="1" applyFont="1" applyFill="1" applyBorder="1"/>
    <xf numFmtId="9" fontId="8" fillId="24" borderId="25" xfId="0" applyNumberFormat="1" applyFont="1" applyFill="1" applyBorder="1"/>
    <xf numFmtId="9" fontId="8" fillId="0" borderId="24" xfId="4" applyFont="1" applyFill="1" applyBorder="1"/>
    <xf numFmtId="9" fontId="8" fillId="0" borderId="1" xfId="0" applyNumberFormat="1" applyFont="1" applyBorder="1"/>
    <xf numFmtId="9" fontId="8" fillId="0" borderId="25" xfId="0" applyNumberFormat="1" applyFont="1" applyBorder="1"/>
    <xf numFmtId="0" fontId="13" fillId="0" borderId="10" xfId="0" applyFont="1" applyBorder="1"/>
    <xf numFmtId="171" fontId="13" fillId="0" borderId="11" xfId="1" applyNumberFormat="1" applyFont="1" applyFill="1" applyBorder="1"/>
    <xf numFmtId="171" fontId="13" fillId="0" borderId="12" xfId="1" applyNumberFormat="1" applyFont="1" applyFill="1" applyBorder="1"/>
    <xf numFmtId="0" fontId="38" fillId="24" borderId="24" xfId="0" applyFont="1" applyFill="1" applyBorder="1"/>
    <xf numFmtId="171" fontId="38" fillId="24" borderId="1" xfId="1" applyNumberFormat="1" applyFont="1" applyFill="1" applyBorder="1" applyAlignment="1">
      <alignment horizontal="center"/>
    </xf>
    <xf numFmtId="171" fontId="38" fillId="24" borderId="25" xfId="1" applyNumberFormat="1" applyFont="1" applyFill="1" applyBorder="1" applyAlignment="1">
      <alignment horizontal="center"/>
    </xf>
    <xf numFmtId="0" fontId="37" fillId="24" borderId="24" xfId="0" applyFont="1" applyFill="1" applyBorder="1"/>
    <xf numFmtId="171" fontId="37" fillId="24" borderId="1" xfId="1" applyNumberFormat="1" applyFont="1" applyFill="1" applyBorder="1" applyAlignment="1">
      <alignment horizontal="center"/>
    </xf>
    <xf numFmtId="171" fontId="37" fillId="24" borderId="25" xfId="1" applyNumberFormat="1" applyFont="1" applyFill="1" applyBorder="1" applyAlignment="1">
      <alignment horizontal="center"/>
    </xf>
    <xf numFmtId="171" fontId="38" fillId="24" borderId="1" xfId="1" applyNumberFormat="1" applyFont="1" applyFill="1" applyBorder="1"/>
    <xf numFmtId="171" fontId="38" fillId="24" borderId="25" xfId="1" applyNumberFormat="1" applyFont="1" applyFill="1" applyBorder="1"/>
    <xf numFmtId="0" fontId="40" fillId="24" borderId="7" xfId="0" applyFont="1" applyFill="1" applyBorder="1"/>
    <xf numFmtId="171" fontId="40" fillId="24" borderId="8" xfId="1" applyNumberFormat="1" applyFont="1" applyFill="1" applyBorder="1"/>
    <xf numFmtId="171" fontId="40" fillId="24" borderId="9" xfId="1" applyNumberFormat="1" applyFont="1" applyFill="1" applyBorder="1"/>
    <xf numFmtId="0" fontId="40" fillId="24" borderId="24" xfId="0" applyFont="1" applyFill="1" applyBorder="1"/>
    <xf numFmtId="171" fontId="40" fillId="24" borderId="1" xfId="1" applyNumberFormat="1" applyFont="1" applyFill="1" applyBorder="1"/>
    <xf numFmtId="171" fontId="40" fillId="24" borderId="25" xfId="1" applyNumberFormat="1" applyFont="1" applyFill="1" applyBorder="1"/>
    <xf numFmtId="170" fontId="40" fillId="24" borderId="1" xfId="1" applyNumberFormat="1" applyFont="1" applyFill="1" applyBorder="1"/>
    <xf numFmtId="170" fontId="40" fillId="24" borderId="25" xfId="1" applyNumberFormat="1" applyFont="1" applyFill="1" applyBorder="1"/>
    <xf numFmtId="9" fontId="40" fillId="24" borderId="1" xfId="4" applyFont="1" applyFill="1" applyBorder="1"/>
    <xf numFmtId="9" fontId="40" fillId="24" borderId="25" xfId="4" applyFont="1" applyFill="1" applyBorder="1"/>
    <xf numFmtId="0" fontId="40" fillId="24" borderId="32" xfId="0" applyFont="1" applyFill="1" applyBorder="1"/>
    <xf numFmtId="9" fontId="38" fillId="24" borderId="35" xfId="4" applyFont="1" applyFill="1" applyBorder="1"/>
    <xf numFmtId="9" fontId="38" fillId="24" borderId="58" xfId="4" applyFont="1" applyFill="1" applyBorder="1"/>
    <xf numFmtId="0" fontId="8" fillId="24" borderId="1" xfId="0" applyFont="1" applyFill="1" applyBorder="1"/>
    <xf numFmtId="171" fontId="8" fillId="24" borderId="1" xfId="0" applyNumberFormat="1" applyFont="1" applyFill="1" applyBorder="1"/>
    <xf numFmtId="0" fontId="3" fillId="0" borderId="0" xfId="2" applyBorder="1" applyAlignment="1" applyProtection="1"/>
    <xf numFmtId="0" fontId="77" fillId="0" borderId="59" xfId="0" applyFont="1" applyBorder="1" applyAlignment="1">
      <alignment horizontal="left" wrapText="1"/>
    </xf>
    <xf numFmtId="0" fontId="78" fillId="0" borderId="59" xfId="0" applyFont="1" applyBorder="1" applyAlignment="1">
      <alignment horizontal="left" wrapText="1"/>
    </xf>
    <xf numFmtId="0" fontId="78" fillId="25" borderId="59" xfId="0" applyFont="1" applyFill="1" applyBorder="1" applyAlignment="1">
      <alignment horizontal="left" wrapText="1"/>
    </xf>
    <xf numFmtId="0" fontId="81" fillId="0" borderId="63" xfId="0" applyFont="1" applyBorder="1" applyAlignment="1">
      <alignment horizontal="left" wrapText="1"/>
    </xf>
    <xf numFmtId="0" fontId="81" fillId="0" borderId="59" xfId="0" applyFont="1" applyBorder="1" applyAlignment="1">
      <alignment horizontal="left" wrapText="1"/>
    </xf>
    <xf numFmtId="0" fontId="82" fillId="25" borderId="59" xfId="0" applyFont="1" applyFill="1" applyBorder="1" applyAlignment="1">
      <alignment horizontal="left" wrapText="1"/>
    </xf>
    <xf numFmtId="0" fontId="78" fillId="26" borderId="64" xfId="0" applyFont="1" applyFill="1" applyBorder="1" applyAlignment="1">
      <alignment horizontal="left" wrapText="1"/>
    </xf>
    <xf numFmtId="0" fontId="78" fillId="26" borderId="63" xfId="0" applyFont="1" applyFill="1" applyBorder="1" applyAlignment="1">
      <alignment horizontal="left" wrapText="1"/>
    </xf>
    <xf numFmtId="0" fontId="79" fillId="0" borderId="63" xfId="0" applyFont="1" applyBorder="1" applyAlignment="1">
      <alignment horizontal="left" wrapText="1"/>
    </xf>
    <xf numFmtId="0" fontId="79" fillId="0" borderId="59" xfId="0" applyFont="1" applyBorder="1" applyAlignment="1">
      <alignment horizontal="left" wrapText="1"/>
    </xf>
    <xf numFmtId="0" fontId="82" fillId="0" borderId="59" xfId="0" applyFont="1" applyBorder="1" applyAlignment="1">
      <alignment horizontal="left" wrapText="1"/>
    </xf>
    <xf numFmtId="0" fontId="0" fillId="11" borderId="0" xfId="0" applyFill="1"/>
    <xf numFmtId="1" fontId="0" fillId="0" borderId="0" xfId="0" applyNumberFormat="1"/>
    <xf numFmtId="0" fontId="85" fillId="0" borderId="0" xfId="0" applyFont="1"/>
    <xf numFmtId="0" fontId="86" fillId="0" borderId="65" xfId="0" applyFont="1" applyBorder="1" applyAlignment="1">
      <alignment horizontal="left" wrapText="1"/>
    </xf>
    <xf numFmtId="0" fontId="86" fillId="0" borderId="66" xfId="0" applyFont="1" applyBorder="1" applyAlignment="1">
      <alignment horizontal="left" wrapText="1"/>
    </xf>
    <xf numFmtId="0" fontId="87" fillId="0" borderId="66" xfId="0" applyFont="1" applyBorder="1"/>
    <xf numFmtId="0" fontId="86" fillId="0" borderId="67" xfId="0" applyFont="1" applyBorder="1" applyAlignment="1">
      <alignment horizontal="left" wrapText="1"/>
    </xf>
    <xf numFmtId="0" fontId="87" fillId="0" borderId="68" xfId="0" applyFont="1" applyBorder="1"/>
    <xf numFmtId="0" fontId="83" fillId="0" borderId="69" xfId="0" applyFont="1" applyBorder="1" applyAlignment="1">
      <alignment horizontal="left" wrapText="1"/>
    </xf>
    <xf numFmtId="0" fontId="83" fillId="0" borderId="70" xfId="0" applyFont="1" applyBorder="1" applyAlignment="1">
      <alignment horizontal="left" wrapText="1"/>
    </xf>
    <xf numFmtId="0" fontId="83" fillId="0" borderId="71" xfId="0" applyFont="1" applyBorder="1" applyAlignment="1">
      <alignment horizontal="left" wrapText="1"/>
    </xf>
    <xf numFmtId="9" fontId="83" fillId="0" borderId="72" xfId="0" applyNumberFormat="1" applyFont="1" applyBorder="1" applyAlignment="1">
      <alignment horizontal="left" wrapText="1"/>
    </xf>
    <xf numFmtId="1" fontId="83" fillId="0" borderId="72" xfId="0" applyNumberFormat="1" applyFont="1" applyBorder="1" applyAlignment="1">
      <alignment horizontal="left" wrapText="1"/>
    </xf>
    <xf numFmtId="0" fontId="83" fillId="0" borderId="72" xfId="0" applyFont="1" applyBorder="1" applyAlignment="1">
      <alignment horizontal="left" wrapText="1"/>
    </xf>
    <xf numFmtId="0" fontId="84" fillId="0" borderId="72" xfId="0" applyFont="1" applyBorder="1"/>
    <xf numFmtId="9" fontId="84" fillId="0" borderId="72" xfId="0" applyNumberFormat="1" applyFont="1" applyBorder="1"/>
    <xf numFmtId="175" fontId="84" fillId="0" borderId="72" xfId="0" applyNumberFormat="1" applyFont="1" applyBorder="1"/>
    <xf numFmtId="0" fontId="83" fillId="0" borderId="73" xfId="0" applyFont="1" applyBorder="1" applyAlignment="1">
      <alignment horizontal="left" wrapText="1"/>
    </xf>
    <xf numFmtId="1" fontId="83" fillId="0" borderId="74" xfId="0" applyNumberFormat="1" applyFont="1" applyBorder="1" applyAlignment="1">
      <alignment horizontal="left" wrapText="1"/>
    </xf>
    <xf numFmtId="0" fontId="0" fillId="20" borderId="0" xfId="0" applyFill="1"/>
    <xf numFmtId="0" fontId="49" fillId="11" borderId="0" xfId="0" applyFont="1" applyFill="1"/>
    <xf numFmtId="16" fontId="0" fillId="0" borderId="0" xfId="0" applyNumberFormat="1"/>
    <xf numFmtId="0" fontId="0" fillId="3" borderId="0" xfId="0" applyFill="1"/>
    <xf numFmtId="171" fontId="0" fillId="0" borderId="0" xfId="0" applyNumberFormat="1"/>
    <xf numFmtId="0" fontId="88" fillId="0" borderId="0" xfId="0" applyFont="1"/>
    <xf numFmtId="0" fontId="0" fillId="15" borderId="0" xfId="0" applyFill="1"/>
    <xf numFmtId="175" fontId="0" fillId="0" borderId="0" xfId="4" applyNumberFormat="1" applyFont="1"/>
    <xf numFmtId="0" fontId="1" fillId="0" borderId="0" xfId="0" applyFont="1" applyAlignment="1">
      <alignment horizontal="right"/>
    </xf>
    <xf numFmtId="0" fontId="1" fillId="12" borderId="0" xfId="0" applyFont="1" applyFill="1" applyAlignment="1">
      <alignment horizontal="center"/>
    </xf>
    <xf numFmtId="9" fontId="61" fillId="0" borderId="0" xfId="4" applyFont="1" applyBorder="1"/>
    <xf numFmtId="9" fontId="1" fillId="0" borderId="4" xfId="4" applyFont="1" applyBorder="1"/>
    <xf numFmtId="166" fontId="66" fillId="21" borderId="0" xfId="0" applyNumberFormat="1" applyFont="1" applyFill="1"/>
    <xf numFmtId="1" fontId="1" fillId="0" borderId="0" xfId="0" applyNumberFormat="1" applyFont="1"/>
    <xf numFmtId="0" fontId="1" fillId="0" borderId="13" xfId="0" applyFont="1" applyBorder="1" applyAlignment="1">
      <alignment horizontal="center"/>
    </xf>
    <xf numFmtId="0" fontId="1" fillId="0" borderId="0" xfId="0" applyFont="1" applyAlignment="1">
      <alignment horizontal="center"/>
    </xf>
    <xf numFmtId="175" fontId="0" fillId="0" borderId="0" xfId="0" applyNumberFormat="1"/>
    <xf numFmtId="0" fontId="83" fillId="0" borderId="70" xfId="0" applyFont="1" applyBorder="1" applyAlignment="1">
      <alignment horizontal="right" wrapText="1"/>
    </xf>
    <xf numFmtId="9" fontId="83" fillId="0" borderId="72" xfId="0" applyNumberFormat="1" applyFont="1" applyBorder="1" applyAlignment="1">
      <alignment horizontal="right" wrapText="1"/>
    </xf>
    <xf numFmtId="1" fontId="83" fillId="0" borderId="72" xfId="0" applyNumberFormat="1" applyFont="1" applyBorder="1" applyAlignment="1">
      <alignment horizontal="right" wrapText="1"/>
    </xf>
    <xf numFmtId="0" fontId="83" fillId="0" borderId="75" xfId="0" applyFont="1" applyBorder="1" applyAlignment="1">
      <alignment horizontal="left" wrapText="1"/>
    </xf>
    <xf numFmtId="0" fontId="83" fillId="0" borderId="76" xfId="0" applyFont="1" applyBorder="1" applyAlignment="1">
      <alignment horizontal="right" wrapText="1"/>
    </xf>
    <xf numFmtId="0" fontId="83" fillId="0" borderId="77" xfId="0" applyFont="1" applyBorder="1" applyAlignment="1">
      <alignment horizontal="left" wrapText="1"/>
    </xf>
    <xf numFmtId="0" fontId="83" fillId="0" borderId="78" xfId="0" applyFont="1" applyBorder="1" applyAlignment="1">
      <alignment horizontal="left" wrapText="1"/>
    </xf>
    <xf numFmtId="1" fontId="83" fillId="0" borderId="79" xfId="0" applyNumberFormat="1" applyFont="1" applyBorder="1" applyAlignment="1">
      <alignment horizontal="right" wrapText="1"/>
    </xf>
    <xf numFmtId="0" fontId="83" fillId="0" borderId="80" xfId="0" applyFont="1" applyBorder="1" applyAlignment="1">
      <alignment horizontal="left" wrapText="1"/>
    </xf>
    <xf numFmtId="0" fontId="83" fillId="0" borderId="0" xfId="0" applyFont="1" applyAlignment="1">
      <alignment horizontal="left" wrapText="1"/>
    </xf>
    <xf numFmtId="0" fontId="83" fillId="0" borderId="81" xfId="0" applyFont="1" applyBorder="1" applyAlignment="1">
      <alignment horizontal="left" wrapText="1"/>
    </xf>
    <xf numFmtId="9" fontId="90" fillId="0" borderId="82" xfId="0" applyNumberFormat="1" applyFont="1" applyBorder="1" applyAlignment="1">
      <alignment horizontal="right"/>
    </xf>
    <xf numFmtId="0" fontId="83" fillId="0" borderId="83" xfId="0" applyFont="1" applyBorder="1" applyAlignment="1">
      <alignment horizontal="left" wrapText="1"/>
    </xf>
    <xf numFmtId="9" fontId="90" fillId="0" borderId="84" xfId="0" applyNumberFormat="1" applyFont="1" applyBorder="1" applyAlignment="1">
      <alignment horizontal="right"/>
    </xf>
    <xf numFmtId="0" fontId="83" fillId="0" borderId="85" xfId="0" applyFont="1" applyBorder="1" applyAlignment="1">
      <alignment horizontal="left" wrapText="1"/>
    </xf>
    <xf numFmtId="9" fontId="84" fillId="0" borderId="72" xfId="0" applyNumberFormat="1" applyFont="1" applyBorder="1" applyAlignment="1">
      <alignment horizontal="right"/>
    </xf>
    <xf numFmtId="0" fontId="86" fillId="0" borderId="66" xfId="0" applyFont="1" applyBorder="1" applyAlignment="1">
      <alignment horizontal="right" wrapText="1"/>
    </xf>
    <xf numFmtId="0" fontId="87" fillId="0" borderId="66" xfId="0" applyFont="1" applyBorder="1" applyAlignment="1">
      <alignment horizontal="right"/>
    </xf>
    <xf numFmtId="0" fontId="87" fillId="0" borderId="68" xfId="0" applyFont="1" applyBorder="1" applyAlignment="1">
      <alignment horizontal="right"/>
    </xf>
    <xf numFmtId="0" fontId="83" fillId="0" borderId="65" xfId="0" applyFont="1" applyBorder="1" applyAlignment="1">
      <alignment horizontal="left" wrapText="1"/>
    </xf>
    <xf numFmtId="0" fontId="85" fillId="0" borderId="0" xfId="0" applyFont="1" applyAlignment="1">
      <alignment horizontal="right"/>
    </xf>
    <xf numFmtId="0" fontId="91" fillId="0" borderId="0" xfId="0" applyFont="1"/>
    <xf numFmtId="0" fontId="0" fillId="0" borderId="0" xfId="0"/>
    <xf numFmtId="178" fontId="91" fillId="28" borderId="0" xfId="0" applyNumberFormat="1" applyFont="1" applyFill="1" applyAlignment="1">
      <alignment horizontal="center"/>
    </xf>
    <xf numFmtId="0" fontId="93" fillId="0" borderId="0" xfId="0" applyFont="1"/>
    <xf numFmtId="0" fontId="94" fillId="29" borderId="86" xfId="0" applyFont="1" applyFill="1" applyBorder="1"/>
    <xf numFmtId="178" fontId="94" fillId="29" borderId="0" xfId="0" applyNumberFormat="1" applyFont="1" applyFill="1" applyAlignment="1">
      <alignment horizontal="center" wrapText="1"/>
    </xf>
    <xf numFmtId="0" fontId="94" fillId="29" borderId="87" xfId="0" applyFont="1" applyFill="1" applyBorder="1" applyAlignment="1">
      <alignment horizontal="center" wrapText="1"/>
    </xf>
    <xf numFmtId="0" fontId="94" fillId="29" borderId="53" xfId="0" applyFont="1" applyFill="1" applyBorder="1" applyAlignment="1">
      <alignment horizontal="center" wrapText="1"/>
    </xf>
    <xf numFmtId="38" fontId="91" fillId="0" borderId="0" xfId="0" applyNumberFormat="1" applyFont="1" applyAlignment="1">
      <alignment horizontal="center"/>
    </xf>
    <xf numFmtId="0" fontId="93" fillId="0" borderId="88" xfId="0" applyFont="1" applyBorder="1"/>
    <xf numFmtId="171" fontId="93" fillId="0" borderId="89" xfId="0" applyNumberFormat="1" applyFont="1" applyBorder="1"/>
    <xf numFmtId="172" fontId="93" fillId="0" borderId="89" xfId="0" applyNumberFormat="1" applyFont="1" applyBorder="1"/>
    <xf numFmtId="172" fontId="93" fillId="0" borderId="90" xfId="0" applyNumberFormat="1" applyFont="1" applyBorder="1"/>
    <xf numFmtId="171" fontId="91" fillId="0" borderId="91" xfId="0" applyNumberFormat="1" applyFont="1" applyBorder="1" applyAlignment="1">
      <alignment horizontal="center"/>
    </xf>
    <xf numFmtId="38" fontId="91" fillId="0" borderId="0" xfId="0" applyNumberFormat="1" applyFont="1"/>
    <xf numFmtId="9" fontId="93" fillId="0" borderId="0" xfId="0" applyNumberFormat="1" applyFont="1"/>
    <xf numFmtId="171" fontId="91" fillId="0" borderId="90" xfId="0" applyNumberFormat="1" applyFont="1" applyBorder="1" applyAlignment="1">
      <alignment horizontal="left"/>
    </xf>
    <xf numFmtId="38" fontId="93" fillId="0" borderId="0" xfId="0" applyNumberFormat="1" applyFont="1"/>
    <xf numFmtId="0" fontId="95" fillId="0" borderId="92" xfId="0" applyFont="1" applyBorder="1"/>
    <xf numFmtId="172" fontId="95" fillId="0" borderId="0" xfId="0" applyNumberFormat="1" applyFont="1"/>
    <xf numFmtId="10" fontId="95" fillId="0" borderId="0" xfId="0" applyNumberFormat="1" applyFont="1"/>
    <xf numFmtId="171" fontId="95" fillId="0" borderId="93" xfId="0" applyNumberFormat="1" applyFont="1" applyBorder="1" applyAlignment="1">
      <alignment horizontal="left"/>
    </xf>
    <xf numFmtId="0" fontId="93" fillId="0" borderId="92" xfId="0" applyFont="1" applyBorder="1"/>
    <xf numFmtId="171" fontId="91" fillId="0" borderId="93" xfId="0" applyNumberFormat="1" applyFont="1" applyBorder="1" applyAlignment="1">
      <alignment horizontal="left"/>
    </xf>
    <xf numFmtId="0" fontId="94" fillId="0" borderId="88" xfId="0" applyFont="1" applyBorder="1"/>
    <xf numFmtId="9" fontId="94" fillId="0" borderId="89" xfId="0" applyNumberFormat="1" applyFont="1" applyBorder="1"/>
    <xf numFmtId="0" fontId="91" fillId="0" borderId="0" xfId="0" applyFont="1" applyAlignment="1">
      <alignment horizontal="right"/>
    </xf>
    <xf numFmtId="9" fontId="91" fillId="0" borderId="0" xfId="0" applyNumberFormat="1" applyFont="1" applyAlignment="1">
      <alignment horizontal="left"/>
    </xf>
    <xf numFmtId="171" fontId="93" fillId="0" borderId="0" xfId="0" applyNumberFormat="1" applyFont="1"/>
    <xf numFmtId="0" fontId="91" fillId="0" borderId="92" xfId="0" applyFont="1" applyBorder="1"/>
    <xf numFmtId="171" fontId="93" fillId="0" borderId="93" xfId="0" applyNumberFormat="1" applyFont="1" applyBorder="1" applyAlignment="1">
      <alignment horizontal="left"/>
    </xf>
    <xf numFmtId="179" fontId="93" fillId="0" borderId="0" xfId="0" applyNumberFormat="1" applyFont="1"/>
    <xf numFmtId="170" fontId="91" fillId="0" borderId="0" xfId="0" applyNumberFormat="1" applyFont="1"/>
    <xf numFmtId="38" fontId="91" fillId="0" borderId="93" xfId="0" applyNumberFormat="1" applyFont="1" applyBorder="1" applyAlignment="1">
      <alignment horizontal="left"/>
    </xf>
    <xf numFmtId="170" fontId="93" fillId="0" borderId="0" xfId="0" applyNumberFormat="1" applyFont="1"/>
    <xf numFmtId="0" fontId="94" fillId="0" borderId="96" xfId="0" applyFont="1" applyBorder="1"/>
    <xf numFmtId="9" fontId="94" fillId="0" borderId="97" xfId="0" applyNumberFormat="1" applyFont="1" applyBorder="1"/>
    <xf numFmtId="10" fontId="91" fillId="0" borderId="98" xfId="0" applyNumberFormat="1" applyFont="1" applyBorder="1" applyAlignment="1">
      <alignment horizontal="right"/>
    </xf>
    <xf numFmtId="0" fontId="91" fillId="0" borderId="0" xfId="0" applyFont="1" applyAlignment="1">
      <alignment horizontal="center"/>
    </xf>
    <xf numFmtId="38" fontId="93" fillId="0" borderId="89" xfId="0" applyNumberFormat="1" applyFont="1" applyBorder="1"/>
    <xf numFmtId="0" fontId="91" fillId="30" borderId="99" xfId="0" applyFont="1" applyFill="1" applyBorder="1" applyAlignment="1">
      <alignment horizontal="center"/>
    </xf>
    <xf numFmtId="38" fontId="91" fillId="30" borderId="100" xfId="0" applyNumberFormat="1" applyFont="1" applyFill="1" applyBorder="1"/>
    <xf numFmtId="172" fontId="93" fillId="0" borderId="0" xfId="0" applyNumberFormat="1" applyFont="1"/>
    <xf numFmtId="0" fontId="94" fillId="0" borderId="92" xfId="0" applyFont="1" applyBorder="1"/>
    <xf numFmtId="171" fontId="94" fillId="0" borderId="0" xfId="0" applyNumberFormat="1" applyFont="1"/>
    <xf numFmtId="38" fontId="94" fillId="0" borderId="0" xfId="0" applyNumberFormat="1" applyFont="1"/>
    <xf numFmtId="0" fontId="94" fillId="30" borderId="101" xfId="0" applyFont="1" applyFill="1" applyBorder="1" applyAlignment="1">
      <alignment horizontal="center"/>
    </xf>
    <xf numFmtId="38" fontId="94" fillId="30" borderId="102" xfId="0" applyNumberFormat="1" applyFont="1" applyFill="1" applyBorder="1"/>
    <xf numFmtId="9" fontId="91" fillId="0" borderId="0" xfId="0" applyNumberFormat="1" applyFont="1"/>
    <xf numFmtId="0" fontId="94" fillId="0" borderId="103" xfId="0" applyFont="1" applyBorder="1"/>
    <xf numFmtId="171" fontId="94" fillId="0" borderId="89" xfId="0" applyNumberFormat="1" applyFont="1" applyBorder="1"/>
    <xf numFmtId="38" fontId="94" fillId="0" borderId="89" xfId="0" applyNumberFormat="1" applyFont="1" applyBorder="1"/>
    <xf numFmtId="9" fontId="94" fillId="30" borderId="104" xfId="0" applyNumberFormat="1" applyFont="1" applyFill="1" applyBorder="1" applyAlignment="1">
      <alignment horizontal="center"/>
    </xf>
    <xf numFmtId="38" fontId="94" fillId="30" borderId="105" xfId="0" applyNumberFormat="1" applyFont="1" applyFill="1" applyBorder="1"/>
    <xf numFmtId="40" fontId="91" fillId="0" borderId="0" xfId="0" applyNumberFormat="1" applyFont="1"/>
    <xf numFmtId="0" fontId="91" fillId="0" borderId="88" xfId="0" applyFont="1" applyBorder="1"/>
    <xf numFmtId="0" fontId="91" fillId="0" borderId="95" xfId="0" applyFont="1" applyBorder="1" applyAlignment="1">
      <alignment horizontal="center"/>
    </xf>
    <xf numFmtId="38" fontId="91" fillId="0" borderId="95" xfId="0" applyNumberFormat="1" applyFont="1" applyBorder="1"/>
    <xf numFmtId="180" fontId="93" fillId="0" borderId="0" xfId="0" applyNumberFormat="1" applyFont="1"/>
    <xf numFmtId="9" fontId="91" fillId="0" borderId="107" xfId="0" applyNumberFormat="1" applyFont="1" applyBorder="1" applyAlignment="1">
      <alignment horizontal="center"/>
    </xf>
    <xf numFmtId="171" fontId="91" fillId="0" borderId="107" xfId="0" applyNumberFormat="1" applyFont="1" applyBorder="1"/>
    <xf numFmtId="179" fontId="91" fillId="0" borderId="0" xfId="0" applyNumberFormat="1" applyFont="1"/>
    <xf numFmtId="171" fontId="91" fillId="31" borderId="107" xfId="0" applyNumberFormat="1" applyFont="1" applyFill="1" applyBorder="1"/>
    <xf numFmtId="38" fontId="91" fillId="0" borderId="107" xfId="0" applyNumberFormat="1" applyFont="1" applyBorder="1"/>
    <xf numFmtId="0" fontId="93" fillId="0" borderId="109" xfId="0" applyFont="1" applyBorder="1"/>
    <xf numFmtId="171" fontId="93" fillId="0" borderId="110" xfId="0" applyNumberFormat="1" applyFont="1" applyBorder="1"/>
    <xf numFmtId="0" fontId="91" fillId="0" borderId="107" xfId="0" applyFont="1" applyBorder="1" applyAlignment="1">
      <alignment horizontal="center"/>
    </xf>
    <xf numFmtId="9" fontId="91" fillId="0" borderId="107" xfId="0" applyNumberFormat="1" applyFont="1" applyBorder="1"/>
    <xf numFmtId="0" fontId="93" fillId="0" borderId="0" xfId="0" applyFont="1" applyAlignment="1">
      <alignment wrapText="1"/>
    </xf>
    <xf numFmtId="0" fontId="98" fillId="0" borderId="0" xfId="0" applyFont="1" applyAlignment="1">
      <alignment horizontal="center" wrapText="1"/>
    </xf>
    <xf numFmtId="9" fontId="93" fillId="0" borderId="89" xfId="0" applyNumberFormat="1" applyFont="1" applyBorder="1"/>
    <xf numFmtId="9" fontId="93" fillId="0" borderId="110" xfId="0" applyNumberFormat="1" applyFont="1" applyBorder="1"/>
    <xf numFmtId="0" fontId="93" fillId="0" borderId="86" xfId="0" applyFont="1" applyBorder="1"/>
    <xf numFmtId="171" fontId="93" fillId="0" borderId="87" xfId="0" applyNumberFormat="1" applyFont="1" applyBorder="1"/>
    <xf numFmtId="43" fontId="93" fillId="0" borderId="87" xfId="0" applyNumberFormat="1" applyFont="1" applyBorder="1"/>
    <xf numFmtId="0" fontId="93" fillId="0" borderId="111" xfId="0" applyFont="1" applyBorder="1"/>
    <xf numFmtId="0" fontId="93" fillId="0" borderId="112" xfId="0" applyFont="1" applyBorder="1"/>
    <xf numFmtId="171" fontId="93" fillId="0" borderId="113" xfId="0" applyNumberFormat="1" applyFont="1" applyBorder="1"/>
    <xf numFmtId="38" fontId="93" fillId="0" borderId="110" xfId="0" applyNumberFormat="1" applyFont="1" applyBorder="1"/>
    <xf numFmtId="0" fontId="93" fillId="0" borderId="90" xfId="0" applyFont="1" applyBorder="1"/>
    <xf numFmtId="0" fontId="93" fillId="0" borderId="93" xfId="0" applyFont="1" applyBorder="1"/>
    <xf numFmtId="38" fontId="91" fillId="0" borderId="93" xfId="0" applyNumberFormat="1" applyFont="1" applyBorder="1"/>
    <xf numFmtId="0" fontId="91" fillId="0" borderId="93" xfId="0" applyFont="1" applyBorder="1"/>
    <xf numFmtId="171" fontId="91" fillId="0" borderId="0" xfId="0" applyNumberFormat="1" applyFont="1"/>
    <xf numFmtId="171" fontId="91" fillId="0" borderId="93" xfId="0" applyNumberFormat="1" applyFont="1" applyBorder="1"/>
    <xf numFmtId="38" fontId="93" fillId="0" borderId="106" xfId="0" applyNumberFormat="1" applyFont="1" applyBorder="1"/>
    <xf numFmtId="178" fontId="94" fillId="29" borderId="87" xfId="0" applyNumberFormat="1" applyFont="1" applyFill="1" applyBorder="1" applyAlignment="1">
      <alignment horizontal="center" wrapText="1"/>
    </xf>
    <xf numFmtId="178" fontId="94" fillId="29" borderId="91" xfId="0" applyNumberFormat="1" applyFont="1" applyFill="1" applyBorder="1" applyAlignment="1">
      <alignment horizontal="center" wrapText="1"/>
    </xf>
    <xf numFmtId="0" fontId="91" fillId="0" borderId="111" xfId="0" applyFont="1" applyBorder="1"/>
    <xf numFmtId="171" fontId="91" fillId="0" borderId="114" xfId="0" applyNumberFormat="1" applyFont="1" applyBorder="1"/>
    <xf numFmtId="38" fontId="91" fillId="0" borderId="114" xfId="0" applyNumberFormat="1" applyFont="1" applyBorder="1"/>
    <xf numFmtId="2" fontId="91" fillId="0" borderId="0" xfId="0" applyNumberFormat="1" applyFont="1"/>
    <xf numFmtId="38" fontId="93" fillId="0" borderId="113" xfId="0" applyNumberFormat="1" applyFont="1" applyBorder="1"/>
    <xf numFmtId="38" fontId="93" fillId="0" borderId="115" xfId="0" applyNumberFormat="1" applyFont="1" applyBorder="1"/>
    <xf numFmtId="0" fontId="9" fillId="23" borderId="57" xfId="0" applyFont="1" applyFill="1" applyBorder="1" applyAlignment="1">
      <alignment vertical="center" wrapText="1"/>
    </xf>
    <xf numFmtId="0" fontId="9" fillId="23" borderId="55" xfId="0" applyFont="1" applyFill="1" applyBorder="1" applyAlignment="1">
      <alignment vertical="center" wrapText="1"/>
    </xf>
    <xf numFmtId="0" fontId="74" fillId="14" borderId="51" xfId="0" applyFont="1" applyFill="1" applyBorder="1" applyAlignment="1">
      <alignment horizontal="center" wrapText="1"/>
    </xf>
    <xf numFmtId="0" fontId="74" fillId="14" borderId="52" xfId="0" applyFont="1" applyFill="1" applyBorder="1" applyAlignment="1">
      <alignment horizontal="center" wrapText="1"/>
    </xf>
    <xf numFmtId="0" fontId="74" fillId="14" borderId="53" xfId="0" applyFont="1" applyFill="1" applyBorder="1" applyAlignment="1">
      <alignment horizontal="center" wrapText="1"/>
    </xf>
    <xf numFmtId="0" fontId="9" fillId="14" borderId="57" xfId="0" applyFont="1" applyFill="1" applyBorder="1" applyAlignment="1">
      <alignment vertical="center" wrapText="1"/>
    </xf>
    <xf numFmtId="0" fontId="9" fillId="14" borderId="55" xfId="0" applyFont="1" applyFill="1" applyBorder="1" applyAlignment="1">
      <alignment vertical="center" wrapText="1"/>
    </xf>
    <xf numFmtId="0" fontId="75" fillId="23" borderId="51" xfId="0" applyFont="1" applyFill="1" applyBorder="1" applyAlignment="1">
      <alignment horizontal="center" wrapText="1"/>
    </xf>
    <xf numFmtId="0" fontId="75" fillId="23" borderId="52" xfId="0" applyFont="1" applyFill="1" applyBorder="1" applyAlignment="1">
      <alignment horizontal="center" wrapText="1"/>
    </xf>
    <xf numFmtId="0" fontId="75" fillId="23" borderId="53" xfId="0" applyFont="1" applyFill="1" applyBorder="1" applyAlignment="1">
      <alignment horizontal="center" wrapText="1"/>
    </xf>
    <xf numFmtId="0" fontId="74" fillId="24" borderId="51" xfId="0" applyFont="1" applyFill="1" applyBorder="1" applyAlignment="1">
      <alignment horizontal="center" wrapText="1"/>
    </xf>
    <xf numFmtId="0" fontId="74" fillId="24" borderId="52" xfId="0" applyFont="1" applyFill="1" applyBorder="1" applyAlignment="1">
      <alignment horizontal="center" wrapText="1"/>
    </xf>
    <xf numFmtId="0" fontId="74" fillId="24" borderId="53" xfId="0" applyFont="1" applyFill="1" applyBorder="1" applyAlignment="1">
      <alignment horizontal="center" wrapText="1"/>
    </xf>
    <xf numFmtId="0" fontId="9" fillId="24" borderId="57" xfId="0" applyFont="1" applyFill="1" applyBorder="1" applyAlignment="1">
      <alignment vertical="center" wrapText="1"/>
    </xf>
    <xf numFmtId="0" fontId="9" fillId="24" borderId="55" xfId="0" applyFont="1" applyFill="1" applyBorder="1" applyAlignment="1">
      <alignment vertical="center" wrapText="1"/>
    </xf>
    <xf numFmtId="0" fontId="67" fillId="24" borderId="57" xfId="0" applyFont="1" applyFill="1" applyBorder="1" applyAlignment="1">
      <alignment vertical="center" wrapText="1"/>
    </xf>
    <xf numFmtId="0" fontId="67" fillId="24" borderId="55" xfId="0" applyFont="1" applyFill="1" applyBorder="1" applyAlignment="1">
      <alignment vertical="center" wrapText="1"/>
    </xf>
    <xf numFmtId="0" fontId="25" fillId="0" borderId="0" xfId="0" applyFont="1" applyAlignment="1">
      <alignment horizontal="left" wrapText="1"/>
    </xf>
    <xf numFmtId="0" fontId="25" fillId="0" borderId="0" xfId="0" applyFont="1" applyAlignment="1">
      <alignment horizontal="left" vertical="center" wrapText="1"/>
    </xf>
    <xf numFmtId="0" fontId="7" fillId="9" borderId="37" xfId="0" applyFont="1" applyFill="1" applyBorder="1" applyAlignment="1">
      <alignment horizontal="center"/>
    </xf>
    <xf numFmtId="0" fontId="7" fillId="9" borderId="38" xfId="0" applyFont="1" applyFill="1" applyBorder="1" applyAlignment="1">
      <alignment horizontal="center"/>
    </xf>
    <xf numFmtId="0" fontId="11" fillId="0" borderId="39" xfId="0" applyFont="1" applyBorder="1" applyAlignment="1">
      <alignment horizontal="center"/>
    </xf>
    <xf numFmtId="0" fontId="79" fillId="0" borderId="60" xfId="0" applyFont="1" applyBorder="1" applyAlignment="1">
      <alignment horizontal="left" wrapText="1"/>
    </xf>
    <xf numFmtId="0" fontId="80" fillId="0" borderId="61" xfId="0" applyFont="1" applyBorder="1"/>
    <xf numFmtId="0" fontId="80" fillId="0" borderId="62" xfId="0" applyFont="1" applyBorder="1"/>
    <xf numFmtId="0" fontId="73" fillId="24" borderId="0" xfId="0" applyFont="1" applyFill="1" applyAlignment="1">
      <alignment horizontal="center"/>
    </xf>
    <xf numFmtId="0" fontId="88" fillId="11" borderId="0" xfId="0" applyFont="1" applyFill="1" applyAlignment="1">
      <alignment horizontal="left" vertical="top" wrapText="1"/>
    </xf>
    <xf numFmtId="0" fontId="88" fillId="11" borderId="0" xfId="0" applyFont="1" applyFill="1" applyAlignment="1">
      <alignment horizontal="center" vertical="center" wrapText="1"/>
    </xf>
    <xf numFmtId="0" fontId="1" fillId="12" borderId="0" xfId="0" applyFont="1" applyFill="1" applyAlignment="1">
      <alignment horizontal="center"/>
    </xf>
    <xf numFmtId="38" fontId="96" fillId="0" borderId="94" xfId="0" applyNumberFormat="1" applyFont="1" applyBorder="1" applyAlignment="1">
      <alignment horizontal="center"/>
    </xf>
    <xf numFmtId="0" fontId="97" fillId="0" borderId="95" xfId="0" applyFont="1" applyBorder="1"/>
    <xf numFmtId="0" fontId="99" fillId="0" borderId="94" xfId="0" applyFont="1" applyBorder="1" applyAlignment="1">
      <alignment horizontal="center"/>
    </xf>
    <xf numFmtId="43" fontId="92" fillId="27" borderId="0" xfId="0" applyNumberFormat="1" applyFont="1" applyFill="1" applyAlignment="1">
      <alignment horizontal="center"/>
    </xf>
    <xf numFmtId="0" fontId="0" fillId="0" borderId="0" xfId="0"/>
    <xf numFmtId="38" fontId="96" fillId="0" borderId="90" xfId="0" applyNumberFormat="1" applyFont="1" applyBorder="1" applyAlignment="1">
      <alignment horizontal="center"/>
    </xf>
    <xf numFmtId="0" fontId="97" fillId="0" borderId="93" xfId="0" applyFont="1" applyBorder="1"/>
    <xf numFmtId="0" fontId="97" fillId="0" borderId="106" xfId="0" applyFont="1" applyBorder="1"/>
    <xf numFmtId="0" fontId="96" fillId="0" borderId="94" xfId="0" applyFont="1" applyBorder="1" applyAlignment="1">
      <alignment horizontal="center"/>
    </xf>
    <xf numFmtId="0" fontId="97" fillId="0" borderId="108" xfId="0" applyFont="1" applyBorder="1"/>
    <xf numFmtId="0" fontId="71" fillId="23" borderId="45" xfId="0" applyFont="1" applyFill="1" applyBorder="1" applyAlignment="1">
      <alignment horizontal="center"/>
    </xf>
    <xf numFmtId="0" fontId="71" fillId="23" borderId="46" xfId="0" applyFont="1" applyFill="1" applyBorder="1" applyAlignment="1">
      <alignment horizontal="center"/>
    </xf>
    <xf numFmtId="0" fontId="71" fillId="23" borderId="47" xfId="0" applyFont="1" applyFill="1" applyBorder="1" applyAlignment="1">
      <alignment horizontal="center"/>
    </xf>
    <xf numFmtId="0" fontId="21" fillId="23" borderId="24" xfId="0" applyFont="1" applyFill="1" applyBorder="1" applyAlignment="1">
      <alignment horizontal="center"/>
    </xf>
    <xf numFmtId="0" fontId="21" fillId="23" borderId="1" xfId="0" applyFont="1" applyFill="1" applyBorder="1" applyAlignment="1">
      <alignment horizontal="center"/>
    </xf>
    <xf numFmtId="0" fontId="21" fillId="23" borderId="25" xfId="0" applyFont="1" applyFill="1" applyBorder="1" applyAlignment="1">
      <alignment horizontal="center"/>
    </xf>
    <xf numFmtId="9" fontId="76" fillId="24" borderId="7" xfId="4" applyFont="1" applyFill="1" applyBorder="1" applyAlignment="1">
      <alignment horizontal="center"/>
    </xf>
    <xf numFmtId="9" fontId="76" fillId="24" borderId="8" xfId="4" applyFont="1" applyFill="1" applyBorder="1" applyAlignment="1">
      <alignment horizontal="center"/>
    </xf>
    <xf numFmtId="9" fontId="76" fillId="24" borderId="9" xfId="4" applyFont="1" applyFill="1" applyBorder="1" applyAlignment="1">
      <alignment horizontal="center"/>
    </xf>
    <xf numFmtId="0" fontId="9" fillId="24" borderId="0" xfId="0" applyFont="1" applyFill="1" applyAlignment="1">
      <alignment horizontal="center" vertical="center" wrapText="1"/>
    </xf>
    <xf numFmtId="0" fontId="29" fillId="24" borderId="0" xfId="0" applyFont="1" applyFill="1" applyAlignment="1">
      <alignment horizontal="center" vertical="center" wrapText="1"/>
    </xf>
    <xf numFmtId="0" fontId="29" fillId="9" borderId="1" xfId="0" applyFont="1" applyFill="1" applyBorder="1" applyAlignment="1">
      <alignment horizontal="center" vertical="center" wrapText="1"/>
    </xf>
    <xf numFmtId="0" fontId="7" fillId="24" borderId="18" xfId="0" applyFont="1" applyFill="1" applyBorder="1" applyAlignment="1">
      <alignment horizontal="center"/>
    </xf>
    <xf numFmtId="0" fontId="7" fillId="24" borderId="19" xfId="0" applyFont="1" applyFill="1" applyBorder="1" applyAlignment="1">
      <alignment horizontal="center"/>
    </xf>
    <xf numFmtId="0" fontId="7" fillId="24" borderId="20" xfId="0" applyFont="1" applyFill="1" applyBorder="1" applyAlignment="1">
      <alignment horizontal="center"/>
    </xf>
    <xf numFmtId="0" fontId="8" fillId="24" borderId="26" xfId="0" applyFont="1" applyFill="1" applyBorder="1" applyAlignment="1">
      <alignment horizontal="center"/>
    </xf>
    <xf numFmtId="0" fontId="8" fillId="24" borderId="27" xfId="0" applyFont="1" applyFill="1" applyBorder="1" applyAlignment="1">
      <alignment horizontal="center"/>
    </xf>
    <xf numFmtId="0" fontId="8" fillId="24" borderId="28" xfId="0" applyFont="1" applyFill="1" applyBorder="1" applyAlignment="1">
      <alignment horizontal="center"/>
    </xf>
    <xf numFmtId="0" fontId="71" fillId="9" borderId="18" xfId="0" applyFont="1" applyFill="1" applyBorder="1" applyAlignment="1">
      <alignment horizontal="center"/>
    </xf>
    <xf numFmtId="0" fontId="71" fillId="9" borderId="19" xfId="0" applyFont="1" applyFill="1" applyBorder="1" applyAlignment="1">
      <alignment horizontal="center"/>
    </xf>
    <xf numFmtId="0" fontId="71" fillId="9" borderId="20" xfId="0" applyFont="1" applyFill="1" applyBorder="1" applyAlignment="1">
      <alignment horizontal="center"/>
    </xf>
    <xf numFmtId="0" fontId="21" fillId="9" borderId="26" xfId="0" applyFont="1" applyFill="1" applyBorder="1" applyAlignment="1">
      <alignment horizontal="center"/>
    </xf>
    <xf numFmtId="0" fontId="21" fillId="9" borderId="27" xfId="0" applyFont="1" applyFill="1" applyBorder="1" applyAlignment="1">
      <alignment horizontal="center"/>
    </xf>
    <xf numFmtId="0" fontId="21" fillId="9" borderId="28" xfId="0" applyFont="1" applyFill="1" applyBorder="1" applyAlignment="1">
      <alignment horizontal="center"/>
    </xf>
    <xf numFmtId="0" fontId="8" fillId="24" borderId="43" xfId="0" applyFont="1" applyFill="1" applyBorder="1" applyAlignment="1">
      <alignment horizontal="center"/>
    </xf>
    <xf numFmtId="0" fontId="8" fillId="24" borderId="3" xfId="0" applyFont="1" applyFill="1" applyBorder="1" applyAlignment="1">
      <alignment horizontal="center"/>
    </xf>
    <xf numFmtId="0" fontId="8" fillId="24" borderId="44" xfId="0" applyFont="1" applyFill="1" applyBorder="1" applyAlignment="1">
      <alignment horizontal="center"/>
    </xf>
    <xf numFmtId="0" fontId="8" fillId="9" borderId="7" xfId="0" applyFont="1" applyFill="1" applyBorder="1" applyAlignment="1">
      <alignment horizontal="center"/>
    </xf>
    <xf numFmtId="0" fontId="8" fillId="9" borderId="9" xfId="0" applyFont="1" applyFill="1" applyBorder="1" applyAlignment="1">
      <alignment horizontal="center"/>
    </xf>
    <xf numFmtId="0" fontId="36" fillId="9" borderId="18" xfId="0" applyFont="1" applyFill="1" applyBorder="1" applyAlignment="1">
      <alignment horizontal="center" vertical="center" wrapText="1"/>
    </xf>
    <xf numFmtId="0" fontId="36" fillId="9" borderId="20" xfId="0" applyFont="1" applyFill="1" applyBorder="1" applyAlignment="1">
      <alignment horizontal="center" vertical="center" wrapText="1"/>
    </xf>
    <xf numFmtId="0" fontId="36" fillId="9" borderId="22" xfId="0" applyFont="1" applyFill="1" applyBorder="1" applyAlignment="1">
      <alignment horizontal="center" vertical="center" wrapText="1"/>
    </xf>
    <xf numFmtId="0" fontId="36" fillId="9" borderId="23" xfId="0" applyFont="1" applyFill="1" applyBorder="1" applyAlignment="1">
      <alignment horizontal="center" vertical="center" wrapText="1"/>
    </xf>
    <xf numFmtId="0" fontId="36" fillId="9" borderId="26" xfId="0" applyFont="1" applyFill="1" applyBorder="1" applyAlignment="1">
      <alignment horizontal="center" vertical="center" wrapText="1"/>
    </xf>
    <xf numFmtId="0" fontId="36" fillId="9" borderId="28" xfId="0" applyFont="1" applyFill="1" applyBorder="1" applyAlignment="1">
      <alignment horizontal="center" vertical="center" wrapText="1"/>
    </xf>
    <xf numFmtId="0" fontId="42" fillId="0" borderId="0" xfId="2" applyFont="1" applyAlignment="1" applyProtection="1">
      <alignment horizontal="center"/>
    </xf>
    <xf numFmtId="0" fontId="10" fillId="10" borderId="18" xfId="0" applyFont="1" applyFill="1" applyBorder="1" applyAlignment="1">
      <alignment horizontal="center" vertical="center" wrapText="1"/>
    </xf>
    <xf numFmtId="0" fontId="10" fillId="10" borderId="19" xfId="0" applyFont="1" applyFill="1" applyBorder="1" applyAlignment="1">
      <alignment horizontal="center" vertical="center" wrapText="1"/>
    </xf>
    <xf numFmtId="0" fontId="10" fillId="10" borderId="20" xfId="0" applyFont="1" applyFill="1" applyBorder="1" applyAlignment="1">
      <alignment horizontal="center" vertical="center" wrapText="1"/>
    </xf>
    <xf numFmtId="0" fontId="10" fillId="10" borderId="22" xfId="0" applyFont="1" applyFill="1" applyBorder="1" applyAlignment="1">
      <alignment horizontal="center" vertical="center" wrapText="1"/>
    </xf>
    <xf numFmtId="0" fontId="10" fillId="10" borderId="0" xfId="0" applyFont="1" applyFill="1" applyAlignment="1">
      <alignment horizontal="center" vertical="center" wrapText="1"/>
    </xf>
    <xf numFmtId="0" fontId="10" fillId="10" borderId="23" xfId="0" applyFont="1" applyFill="1" applyBorder="1" applyAlignment="1">
      <alignment horizontal="center" vertical="center" wrapText="1"/>
    </xf>
    <xf numFmtId="0" fontId="10" fillId="10" borderId="26" xfId="0" applyFont="1" applyFill="1" applyBorder="1" applyAlignment="1">
      <alignment horizontal="center" vertical="center" wrapText="1"/>
    </xf>
    <xf numFmtId="0" fontId="10" fillId="10" borderId="27" xfId="0" applyFont="1" applyFill="1" applyBorder="1" applyAlignment="1">
      <alignment horizontal="center" vertical="center" wrapText="1"/>
    </xf>
    <xf numFmtId="0" fontId="10" fillId="10" borderId="28" xfId="0" applyFont="1" applyFill="1" applyBorder="1" applyAlignment="1">
      <alignment horizontal="center" vertical="center" wrapText="1"/>
    </xf>
    <xf numFmtId="0" fontId="8" fillId="9" borderId="18" xfId="0" applyFont="1" applyFill="1" applyBorder="1" applyAlignment="1">
      <alignment horizontal="center" vertical="center" wrapText="1"/>
    </xf>
    <xf numFmtId="0" fontId="8" fillId="9" borderId="19" xfId="0" applyFont="1" applyFill="1" applyBorder="1" applyAlignment="1">
      <alignment horizontal="center" vertical="center" wrapText="1"/>
    </xf>
    <xf numFmtId="0" fontId="8" fillId="9" borderId="20" xfId="0" applyFont="1" applyFill="1" applyBorder="1" applyAlignment="1">
      <alignment horizontal="center" vertical="center" wrapText="1"/>
    </xf>
    <xf numFmtId="0" fontId="8" fillId="9" borderId="22" xfId="0" applyFont="1" applyFill="1" applyBorder="1" applyAlignment="1">
      <alignment horizontal="center" vertical="center" wrapText="1"/>
    </xf>
    <xf numFmtId="0" fontId="8" fillId="9" borderId="0" xfId="0" applyFont="1" applyFill="1" applyAlignment="1">
      <alignment horizontal="center" vertical="center" wrapText="1"/>
    </xf>
    <xf numFmtId="0" fontId="8" fillId="9" borderId="23" xfId="0" applyFont="1" applyFill="1" applyBorder="1" applyAlignment="1">
      <alignment horizontal="center" vertical="center" wrapText="1"/>
    </xf>
    <xf numFmtId="0" fontId="8" fillId="9" borderId="26" xfId="0" applyFont="1" applyFill="1" applyBorder="1" applyAlignment="1">
      <alignment horizontal="center" vertical="center" wrapText="1"/>
    </xf>
    <xf numFmtId="0" fontId="8" fillId="9" borderId="27" xfId="0" applyFont="1" applyFill="1" applyBorder="1" applyAlignment="1">
      <alignment horizontal="center" vertical="center" wrapText="1"/>
    </xf>
    <xf numFmtId="0" fontId="8" fillId="9" borderId="28" xfId="0" applyFont="1" applyFill="1" applyBorder="1" applyAlignment="1">
      <alignment horizontal="center" vertical="center" wrapText="1"/>
    </xf>
    <xf numFmtId="0" fontId="7" fillId="9" borderId="4" xfId="0" applyFont="1" applyFill="1" applyBorder="1" applyAlignment="1">
      <alignment horizontal="center"/>
    </xf>
    <xf numFmtId="0" fontId="7" fillId="9" borderId="5" xfId="0" applyFont="1" applyFill="1" applyBorder="1" applyAlignment="1">
      <alignment horizontal="center"/>
    </xf>
    <xf numFmtId="0" fontId="7" fillId="9" borderId="6" xfId="0" applyFont="1" applyFill="1" applyBorder="1" applyAlignment="1">
      <alignment horizontal="center"/>
    </xf>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8" fillId="7" borderId="4" xfId="1" applyNumberFormat="1" applyFont="1" applyFill="1" applyBorder="1" applyAlignment="1">
      <alignment horizontal="right"/>
    </xf>
    <xf numFmtId="171" fontId="8" fillId="7" borderId="6" xfId="1" applyNumberFormat="1" applyFont="1" applyFill="1" applyBorder="1" applyAlignment="1">
      <alignment horizontal="right"/>
    </xf>
    <xf numFmtId="0" fontId="34" fillId="9" borderId="19" xfId="0" applyFont="1" applyFill="1" applyBorder="1" applyAlignment="1">
      <alignment horizontal="center" vertical="center" wrapText="1"/>
    </xf>
    <xf numFmtId="0" fontId="34" fillId="9" borderId="20" xfId="0" applyFont="1" applyFill="1" applyBorder="1" applyAlignment="1">
      <alignment horizontal="center" vertical="center" wrapText="1"/>
    </xf>
    <xf numFmtId="0" fontId="34" fillId="9" borderId="22" xfId="0" applyFont="1" applyFill="1" applyBorder="1" applyAlignment="1">
      <alignment horizontal="center" vertical="center" wrapText="1"/>
    </xf>
    <xf numFmtId="0" fontId="34" fillId="9" borderId="0" xfId="0" applyFont="1" applyFill="1" applyAlignment="1">
      <alignment horizontal="center" vertical="center" wrapText="1"/>
    </xf>
    <xf numFmtId="0" fontId="34" fillId="9" borderId="23" xfId="0" applyFont="1" applyFill="1" applyBorder="1" applyAlignment="1">
      <alignment horizontal="center" vertical="center" wrapText="1"/>
    </xf>
    <xf numFmtId="0" fontId="34" fillId="9" borderId="26" xfId="0" applyFont="1" applyFill="1" applyBorder="1" applyAlignment="1">
      <alignment horizontal="center" vertical="center" wrapText="1"/>
    </xf>
    <xf numFmtId="0" fontId="34" fillId="9" borderId="27" xfId="0" applyFont="1" applyFill="1" applyBorder="1" applyAlignment="1">
      <alignment horizontal="center" vertical="center" wrapText="1"/>
    </xf>
    <xf numFmtId="0" fontId="34" fillId="9" borderId="28" xfId="0" applyFont="1" applyFill="1" applyBorder="1" applyAlignment="1">
      <alignment horizontal="center" vertical="center" wrapText="1"/>
    </xf>
    <xf numFmtId="0" fontId="9" fillId="8" borderId="18" xfId="0" applyFont="1" applyFill="1" applyBorder="1" applyAlignment="1">
      <alignment horizontal="center" vertical="center" wrapText="1"/>
    </xf>
    <xf numFmtId="0" fontId="9" fillId="8" borderId="19" xfId="0" applyFont="1" applyFill="1" applyBorder="1" applyAlignment="1">
      <alignment horizontal="center" vertical="center" wrapText="1"/>
    </xf>
    <xf numFmtId="0" fontId="9" fillId="8" borderId="20" xfId="0" applyFont="1" applyFill="1" applyBorder="1" applyAlignment="1">
      <alignment horizontal="center" vertical="center" wrapText="1"/>
    </xf>
    <xf numFmtId="0" fontId="9" fillId="8" borderId="22" xfId="0" applyFont="1" applyFill="1" applyBorder="1" applyAlignment="1">
      <alignment horizontal="center" vertical="center" wrapText="1"/>
    </xf>
    <xf numFmtId="0" fontId="9" fillId="8" borderId="0" xfId="0" applyFont="1" applyFill="1" applyAlignment="1">
      <alignment horizontal="center" vertical="center" wrapText="1"/>
    </xf>
    <xf numFmtId="0" fontId="9" fillId="8" borderId="23" xfId="0" applyFont="1" applyFill="1" applyBorder="1" applyAlignment="1">
      <alignment horizontal="center" vertical="center" wrapText="1"/>
    </xf>
    <xf numFmtId="0" fontId="9" fillId="8" borderId="26" xfId="0" applyFont="1" applyFill="1" applyBorder="1" applyAlignment="1">
      <alignment horizontal="center" vertical="center" wrapText="1"/>
    </xf>
    <xf numFmtId="0" fontId="9" fillId="8" borderId="27" xfId="0" applyFont="1" applyFill="1" applyBorder="1" applyAlignment="1">
      <alignment horizontal="center" vertical="center" wrapText="1"/>
    </xf>
    <xf numFmtId="0" fontId="9" fillId="8" borderId="28" xfId="0" applyFont="1" applyFill="1" applyBorder="1" applyAlignment="1">
      <alignment horizontal="center" vertical="center" wrapText="1"/>
    </xf>
    <xf numFmtId="0" fontId="24" fillId="8" borderId="1" xfId="0" applyFont="1" applyFill="1" applyBorder="1" applyAlignment="1">
      <alignment horizontal="center"/>
    </xf>
    <xf numFmtId="0" fontId="9" fillId="0" borderId="4" xfId="0" applyFont="1" applyBorder="1" applyAlignment="1">
      <alignment horizontal="right"/>
    </xf>
    <xf numFmtId="0" fontId="9" fillId="0" borderId="5" xfId="0" applyFont="1" applyBorder="1" applyAlignment="1">
      <alignment horizontal="right"/>
    </xf>
    <xf numFmtId="0" fontId="9" fillId="0" borderId="6" xfId="0" applyFont="1" applyBorder="1" applyAlignment="1">
      <alignment horizontal="right"/>
    </xf>
    <xf numFmtId="0" fontId="7" fillId="6" borderId="18" xfId="0" applyFont="1" applyFill="1" applyBorder="1" applyAlignment="1">
      <alignment horizontal="center"/>
    </xf>
    <xf numFmtId="0" fontId="7" fillId="6" borderId="19" xfId="0" applyFont="1" applyFill="1" applyBorder="1" applyAlignment="1">
      <alignment horizontal="center"/>
    </xf>
    <xf numFmtId="0" fontId="7" fillId="6" borderId="20" xfId="0" applyFont="1" applyFill="1" applyBorder="1" applyAlignment="1">
      <alignment horizontal="center"/>
    </xf>
    <xf numFmtId="0" fontId="26" fillId="6" borderId="26" xfId="2" applyFont="1" applyFill="1" applyBorder="1" applyAlignment="1" applyProtection="1">
      <alignment horizontal="center"/>
    </xf>
    <xf numFmtId="0" fontId="26" fillId="6" borderId="27" xfId="2" applyFont="1" applyFill="1" applyBorder="1" applyAlignment="1" applyProtection="1">
      <alignment horizontal="center"/>
    </xf>
    <xf numFmtId="0" fontId="26" fillId="6" borderId="28" xfId="2" applyFont="1" applyFill="1" applyBorder="1" applyAlignment="1" applyProtection="1">
      <alignment horizontal="center"/>
    </xf>
    <xf numFmtId="0" fontId="8" fillId="8" borderId="1" xfId="0" applyFont="1" applyFill="1" applyBorder="1" applyAlignment="1">
      <alignment horizontal="center"/>
    </xf>
    <xf numFmtId="0" fontId="8" fillId="0" borderId="2" xfId="0" applyFont="1" applyBorder="1" applyAlignment="1">
      <alignment horizontal="center"/>
    </xf>
    <xf numFmtId="0" fontId="8" fillId="0" borderId="3" xfId="0" applyFont="1" applyBorder="1" applyAlignment="1">
      <alignment horizontal="center"/>
    </xf>
    <xf numFmtId="0" fontId="18" fillId="7" borderId="1" xfId="0" applyFont="1" applyFill="1" applyBorder="1" applyAlignment="1">
      <alignment horizontal="center"/>
    </xf>
    <xf numFmtId="0" fontId="7" fillId="7" borderId="37" xfId="0" applyFont="1" applyFill="1" applyBorder="1" applyAlignment="1">
      <alignment horizontal="center"/>
    </xf>
    <xf numFmtId="0" fontId="7" fillId="7" borderId="38" xfId="0" applyFont="1" applyFill="1" applyBorder="1" applyAlignment="1">
      <alignment horizontal="center"/>
    </xf>
    <xf numFmtId="0" fontId="21" fillId="9" borderId="7" xfId="0" applyFont="1" applyFill="1" applyBorder="1" applyAlignment="1">
      <alignment horizontal="center"/>
    </xf>
    <xf numFmtId="0" fontId="21" fillId="9" borderId="9" xfId="0" applyFont="1" applyFill="1" applyBorder="1" applyAlignment="1">
      <alignment horizontal="center"/>
    </xf>
    <xf numFmtId="0" fontId="7" fillId="7" borderId="18" xfId="0" applyFont="1" applyFill="1" applyBorder="1" applyAlignment="1">
      <alignment horizontal="center"/>
    </xf>
    <xf numFmtId="0" fontId="7" fillId="7" borderId="19" xfId="0" applyFont="1" applyFill="1" applyBorder="1" applyAlignment="1">
      <alignment horizontal="center"/>
    </xf>
    <xf numFmtId="0" fontId="7" fillId="7" borderId="20" xfId="0" applyFont="1" applyFill="1" applyBorder="1" applyAlignment="1">
      <alignment horizontal="center"/>
    </xf>
    <xf numFmtId="0" fontId="8" fillId="7" borderId="26" xfId="0" applyFont="1" applyFill="1" applyBorder="1" applyAlignment="1">
      <alignment horizontal="center" vertical="center"/>
    </xf>
    <xf numFmtId="0" fontId="8" fillId="7" borderId="27" xfId="0" applyFont="1" applyFill="1" applyBorder="1" applyAlignment="1">
      <alignment horizontal="center" vertical="center"/>
    </xf>
    <xf numFmtId="0" fontId="8" fillId="7" borderId="28" xfId="0" applyFont="1" applyFill="1" applyBorder="1" applyAlignment="1">
      <alignment horizontal="center" vertical="center"/>
    </xf>
    <xf numFmtId="0" fontId="7" fillId="7" borderId="4" xfId="0" applyFont="1" applyFill="1" applyBorder="1" applyAlignment="1">
      <alignment horizontal="center"/>
    </xf>
    <xf numFmtId="0" fontId="7" fillId="7" borderId="5" xfId="0" applyFont="1" applyFill="1" applyBorder="1" applyAlignment="1">
      <alignment horizontal="center"/>
    </xf>
    <xf numFmtId="0" fontId="7" fillId="7" borderId="6" xfId="0" applyFont="1" applyFill="1" applyBorder="1" applyAlignment="1">
      <alignment horizontal="center"/>
    </xf>
    <xf numFmtId="0" fontId="8" fillId="7" borderId="4" xfId="0" applyFont="1" applyFill="1" applyBorder="1" applyAlignment="1">
      <alignment horizontal="center"/>
    </xf>
    <xf numFmtId="0" fontId="8" fillId="7" borderId="5" xfId="0" applyFont="1" applyFill="1" applyBorder="1" applyAlignment="1">
      <alignment horizontal="center"/>
    </xf>
    <xf numFmtId="0" fontId="8" fillId="7" borderId="6" xfId="0" applyFont="1" applyFill="1" applyBorder="1" applyAlignment="1">
      <alignment horizontal="center"/>
    </xf>
    <xf numFmtId="43" fontId="14" fillId="0" borderId="0" xfId="2" applyNumberFormat="1" applyFont="1" applyBorder="1" applyAlignment="1" applyProtection="1">
      <alignment horizontal="center"/>
    </xf>
    <xf numFmtId="43" fontId="10" fillId="2" borderId="0" xfId="3" applyNumberFormat="1" applyFont="1" applyBorder="1" applyAlignment="1">
      <alignment horizontal="center"/>
    </xf>
    <xf numFmtId="9" fontId="55" fillId="0" borderId="0" xfId="4" applyFont="1"/>
    <xf numFmtId="0" fontId="83" fillId="0" borderId="18" xfId="0" applyFont="1" applyBorder="1" applyAlignment="1">
      <alignment horizontal="left" wrapText="1"/>
    </xf>
    <xf numFmtId="0" fontId="83" fillId="0" borderId="26" xfId="0" applyFont="1" applyBorder="1" applyAlignment="1">
      <alignment horizontal="left" wrapText="1"/>
    </xf>
    <xf numFmtId="9" fontId="83" fillId="0" borderId="28" xfId="4" applyFont="1" applyBorder="1" applyAlignment="1">
      <alignment horizontal="right" wrapText="1"/>
    </xf>
    <xf numFmtId="0" fontId="101" fillId="0" borderId="0" xfId="0" applyFont="1"/>
    <xf numFmtId="9" fontId="101" fillId="0" borderId="0" xfId="4" applyFont="1"/>
    <xf numFmtId="2" fontId="83" fillId="0" borderId="20" xfId="4" applyNumberFormat="1" applyFont="1" applyBorder="1" applyAlignment="1">
      <alignment horizontal="right" wrapText="1"/>
    </xf>
    <xf numFmtId="2" fontId="84" fillId="0" borderId="72" xfId="0" applyNumberFormat="1" applyFont="1" applyBorder="1" applyAlignment="1">
      <alignment horizontal="right"/>
    </xf>
    <xf numFmtId="1" fontId="84" fillId="0" borderId="72" xfId="0" applyNumberFormat="1" applyFont="1" applyBorder="1" applyAlignment="1">
      <alignment horizontal="right"/>
    </xf>
    <xf numFmtId="9" fontId="0" fillId="0" borderId="0" xfId="0" applyNumberFormat="1" applyAlignment="1">
      <alignment horizontal="right"/>
    </xf>
    <xf numFmtId="0" fontId="90" fillId="0" borderId="84" xfId="0" applyFont="1" applyBorder="1" applyAlignment="1">
      <alignment horizontal="right"/>
    </xf>
    <xf numFmtId="0" fontId="83" fillId="0" borderId="116" xfId="0" applyFont="1" applyFill="1" applyBorder="1" applyAlignment="1">
      <alignment horizontal="left" wrapText="1"/>
    </xf>
    <xf numFmtId="9" fontId="0" fillId="0" borderId="117" xfId="0" applyNumberFormat="1" applyBorder="1"/>
    <xf numFmtId="0" fontId="83" fillId="0" borderId="118" xfId="0" applyFont="1" applyFill="1" applyBorder="1" applyAlignment="1">
      <alignment horizontal="left" wrapText="1"/>
    </xf>
    <xf numFmtId="9" fontId="0" fillId="0" borderId="119" xfId="0" applyNumberFormat="1" applyBorder="1"/>
    <xf numFmtId="0" fontId="83" fillId="0" borderId="120" xfId="0" applyFont="1" applyBorder="1" applyAlignment="1">
      <alignment horizontal="left" wrapText="1"/>
    </xf>
    <xf numFmtId="175" fontId="84" fillId="0" borderId="121" xfId="0" applyNumberFormat="1" applyFont="1" applyBorder="1" applyAlignment="1">
      <alignment horizontal="right"/>
    </xf>
  </cellXfs>
  <cellStyles count="8">
    <cellStyle name="Accent6" xfId="3" builtinId="49"/>
    <cellStyle name="Comma" xfId="1" builtinId="3"/>
    <cellStyle name="Comma 2" xfId="5" xr:uid="{00000000-0005-0000-0000-000002000000}"/>
    <cellStyle name="Comma 3" xfId="7" xr:uid="{00000000-0005-0000-0000-000003000000}"/>
    <cellStyle name="Hyperlink" xfId="2" builtinId="8"/>
    <cellStyle name="Hyperlink 2" xfId="6" xr:uid="{00000000-0005-0000-0000-000005000000}"/>
    <cellStyle name="Normal" xfId="0" builtinId="0"/>
    <cellStyle name="Percent" xfId="4" builtinId="5"/>
  </cellStyles>
  <dxfs count="149">
    <dxf>
      <font>
        <b/>
        <i val="0"/>
        <color theme="0"/>
      </font>
      <fill>
        <patternFill>
          <bgColor theme="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fgColor rgb="FFB7E1CD"/>
          <bgColor rgb="FFB7E1CD"/>
        </patternFill>
      </fill>
    </dxf>
    <dxf>
      <fill>
        <patternFill patternType="solid">
          <fgColor rgb="FFFFEFEF"/>
          <bgColor rgb="FFFFEFEF"/>
        </patternFill>
      </fill>
    </dxf>
    <dxf>
      <fill>
        <patternFill patternType="solid">
          <fgColor rgb="FFB7E1CD"/>
          <bgColor rgb="FFB7E1CD"/>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92D050"/>
          <bgColor rgb="FF92D050"/>
        </patternFill>
      </fill>
    </dxf>
    <dxf>
      <font>
        <color rgb="FF9C0006"/>
      </font>
      <fill>
        <patternFill patternType="solid">
          <fgColor rgb="FFFFC7CE"/>
          <bgColor rgb="FFFFC7CE"/>
        </patternFill>
      </fill>
    </dxf>
    <dxf>
      <fill>
        <patternFill patternType="solid">
          <fgColor rgb="FFEBF9EE"/>
          <bgColor rgb="FFEBF9EE"/>
        </patternFill>
      </fill>
    </dxf>
    <dxf>
      <font>
        <color rgb="FF000000"/>
      </font>
      <fill>
        <patternFill patternType="solid">
          <fgColor rgb="FFEBF9EE"/>
          <bgColor rgb="FFEBF9E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EF8E4"/>
          <bgColor rgb="FFEEF8E4"/>
        </patternFill>
      </fill>
    </dxf>
    <dxf>
      <fill>
        <patternFill patternType="solid">
          <fgColor rgb="FFFFEBED"/>
          <bgColor rgb="FFFFEBED"/>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ont>
        <color rgb="FF9C0006"/>
      </font>
      <fill>
        <patternFill patternType="solid">
          <fgColor rgb="FFFFC7CE"/>
          <bgColor rgb="FFFFC7C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FC7CE"/>
          <bgColor rgb="FFFFC7CE"/>
        </patternFill>
      </fill>
    </dxf>
    <dxf>
      <fill>
        <patternFill patternType="solid">
          <fgColor rgb="FFC6EFCE"/>
          <bgColor rgb="FFC6EFCE"/>
        </patternFill>
      </fill>
    </dxf>
    <dxf>
      <fill>
        <patternFill patternType="solid">
          <fgColor rgb="FFEBF9EE"/>
          <bgColor rgb="FFEBF9EE"/>
        </patternFill>
      </fill>
    </dxf>
    <dxf>
      <fill>
        <patternFill patternType="solid">
          <fgColor rgb="FFFFEFEF"/>
          <bgColor rgb="FFFFEFEF"/>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DF0E9"/>
          <bgColor rgb="FFFDF0E9"/>
        </patternFill>
      </fill>
    </dxf>
    <dxf>
      <fill>
        <patternFill patternType="solid">
          <fgColor rgb="FFE4F8E8"/>
          <bgColor rgb="FFE4F8E8"/>
        </patternFill>
      </fill>
    </dxf>
    <dxf>
      <fill>
        <patternFill patternType="solid">
          <fgColor rgb="FFE4F8E8"/>
          <bgColor rgb="FFE4F8E8"/>
        </patternFill>
      </fill>
    </dxf>
    <dxf>
      <fill>
        <patternFill patternType="solid">
          <fgColor rgb="FFFDF0E9"/>
          <bgColor rgb="FFFDF0E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trike val="0"/>
        <outline val="0"/>
        <shadow val="0"/>
        <u val="none"/>
        <vertAlign val="baseline"/>
        <sz val="10"/>
        <name val="Arial"/>
        <scheme val="none"/>
      </font>
      <border diagonalUp="0" diagonalDown="0">
        <left style="thin">
          <color indexed="64"/>
        </left>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style="thin">
          <color theme="4"/>
        </left>
        <right/>
        <top/>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Arial"/>
        <scheme val="none"/>
      </font>
      <numFmt numFmtId="166" formatCode="[$-409]mmm\-yy;@"/>
    </dxf>
    <dxf>
      <font>
        <b/>
        <i val="0"/>
        <strike val="0"/>
        <condense val="0"/>
        <extend val="0"/>
        <outline val="0"/>
        <shadow val="0"/>
        <u val="none"/>
        <vertAlign val="baseline"/>
        <sz val="10"/>
        <color theme="0"/>
        <name val="Arial"/>
        <scheme val="none"/>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4" formatCode="0.00%"/>
      <border diagonalUp="0" diagonalDown="0">
        <left style="thin">
          <color indexed="64"/>
        </left>
        <right style="medium">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border diagonalUp="0" diagonalDown="0" outline="0">
        <left/>
        <right/>
        <top/>
        <bottom/>
      </border>
    </dxf>
    <dxf>
      <border diagonalUp="0" diagonalDown="0">
        <left style="medium">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right/>
        <top/>
        <bottom/>
      </border>
    </dxf>
    <dxf>
      <font>
        <strike val="0"/>
        <outline val="0"/>
        <shadow val="0"/>
        <u val="none"/>
        <vertAlign val="baseline"/>
        <sz val="10"/>
        <name val="Arial"/>
        <scheme val="none"/>
      </font>
    </dxf>
    <dxf>
      <font>
        <b/>
        <i val="0"/>
        <strike val="0"/>
        <condense val="0"/>
        <extend val="0"/>
        <outline val="0"/>
        <shadow val="0"/>
        <u val="none"/>
        <vertAlign val="baseline"/>
        <sz val="10"/>
        <color theme="0"/>
        <name val="Arial"/>
        <scheme val="none"/>
      </font>
      <fill>
        <patternFill patternType="solid">
          <fgColor theme="4"/>
          <bgColor rgb="FF0275D8"/>
        </patternFill>
      </fill>
      <alignment horizontal="center" vertical="bottom" textRotation="0" wrapText="0" relativeIndent="0" justifyLastLine="0" shrinkToFit="0" readingOrder="0"/>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1"/>
        <color indexed="9"/>
        <name val="Calibri"/>
        <scheme val="none"/>
      </font>
      <numFmt numFmtId="166" formatCode="[$-409]mmm\-yy;@"/>
      <fill>
        <patternFill patternType="solid">
          <fgColor indexed="40"/>
          <bgColor rgb="FF0070C0"/>
        </patternFill>
      </fill>
      <alignment horizontal="center" vertical="bottom"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9" defaultPivotStyle="PivotStyleLight16"/>
  <colors>
    <mruColors>
      <color rgb="FFFF6699"/>
      <color rgb="FF0275D8"/>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12.xml"/><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chartUserShapes" Target="../drawings/drawing13.xml"/><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3" Type="http://schemas.openxmlformats.org/officeDocument/2006/relationships/chartUserShapes" Target="../drawings/drawing15.xml"/><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3" Type="http://schemas.openxmlformats.org/officeDocument/2006/relationships/chartUserShapes" Target="../drawings/drawing16.xml"/><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3" Type="http://schemas.openxmlformats.org/officeDocument/2006/relationships/chartUserShapes" Target="../drawings/drawing17.xml"/><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3" Type="http://schemas.openxmlformats.org/officeDocument/2006/relationships/chartUserShapes" Target="../drawings/drawing18.xml"/><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3" Type="http://schemas.openxmlformats.org/officeDocument/2006/relationships/chartUserShapes" Target="../drawings/drawing19.xml"/><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3" Type="http://schemas.openxmlformats.org/officeDocument/2006/relationships/chartUserShapes" Target="../drawings/drawing20.xml"/><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3" Type="http://schemas.openxmlformats.org/officeDocument/2006/relationships/chartUserShapes" Target="../drawings/drawing21.xml"/><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3" Type="http://schemas.openxmlformats.org/officeDocument/2006/relationships/chartUserShapes" Target="../drawings/drawing22.xml"/><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3" Type="http://schemas.openxmlformats.org/officeDocument/2006/relationships/chartUserShapes" Target="../drawings/drawing23.xml"/><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3" Type="http://schemas.openxmlformats.org/officeDocument/2006/relationships/chartUserShapes" Target="../drawings/drawing24.xml"/><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3" Type="http://schemas.openxmlformats.org/officeDocument/2006/relationships/chartUserShapes" Target="../drawings/drawing25.xml"/><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3" Type="http://schemas.openxmlformats.org/officeDocument/2006/relationships/chartUserShapes" Target="../drawings/drawing26.xml"/><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3" Type="http://schemas.openxmlformats.org/officeDocument/2006/relationships/chartUserShapes" Target="../drawings/drawing27.xml"/><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3" Type="http://schemas.openxmlformats.org/officeDocument/2006/relationships/chartUserShapes" Target="../drawings/drawing28.xml"/><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3" Type="http://schemas.openxmlformats.org/officeDocument/2006/relationships/chartUserShapes" Target="../drawings/drawing29.xml"/><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3" Type="http://schemas.openxmlformats.org/officeDocument/2006/relationships/chartUserShapes" Target="../drawings/drawing30.xml"/><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3" Type="http://schemas.openxmlformats.org/officeDocument/2006/relationships/chartUserShapes" Target="../drawings/drawing31.xml"/><Relationship Id="rId2" Type="http://schemas.microsoft.com/office/2011/relationships/chartColorStyle" Target="colors31.xml"/><Relationship Id="rId1" Type="http://schemas.microsoft.com/office/2011/relationships/chartStyle" Target="style31.xml"/></Relationships>
</file>

<file path=xl/charts/_rels/chart32.xml.rels><?xml version="1.0" encoding="UTF-8" standalone="yes"?>
<Relationships xmlns="http://schemas.openxmlformats.org/package/2006/relationships"><Relationship Id="rId3" Type="http://schemas.openxmlformats.org/officeDocument/2006/relationships/chartUserShapes" Target="../drawings/drawing32.xml"/><Relationship Id="rId2" Type="http://schemas.microsoft.com/office/2011/relationships/chartColorStyle" Target="colors32.xml"/><Relationship Id="rId1" Type="http://schemas.microsoft.com/office/2011/relationships/chartStyle" Target="style32.xml"/></Relationships>
</file>

<file path=xl/charts/_rels/chart33.xml.rels><?xml version="1.0" encoding="UTF-8" standalone="yes"?>
<Relationships xmlns="http://schemas.openxmlformats.org/package/2006/relationships"><Relationship Id="rId3" Type="http://schemas.openxmlformats.org/officeDocument/2006/relationships/chartUserShapes" Target="../drawings/drawing34.xml"/><Relationship Id="rId2" Type="http://schemas.microsoft.com/office/2011/relationships/chartColorStyle" Target="colors33.xml"/><Relationship Id="rId1" Type="http://schemas.microsoft.com/office/2011/relationships/chartStyle" Target="style33.xml"/></Relationships>
</file>

<file path=xl/charts/_rels/chart34.xml.rels><?xml version="1.0" encoding="UTF-8" standalone="yes"?>
<Relationships xmlns="http://schemas.openxmlformats.org/package/2006/relationships"><Relationship Id="rId3" Type="http://schemas.openxmlformats.org/officeDocument/2006/relationships/chartUserShapes" Target="../drawings/drawing35.xml"/><Relationship Id="rId2" Type="http://schemas.microsoft.com/office/2011/relationships/chartColorStyle" Target="colors34.xml"/><Relationship Id="rId1" Type="http://schemas.microsoft.com/office/2011/relationships/chartStyle" Target="style34.xml"/></Relationships>
</file>

<file path=xl/charts/_rels/chart35.xml.rels><?xml version="1.0" encoding="UTF-8" standalone="yes"?>
<Relationships xmlns="http://schemas.openxmlformats.org/package/2006/relationships"><Relationship Id="rId3" Type="http://schemas.openxmlformats.org/officeDocument/2006/relationships/chartUserShapes" Target="../drawings/drawing36.xml"/><Relationship Id="rId2" Type="http://schemas.microsoft.com/office/2011/relationships/chartColorStyle" Target="colors35.xml"/><Relationship Id="rId1" Type="http://schemas.microsoft.com/office/2011/relationships/chartStyle" Target="style35.xml"/></Relationships>
</file>

<file path=xl/charts/_rels/chart36.xml.rels><?xml version="1.0" encoding="UTF-8" standalone="yes"?>
<Relationships xmlns="http://schemas.openxmlformats.org/package/2006/relationships"><Relationship Id="rId3" Type="http://schemas.openxmlformats.org/officeDocument/2006/relationships/chartUserShapes" Target="../drawings/drawing37.xml"/><Relationship Id="rId2" Type="http://schemas.microsoft.com/office/2011/relationships/chartColorStyle" Target="colors36.xml"/><Relationship Id="rId1" Type="http://schemas.microsoft.com/office/2011/relationships/chartStyle" Target="style36.xml"/></Relationships>
</file>

<file path=xl/charts/_rels/chart37.xml.rels><?xml version="1.0" encoding="UTF-8" standalone="yes"?>
<Relationships xmlns="http://schemas.openxmlformats.org/package/2006/relationships"><Relationship Id="rId3" Type="http://schemas.openxmlformats.org/officeDocument/2006/relationships/chartUserShapes" Target="../drawings/drawing38.xml"/><Relationship Id="rId2" Type="http://schemas.microsoft.com/office/2011/relationships/chartColorStyle" Target="colors37.xml"/><Relationship Id="rId1" Type="http://schemas.microsoft.com/office/2011/relationships/chartStyle" Target="style37.xml"/></Relationships>
</file>

<file path=xl/charts/_rels/chart38.xml.rels><?xml version="1.0" encoding="UTF-8" standalone="yes"?>
<Relationships xmlns="http://schemas.openxmlformats.org/package/2006/relationships"><Relationship Id="rId3" Type="http://schemas.openxmlformats.org/officeDocument/2006/relationships/chartUserShapes" Target="../drawings/drawing39.xml"/><Relationship Id="rId2" Type="http://schemas.microsoft.com/office/2011/relationships/chartColorStyle" Target="colors38.xml"/><Relationship Id="rId1" Type="http://schemas.microsoft.com/office/2011/relationships/chartStyle" Target="style38.xml"/></Relationships>
</file>

<file path=xl/charts/_rels/chart39.xml.rels><?xml version="1.0" encoding="UTF-8" standalone="yes"?>
<Relationships xmlns="http://schemas.openxmlformats.org/package/2006/relationships"><Relationship Id="rId3" Type="http://schemas.openxmlformats.org/officeDocument/2006/relationships/chartUserShapes" Target="../drawings/drawing40.xml"/><Relationship Id="rId2" Type="http://schemas.microsoft.com/office/2011/relationships/chartColorStyle" Target="colors39.xml"/><Relationship Id="rId1" Type="http://schemas.microsoft.com/office/2011/relationships/chartStyle" Target="style39.xml"/></Relationships>
</file>

<file path=xl/charts/_rels/chart40.xml.rels><?xml version="1.0" encoding="UTF-8" standalone="yes"?>
<Relationships xmlns="http://schemas.openxmlformats.org/package/2006/relationships"><Relationship Id="rId3" Type="http://schemas.openxmlformats.org/officeDocument/2006/relationships/chartUserShapes" Target="../drawings/drawing41.xml"/><Relationship Id="rId2" Type="http://schemas.microsoft.com/office/2011/relationships/chartColorStyle" Target="colors40.xml"/><Relationship Id="rId1" Type="http://schemas.microsoft.com/office/2011/relationships/chartStyle" Target="style40.xml"/></Relationships>
</file>

<file path=xl/charts/_rels/chart41.xml.rels><?xml version="1.0" encoding="UTF-8" standalone="yes"?>
<Relationships xmlns="http://schemas.openxmlformats.org/package/2006/relationships"><Relationship Id="rId3" Type="http://schemas.openxmlformats.org/officeDocument/2006/relationships/chartUserShapes" Target="../drawings/drawing42.xml"/><Relationship Id="rId2" Type="http://schemas.microsoft.com/office/2011/relationships/chartColorStyle" Target="colors41.xml"/><Relationship Id="rId1" Type="http://schemas.microsoft.com/office/2011/relationships/chartStyle" Target="style41.xml"/></Relationships>
</file>

<file path=xl/charts/_rels/chart42.xml.rels><?xml version="1.0" encoding="UTF-8" standalone="yes"?>
<Relationships xmlns="http://schemas.openxmlformats.org/package/2006/relationships"><Relationship Id="rId3" Type="http://schemas.openxmlformats.org/officeDocument/2006/relationships/chartUserShapes" Target="../drawings/drawing43.xml"/><Relationship Id="rId2" Type="http://schemas.microsoft.com/office/2011/relationships/chartColorStyle" Target="colors42.xml"/><Relationship Id="rId1" Type="http://schemas.microsoft.com/office/2011/relationships/chartStyle" Target="style42.xml"/></Relationships>
</file>

<file path=xl/charts/_rels/chart43.xml.rels><?xml version="1.0" encoding="UTF-8" standalone="yes"?>
<Relationships xmlns="http://schemas.openxmlformats.org/package/2006/relationships"><Relationship Id="rId3" Type="http://schemas.openxmlformats.org/officeDocument/2006/relationships/chartUserShapes" Target="../drawings/drawing44.xml"/><Relationship Id="rId2" Type="http://schemas.microsoft.com/office/2011/relationships/chartColorStyle" Target="colors43.xml"/><Relationship Id="rId1" Type="http://schemas.microsoft.com/office/2011/relationships/chartStyle" Target="style43.xml"/></Relationships>
</file>

<file path=xl/charts/_rels/chart44.xml.rels><?xml version="1.0" encoding="UTF-8" standalone="yes"?>
<Relationships xmlns="http://schemas.openxmlformats.org/package/2006/relationships"><Relationship Id="rId3" Type="http://schemas.openxmlformats.org/officeDocument/2006/relationships/chartUserShapes" Target="../drawings/drawing45.xml"/><Relationship Id="rId2" Type="http://schemas.microsoft.com/office/2011/relationships/chartColorStyle" Target="colors44.xml"/><Relationship Id="rId1" Type="http://schemas.microsoft.com/office/2011/relationships/chartStyle" Target="style44.xml"/></Relationships>
</file>

<file path=xl/charts/_rels/chart45.xml.rels><?xml version="1.0" encoding="UTF-8" standalone="yes"?>
<Relationships xmlns="http://schemas.openxmlformats.org/package/2006/relationships"><Relationship Id="rId3" Type="http://schemas.openxmlformats.org/officeDocument/2006/relationships/chartUserShapes" Target="../drawings/drawing46.xml"/><Relationship Id="rId2" Type="http://schemas.microsoft.com/office/2011/relationships/chartColorStyle" Target="colors45.xml"/><Relationship Id="rId1" Type="http://schemas.microsoft.com/office/2011/relationships/chartStyle" Target="style45.xml"/></Relationships>
</file>

<file path=xl/charts/_rels/chart46.xml.rels><?xml version="1.0" encoding="UTF-8" standalone="yes"?>
<Relationships xmlns="http://schemas.openxmlformats.org/package/2006/relationships"><Relationship Id="rId3" Type="http://schemas.openxmlformats.org/officeDocument/2006/relationships/chartUserShapes" Target="../drawings/drawing47.xml"/><Relationship Id="rId2" Type="http://schemas.microsoft.com/office/2011/relationships/chartColorStyle" Target="colors46.xml"/><Relationship Id="rId1" Type="http://schemas.microsoft.com/office/2011/relationships/chartStyle" Target="style46.xml"/></Relationships>
</file>

<file path=xl/charts/_rels/chart47.xml.rels><?xml version="1.0" encoding="UTF-8" standalone="yes"?>
<Relationships xmlns="http://schemas.openxmlformats.org/package/2006/relationships"><Relationship Id="rId3" Type="http://schemas.openxmlformats.org/officeDocument/2006/relationships/chartUserShapes" Target="../drawings/drawing48.xml"/><Relationship Id="rId2" Type="http://schemas.microsoft.com/office/2011/relationships/chartColorStyle" Target="colors47.xml"/><Relationship Id="rId1" Type="http://schemas.microsoft.com/office/2011/relationships/chartStyle" Target="style47.xml"/></Relationships>
</file>

<file path=xl/charts/_rels/chart48.xml.rels><?xml version="1.0" encoding="UTF-8" standalone="yes"?>
<Relationships xmlns="http://schemas.openxmlformats.org/package/2006/relationships"><Relationship Id="rId3" Type="http://schemas.openxmlformats.org/officeDocument/2006/relationships/chartUserShapes" Target="../drawings/drawing49.xml"/><Relationship Id="rId2" Type="http://schemas.microsoft.com/office/2011/relationships/chartColorStyle" Target="colors48.xml"/><Relationship Id="rId1" Type="http://schemas.microsoft.com/office/2011/relationships/chartStyle" Target="style48.xml"/></Relationships>
</file>

<file path=xl/charts/_rels/chart49.xml.rels><?xml version="1.0" encoding="UTF-8" standalone="yes"?>
<Relationships xmlns="http://schemas.openxmlformats.org/package/2006/relationships"><Relationship Id="rId3" Type="http://schemas.openxmlformats.org/officeDocument/2006/relationships/chartUserShapes" Target="../drawings/drawing50.xml"/><Relationship Id="rId2" Type="http://schemas.microsoft.com/office/2011/relationships/chartColorStyle" Target="colors49.xml"/><Relationship Id="rId1" Type="http://schemas.microsoft.com/office/2011/relationships/chartStyle" Target="style49.xml"/></Relationships>
</file>

<file path=xl/charts/_rels/chart50.xml.rels><?xml version="1.0" encoding="UTF-8" standalone="yes"?>
<Relationships xmlns="http://schemas.openxmlformats.org/package/2006/relationships"><Relationship Id="rId3" Type="http://schemas.openxmlformats.org/officeDocument/2006/relationships/chartUserShapes" Target="../drawings/drawing52.xml"/><Relationship Id="rId2" Type="http://schemas.microsoft.com/office/2011/relationships/chartColorStyle" Target="colors50.xml"/><Relationship Id="rId1" Type="http://schemas.microsoft.com/office/2011/relationships/chartStyle" Target="style5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extLst>
            <c:ext xmlns:c16="http://schemas.microsoft.com/office/drawing/2014/chart" uri="{C3380CC4-5D6E-409C-BE32-E72D297353CC}">
              <c16:uniqueId val="{00000000-151A-4325-B3EB-C0874B7A121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151A-4325-B3EB-C0874B7A121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CE75-4755-AC53-EF3727AD9EC4}"/>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CE75-4755-AC53-EF3727AD9EC4}"/>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CE75-4755-AC53-EF3727AD9EC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C5DA-4B7E-BC4D-5A73C8CA1A20}"/>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C5DA-4B7E-BC4D-5A73C8CA1A20}"/>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C5DA-4B7E-BC4D-5A73C8CA1A20}"/>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515F-45CA-B1AE-49D8D9A30C56}"/>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515F-45CA-B1AE-49D8D9A30C56}"/>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515F-45CA-B1AE-49D8D9A30C56}"/>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515F-45CA-B1AE-49D8D9A30C56}"/>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50862068"/>
          <c:y val="3.738317757009345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chemeClr val="accent1"/>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E01-4633-BB85-955E1E721574}"/>
            </c:ext>
          </c:extLst>
        </c:ser>
        <c:ser>
          <c:idx val="1"/>
          <c:order val="1"/>
          <c:tx>
            <c:strRef>
              <c:f>ChartsData!$A$28</c:f>
              <c:strCache>
                <c:ptCount val="1"/>
                <c:pt idx="0">
                  <c:v>FCF</c:v>
                </c:pt>
              </c:strCache>
            </c:strRef>
          </c:tx>
          <c:spPr>
            <a:solidFill>
              <a:schemeClr val="accent2"/>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7E01-4633-BB85-955E1E721574}"/>
            </c:ext>
          </c:extLst>
        </c:ser>
        <c:dLbls>
          <c:showLegendKey val="0"/>
          <c:showVal val="0"/>
          <c:showCatName val="0"/>
          <c:showSerName val="0"/>
          <c:showPercent val="0"/>
          <c:showBubbleSize val="0"/>
        </c:dLbls>
        <c:gapWidth val="219"/>
        <c:overlap val="-27"/>
        <c:axId val="788938448"/>
        <c:axId val="788938840"/>
      </c:bar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448"/>
        <c:crosses val="autoZero"/>
        <c:crossBetween val="between"/>
      </c:valAx>
      <c:spPr>
        <a:noFill/>
        <a:ln>
          <a:noFill/>
        </a:ln>
        <a:effectLst/>
      </c:spPr>
    </c:plotArea>
    <c:legend>
      <c:legendPos val="b"/>
      <c:layout>
        <c:manualLayout>
          <c:xMode val="edge"/>
          <c:yMode val="edge"/>
          <c:x val="0.20151364295628862"/>
          <c:y val="0.90879799838104347"/>
          <c:w val="0.60628743997227585"/>
          <c:h val="6.3691390787752461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CF18-432B-9A19-D5261AE78EEF}"/>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CF18-432B-9A19-D5261AE78EEF}"/>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CF18-432B-9A19-D5261AE78EEF}"/>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F18-432B-9A19-D5261AE78EEF}"/>
                </c:ext>
              </c:extLst>
            </c:dLbl>
            <c:dLbl>
              <c:idx val="2"/>
              <c:delete val="1"/>
              <c:extLst>
                <c:ext xmlns:c15="http://schemas.microsoft.com/office/drawing/2012/chart" uri="{CE6537A1-D6FC-4f65-9D91-7224C49458BB}"/>
                <c:ext xmlns:c16="http://schemas.microsoft.com/office/drawing/2014/chart" uri="{C3380CC4-5D6E-409C-BE32-E72D297353CC}">
                  <c16:uniqueId val="{00000004-CF18-432B-9A19-D5261AE78EEF}"/>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CF18-432B-9A19-D5261AE78EEF}"/>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61B8-4350-A8CE-5EDCD7E14F5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61B8-4350-A8CE-5EDCD7E14F5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chemeClr val="accent2"/>
              </a:solidFill>
              <a:round/>
            </a:ln>
            <a:effectLst/>
          </c:spPr>
          <c:marker>
            <c:symbol val="none"/>
          </c:marker>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ChartsData!$B$37:$K$37</c:f>
              <c:numCache>
                <c:formatCode>0</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61B8-4350-A8CE-5EDCD7E14F5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40976"/>
        <c:crosses val="max"/>
        <c:crossBetween val="between"/>
      </c:valAx>
      <c:dateAx>
        <c:axId val="723040976"/>
        <c:scaling>
          <c:orientation val="minMax"/>
        </c:scaling>
        <c:delete val="1"/>
        <c:axPos val="b"/>
        <c:numFmt formatCode="[$-409]mmm/yy;@" sourceLinked="1"/>
        <c:majorTickMark val="out"/>
        <c:minorTickMark val="none"/>
        <c:tickLblPos val="nextTo"/>
        <c:crossAx val="723037056"/>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CAFE-437D-B044-F33293BA4509}"/>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CAFE-437D-B044-F33293BA4509}"/>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CAFE-437D-B044-F33293BA4509}"/>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CAFE-437D-B044-F33293BA4509}"/>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CAFE-437D-B044-F33293BA4509}"/>
            </c:ext>
          </c:extLst>
        </c:ser>
        <c:ser>
          <c:idx val="3"/>
          <c:order val="5"/>
          <c:tx>
            <c:strRef>
              <c:f>'Screener Output'!$A$30</c:f>
              <c:strCache>
                <c:ptCount val="1"/>
                <c:pt idx="0">
                  <c:v> Net profit </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CAFE-437D-B044-F33293BA4509}"/>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4A3-4AEE-A000-5869425FE3FE}"/>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74A3-4AEE-A000-5869425FE3FE}"/>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74A3-4AEE-A000-5869425FE3FE}"/>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74A3-4AEE-A000-5869425FE3FE}"/>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74A3-4AEE-A000-5869425FE3FE}"/>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19663573085846867"/>
          <c:y val="2.088772845953002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4B93-4498-A9EB-718B50264320}"/>
            </c:ext>
          </c:extLst>
        </c:ser>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4B93-4498-A9EB-718B50264320}"/>
            </c:ext>
          </c:extLst>
        </c:ser>
        <c:ser>
          <c:idx val="2"/>
          <c:order val="2"/>
          <c:tx>
            <c:strRef>
              <c:f>'Screener Output'!$A$59</c:f>
              <c:strCache>
                <c:ptCount val="1"/>
                <c:pt idx="0">
                  <c:v> PRICE: </c:v>
                </c:pt>
              </c:strCache>
            </c:strRef>
          </c:tx>
          <c:spPr>
            <a:ln w="28575" cap="rnd">
              <a:solidFill>
                <a:schemeClr val="tx1"/>
              </a:solidFill>
              <a:round/>
            </a:ln>
            <a:effectLst/>
          </c:spPr>
          <c:marker>
            <c:symbol val="none"/>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4B93-4498-A9EB-718B50264320}"/>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4B93-4498-A9EB-718B50264320}"/>
            </c:ext>
          </c:extLst>
        </c:ser>
        <c:ser>
          <c:idx val="3"/>
          <c:order val="3"/>
          <c:tx>
            <c:strRef>
              <c:f>'Screener Output'!$A$36</c:f>
              <c:strCache>
                <c:ptCount val="1"/>
                <c:pt idx="0">
                  <c:v> Reserves </c:v>
                </c:pt>
              </c:strCache>
            </c:strRef>
          </c:tx>
          <c:spPr>
            <a:ln w="28575" cap="rnd">
              <a:solidFill>
                <a:srgbClr val="00B05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4B93-4498-A9EB-718B50264320}"/>
            </c:ext>
          </c:extLst>
        </c:ser>
        <c:ser>
          <c:idx val="5"/>
          <c:order val="5"/>
          <c:tx>
            <c:v>PAT</c:v>
          </c:tx>
          <c:spPr>
            <a:ln w="28575" cap="rnd">
              <a:solidFill>
                <a:srgbClr val="7030A0"/>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4B93-4498-A9EB-718B50264320}"/>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4B93-4498-A9EB-718B5026432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4B93-4498-A9EB-718B50264320}"/>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DD5F-4988-94BF-FEA923A4123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DD5F-4988-94BF-FEA923A4123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Number</a:t>
            </a:r>
            <a:r>
              <a:rPr lang="en-US" b="1" baseline="0"/>
              <a:t> of shares (cr) and EPS </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9C86-4CC1-984C-E294EF4074F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9C86-4CC1-984C-E294EF4074F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9C86-4CC1-984C-E294EF4074F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cPAT  vs  cCFO</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 (2)'!$A$7:$A$8</c:f>
              <c:strCache>
                <c:ptCount val="2"/>
                <c:pt idx="0">
                  <c:v>cPAT</c:v>
                </c:pt>
                <c:pt idx="1">
                  <c:v>cCFO</c:v>
                </c:pt>
              </c:strCache>
            </c:strRef>
          </c:cat>
          <c:val>
            <c:numRef>
              <c:f>'ChartReport (2)'!$B$7:$B$8</c:f>
              <c:numCache>
                <c:formatCode>0</c:formatCode>
                <c:ptCount val="2"/>
                <c:pt idx="0">
                  <c:v>318861.18</c:v>
                </c:pt>
                <c:pt idx="1">
                  <c:v>314783.78000000003</c:v>
                </c:pt>
              </c:numCache>
            </c:numRef>
          </c:val>
          <c:extLst>
            <c:ext xmlns:c16="http://schemas.microsoft.com/office/drawing/2014/chart" uri="{C3380CC4-5D6E-409C-BE32-E72D297353CC}">
              <c16:uniqueId val="{00000000-0749-442B-9943-4B49819B8F2E}"/>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Profit vs Sales  CAGR 10yrs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'ChartReport (2)'!$A$13:$A$14</c:f>
              <c:strCache>
                <c:ptCount val="2"/>
                <c:pt idx="0">
                  <c:v>Profit CAGR</c:v>
                </c:pt>
                <c:pt idx="1">
                  <c:v>Sales CAGR</c:v>
                </c:pt>
              </c:strCache>
            </c:strRef>
          </c:cat>
          <c:val>
            <c:numRef>
              <c:f>'ChartReport (2)'!$B$13:$B$14</c:f>
              <c:numCache>
                <c:formatCode>0%</c:formatCode>
                <c:ptCount val="2"/>
                <c:pt idx="0">
                  <c:v>9.762338731633835E-2</c:v>
                </c:pt>
                <c:pt idx="1">
                  <c:v>0.10937655677242297</c:v>
                </c:pt>
              </c:numCache>
            </c:numRef>
          </c:val>
          <c:extLst>
            <c:ext xmlns:c16="http://schemas.microsoft.com/office/drawing/2014/chart" uri="{C3380CC4-5D6E-409C-BE32-E72D297353CC}">
              <c16:uniqueId val="{00000000-8545-4DF4-947A-30CC59E817A2}"/>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C83C-C246-B48C-7C40C52B4FB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83C-C246-B48C-7C40C52B4FB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118-4ABA-9339-77EEC81DC73E}"/>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118-4ABA-9339-77EEC81DC73E}"/>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0-DA5F-2746-AEB4-5ADDEA475B84}"/>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0-4C56-4264-B278-DA3544F876D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56-4BEE-93A3-2E2983257535}"/>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56-4BEE-93A3-2E2983257535}"/>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0-7B26-1F46-8E05-62ACD9950CD1}"/>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26E1-4347-B20E-A510AB943424}"/>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26E1-4347-B20E-A510AB943424}"/>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26E1-4347-B20E-A510AB943424}"/>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0-33A9-A141-A952-C07CDD1B3BCF}"/>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44444446"/>
          <c:y val="1.257079271614526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rgbClr val="00B050"/>
            </a:solidFill>
            <a:ln>
              <a:solidFill>
                <a:srgbClr val="00B05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10E8-4AF9-9F83-7D71D7A3DA33}"/>
            </c:ext>
          </c:extLst>
        </c:ser>
        <c:ser>
          <c:idx val="1"/>
          <c:order val="1"/>
          <c:tx>
            <c:strRef>
              <c:f>ChartsData!$A$28</c:f>
              <c:strCache>
                <c:ptCount val="1"/>
                <c:pt idx="0">
                  <c:v>FCF</c:v>
                </c:pt>
              </c:strCache>
            </c:strRef>
          </c:tx>
          <c:spPr>
            <a:solidFill>
              <a:srgbClr val="0070C0"/>
            </a:solidFill>
            <a:ln>
              <a:solidFill>
                <a:srgbClr val="0070C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10E8-4AF9-9F83-7D71D7A3DA33}"/>
            </c:ext>
          </c:extLst>
        </c:ser>
        <c:ser>
          <c:idx val="2"/>
          <c:order val="2"/>
          <c:tx>
            <c:strRef>
              <c:f>ChartsData!$A$29</c:f>
              <c:strCache>
                <c:ptCount val="1"/>
                <c:pt idx="0">
                  <c:v>FCF(=CFO+CFI)</c:v>
                </c:pt>
              </c:strCache>
            </c:strRef>
          </c:tx>
          <c:spPr>
            <a:solidFill>
              <a:schemeClr val="accent3"/>
            </a:solidFill>
            <a:ln>
              <a:noFill/>
            </a:ln>
            <a:effectLst/>
          </c:spPr>
          <c:invertIfNegative val="0"/>
          <c:val>
            <c:numRef>
              <c:f>ChartsData!$B$29:$K$29</c:f>
              <c:numCache>
                <c:formatCode>_ * #,##0_ ;_ * \-#,##0_ ;_ * "-"??_ ;_ @_ </c:formatCode>
                <c:ptCount val="10"/>
                <c:pt idx="0">
                  <c:v>17561.64</c:v>
                </c:pt>
                <c:pt idx="1">
                  <c:v>14099</c:v>
                </c:pt>
                <c:pt idx="2">
                  <c:v>8328</c:v>
                </c:pt>
                <c:pt idx="3">
                  <c:v>28171</c:v>
                </c:pt>
                <c:pt idx="4">
                  <c:v>30238</c:v>
                </c:pt>
                <c:pt idx="5">
                  <c:v>41337</c:v>
                </c:pt>
                <c:pt idx="6">
                  <c:v>30846</c:v>
                </c:pt>
                <c:pt idx="7">
                  <c:v>39211</c:v>
                </c:pt>
                <c:pt idx="8">
                  <c:v>42513</c:v>
                </c:pt>
                <c:pt idx="9">
                  <c:v>50364</c:v>
                </c:pt>
              </c:numCache>
            </c:numRef>
          </c:val>
          <c:extLst>
            <c:ext xmlns:c16="http://schemas.microsoft.com/office/drawing/2014/chart" uri="{C3380CC4-5D6E-409C-BE32-E72D297353CC}">
              <c16:uniqueId val="{00000000-0E78-44CD-B8F6-3B5E39580D69}"/>
            </c:ext>
          </c:extLst>
        </c:ser>
        <c:dLbls>
          <c:showLegendKey val="0"/>
          <c:showVal val="0"/>
          <c:showCatName val="0"/>
          <c:showSerName val="0"/>
          <c:showPercent val="0"/>
          <c:showBubbleSize val="0"/>
        </c:dLbls>
        <c:gapWidth val="219"/>
        <c:axId val="788938448"/>
        <c:axId val="788938840"/>
      </c:barChart>
      <c:lineChart>
        <c:grouping val="standard"/>
        <c:varyColors val="0"/>
        <c:ser>
          <c:idx val="3"/>
          <c:order val="3"/>
          <c:tx>
            <c:strRef>
              <c:f>ChartsData!$A$79</c:f>
              <c:strCache>
                <c:ptCount val="1"/>
                <c:pt idx="0">
                  <c:v>FCF as % of Sales</c:v>
                </c:pt>
              </c:strCache>
            </c:strRef>
          </c:tx>
          <c:spPr>
            <a:ln w="28575" cap="rnd">
              <a:solidFill>
                <a:srgbClr val="FF6699"/>
              </a:solidFill>
              <a:round/>
            </a:ln>
            <a:effectLst/>
          </c:spPr>
          <c:marker>
            <c:symbol val="none"/>
          </c:marker>
          <c:val>
            <c:numRef>
              <c:f>ChartsData!$B$84:$K$84</c:f>
              <c:numCache>
                <c:formatCode>0%</c:formatCode>
                <c:ptCount val="10"/>
                <c:pt idx="0">
                  <c:v>0.18554606464070553</c:v>
                </c:pt>
                <c:pt idx="1">
                  <c:v>0.12977007897207443</c:v>
                </c:pt>
                <c:pt idx="2">
                  <c:v>7.0596612583286714E-2</c:v>
                </c:pt>
                <c:pt idx="3">
                  <c:v>0.22883903041330908</c:v>
                </c:pt>
                <c:pt idx="4">
                  <c:v>0.20645487256167086</c:v>
                </c:pt>
                <c:pt idx="5">
                  <c:v>0.26337854971997271</c:v>
                </c:pt>
                <c:pt idx="6">
                  <c:v>0.18788259013138259</c:v>
                </c:pt>
                <c:pt idx="7">
                  <c:v>0.20448595596441274</c:v>
                </c:pt>
                <c:pt idx="8">
                  <c:v>0.18856283653718209</c:v>
                </c:pt>
                <c:pt idx="9">
                  <c:v>0.20907207764443134</c:v>
                </c:pt>
              </c:numCache>
            </c:numRef>
          </c:val>
          <c:smooth val="0"/>
          <c:extLst>
            <c:ext xmlns:c16="http://schemas.microsoft.com/office/drawing/2014/chart" uri="{C3380CC4-5D6E-409C-BE32-E72D297353CC}">
              <c16:uniqueId val="{00000001-0E78-44CD-B8F6-3B5E39580D69}"/>
            </c:ext>
          </c:extLst>
        </c:ser>
        <c:ser>
          <c:idx val="4"/>
          <c:order val="4"/>
          <c:tx>
            <c:strRef>
              <c:f>ChartsData!$A$85</c:f>
              <c:strCache>
                <c:ptCount val="1"/>
                <c:pt idx="0">
                  <c:v>%CFO to revenue</c:v>
                </c:pt>
              </c:strCache>
            </c:strRef>
          </c:tx>
          <c:spPr>
            <a:ln w="28575" cap="rnd">
              <a:solidFill>
                <a:schemeClr val="accent5"/>
              </a:solidFill>
              <a:round/>
            </a:ln>
            <a:effectLst/>
          </c:spPr>
          <c:marker>
            <c:symbol val="none"/>
          </c:marker>
          <c:val>
            <c:numRef>
              <c:f>ChartsData!$B$85:$K$85</c:f>
              <c:numCache>
                <c:formatCode>0%</c:formatCode>
                <c:ptCount val="10"/>
                <c:pt idx="0">
                  <c:v>0.20463925384483478</c:v>
                </c:pt>
                <c:pt idx="1">
                  <c:v>0.17588314341991421</c:v>
                </c:pt>
                <c:pt idx="2">
                  <c:v>0.21381584524354474</c:v>
                </c:pt>
                <c:pt idx="3">
                  <c:v>0.20362457759292957</c:v>
                </c:pt>
                <c:pt idx="4">
                  <c:v>0.19522336699371173</c:v>
                </c:pt>
                <c:pt idx="5">
                  <c:v>0.20623896934673047</c:v>
                </c:pt>
                <c:pt idx="6">
                  <c:v>0.23634248402638616</c:v>
                </c:pt>
                <c:pt idx="7">
                  <c:v>0.20833463708710118</c:v>
                </c:pt>
                <c:pt idx="8">
                  <c:v>0.18613222861907761</c:v>
                </c:pt>
                <c:pt idx="9">
                  <c:v>0.18405682190848219</c:v>
                </c:pt>
              </c:numCache>
            </c:numRef>
          </c:val>
          <c:smooth val="0"/>
          <c:extLst>
            <c:ext xmlns:c16="http://schemas.microsoft.com/office/drawing/2014/chart" uri="{C3380CC4-5D6E-409C-BE32-E72D297353CC}">
              <c16:uniqueId val="{00000000-691C-4F4B-89C1-2536D34ECDD9}"/>
            </c:ext>
          </c:extLst>
        </c:ser>
        <c:dLbls>
          <c:showLegendKey val="0"/>
          <c:showVal val="0"/>
          <c:showCatName val="0"/>
          <c:showSerName val="0"/>
          <c:showPercent val="0"/>
          <c:showBubbleSize val="0"/>
        </c:dLbls>
        <c:marker val="1"/>
        <c:smooth val="0"/>
        <c:axId val="1538386239"/>
        <c:axId val="1538384799"/>
      </c:line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b"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448"/>
        <c:crosses val="autoZero"/>
        <c:crossBetween val="between"/>
      </c:valAx>
      <c:valAx>
        <c:axId val="1538384799"/>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1538386239"/>
        <c:crosses val="max"/>
        <c:crossBetween val="between"/>
      </c:valAx>
      <c:catAx>
        <c:axId val="1538386239"/>
        <c:scaling>
          <c:orientation val="minMax"/>
        </c:scaling>
        <c:delete val="1"/>
        <c:axPos val="b"/>
        <c:majorTickMark val="out"/>
        <c:minorTickMark val="none"/>
        <c:tickLblPos val="nextTo"/>
        <c:crossAx val="1538384799"/>
        <c:crosses val="autoZero"/>
        <c:auto val="1"/>
        <c:lblAlgn val="ctr"/>
        <c:lblOffset val="100"/>
        <c:noMultiLvlLbl val="0"/>
      </c:catAx>
      <c:spPr>
        <a:noFill/>
        <a:ln>
          <a:noFill/>
        </a:ln>
        <a:effectLst/>
      </c:spPr>
    </c:plotArea>
    <c:legend>
      <c:legendPos val="b"/>
      <c:layout>
        <c:manualLayout>
          <c:xMode val="edge"/>
          <c:yMode val="edge"/>
          <c:x val="1.3365555555555558E-2"/>
          <c:y val="0.90879799838104347"/>
          <c:w val="0.9"/>
          <c:h val="5.316041666666666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149A-E64C-B798-74E7D9367B1E}"/>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149A-E64C-B798-74E7D9367B1E}"/>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0-0047-4A12-A6A9-6C911F1F24B7}"/>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047-4A12-A6A9-6C911F1F24B7}"/>
                </c:ext>
              </c:extLst>
            </c:dLbl>
            <c:dLbl>
              <c:idx val="2"/>
              <c:delete val="1"/>
              <c:extLst>
                <c:ext xmlns:c15="http://schemas.microsoft.com/office/drawing/2012/chart" uri="{CE6537A1-D6FC-4f65-9D91-7224C49458BB}"/>
                <c:ext xmlns:c16="http://schemas.microsoft.com/office/drawing/2014/chart" uri="{C3380CC4-5D6E-409C-BE32-E72D297353CC}">
                  <c16:uniqueId val="{00000002-0047-4A12-A6A9-6C911F1F24B7}"/>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2-149A-E64C-B798-74E7D9367B1E}"/>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13BB-7F4B-86F2-1CC5E626986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13BB-7F4B-86F2-1CC5E626986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13BB-7F4B-86F2-1CC5E626986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0-FC78-4DE7-B368-254779C18988}"/>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6981-404C-A2FD-0ED41A2D043B}"/>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0-D629-403A-BD0E-0EB73BBAD53B}"/>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1-6981-404C-A2FD-0ED41A2D043B}"/>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D629-403A-BD0E-0EB73BBAD53B}"/>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1-D629-403A-BD0E-0EB73BBAD53B}"/>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2-6981-404C-A2FD-0ED41A2D043B}"/>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3-6981-404C-A2FD-0ED41A2D043B}"/>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4-6981-404C-A2FD-0ED41A2D043B}"/>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5-6981-404C-A2FD-0ED41A2D043B}"/>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2-D629-403A-BD0E-0EB73BBAD53B}"/>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4-D629-403A-BD0E-0EB73BBAD53B}"/>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5-D629-403A-BD0E-0EB73BBAD53B}"/>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6-D629-403A-BD0E-0EB73BBAD53B}"/>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7-D629-403A-BD0E-0EB73BBAD53B}"/>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8-D629-403A-BD0E-0EB73BBAD53B}"/>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2C56-4BEE-93A3-2E2983257535}"/>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0-D605-0344-9680-7C6CAF9E7827}"/>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1-D605-0344-9680-7C6CAF9E7827}"/>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2-D605-0344-9680-7C6CAF9E7827}"/>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3-D605-0344-9680-7C6CAF9E7827}"/>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078B-C247-9E96-25A15DE7F4F8}"/>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078B-C247-9E96-25A15DE7F4F8}"/>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C310-48C3-906B-E2CAA6C4720D}"/>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2-078B-C247-9E96-25A15DE7F4F8}"/>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3-078B-C247-9E96-25A15DE7F4F8}"/>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4-078B-C247-9E96-25A15DE7F4F8}"/>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C310-48C3-906B-E2CAA6C4720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5-078B-C247-9E96-25A15DE7F4F8}"/>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7032000000000006"/>
          <c:y val="6.6191992084147422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CF22-4987-99DA-9CBA4B49098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CF22-4987-99DA-9CBA4B49098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386E-49E3-B135-9C23FDA4EF8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3-386E-49E3-B135-9C23FDA4EF8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1-386E-49E3-B135-9C23FDA4EF8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1-7B74-7240-819E-463BF2A4C8A2}"/>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1-F47F-0D41-8FFA-EA17F069F6B5}"/>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AA83-4966-8C5A-606A98CB5913}"/>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AA83-4966-8C5A-606A98CB5913}"/>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AA83-4966-8C5A-606A98CB5913}"/>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AA83-4966-8C5A-606A98CB5913}"/>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AA83-4966-8C5A-606A98CB5913}"/>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AA83-4966-8C5A-606A98CB5913}"/>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9C2C-43F4-8683-8071910785DD}"/>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084A-4A1A-95BD-B4CCCEF48FE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3CB2-4C4B-8279-0B78C1937A6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3E6C-4F64-B0F1-4ADB24C3BDE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3E6C-4F64-B0F1-4ADB24C3BDE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438-47E0-A174-1E78FCED7D2B}"/>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438-47E0-A174-1E78FCED7D2B}"/>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6438-47E0-A174-1E78FCED7D2B}"/>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3-6438-47E0-A174-1E78FCED7D2B}"/>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610D-4AB7-B29F-0E4E2CE856A2}"/>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610D-4AB7-B29F-0E4E2CE856A2}"/>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610D-4AB7-B29F-0E4E2CE856A2}"/>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610D-4AB7-B29F-0E4E2CE856A2}"/>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610D-4AB7-B29F-0E4E2CE856A2}"/>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E740-46C0-BF54-45055064C245}"/>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E740-46C0-BF54-45055064C245}"/>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E740-46C0-BF54-45055064C245}"/>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E740-46C0-BF54-45055064C245}"/>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8609993557135888E-2"/>
          <c:y val="0.88267214847879727"/>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9E2F-45E1-AA04-5D942CBB68B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9E2F-45E1-AA04-5D942CBB68B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9E2F-45E1-AA04-5D942CBB68B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3-9E2F-45E1-AA04-5D942CBB68B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F5-4CF3-B046-FD7EF1F888E9}"/>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F5-4CF3-B046-FD7EF1F888E9}"/>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2CF5-4CF3-B046-FD7EF1F888E9}"/>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2614475646835833"/>
          <c:y val="1.2761067452329107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15F9-4E07-9913-4B1CA9353220}"/>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15F9-4E07-9913-4B1CA9353220}"/>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4006-4654-87FF-B1F9043E2F32}"/>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4006-4654-87FF-B1F9043E2F32}"/>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4006-4654-87FF-B1F9043E2F32}"/>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0-7928-44A3-9C17-043B5ED94CC3}"/>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0-9112-4359-A3FA-2B0342A609CC}"/>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9994-422A-B3FB-5C90DEFE0C61}"/>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0B18-400C-80A7-1401CFB66A56}"/>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5C2E-4AA4-B8F4-6331B9C724B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7BE1-465D-B917-2C1436180707}"/>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7BE1-465D-B917-2C1436180707}"/>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7BE1-465D-B917-2C1436180707}"/>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7BE1-465D-B917-2C1436180707}"/>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7BE1-465D-B917-2C1436180707}"/>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7BE1-465D-B917-2C1436180707}"/>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C38E-47E7-9A60-2A1D76B037B9}"/>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38E-47E7-9A60-2A1D76B037B9}"/>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C38E-47E7-9A60-2A1D76B037B9}"/>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C38E-47E7-9A60-2A1D76B037B9}"/>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C38E-47E7-9A60-2A1D76B037B9}"/>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C38E-47E7-9A60-2A1D76B037B9}"/>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C38E-47E7-9A60-2A1D76B037B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C38E-47E7-9A60-2A1D76B037B9}"/>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4157-45C9-8B76-3B90DCE271D6}"/>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1-4157-45C9-8B76-3B90DCE271D6}"/>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2-4157-45C9-8B76-3B90DCE271D6}"/>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4157-45C9-8B76-3B90DCE271D6}"/>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4-4157-45C9-8B76-3B90DCE271D6}"/>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5-4157-45C9-8B76-3B90DCE271D6}"/>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6-4157-45C9-8B76-3B90DCE271D6}"/>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7-4157-45C9-8B76-3B90DCE271D6}"/>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8-4157-45C9-8B76-3B90DCE271D6}"/>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9-4157-45C9-8B76-3B90DCE271D6}"/>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A-4157-45C9-8B76-3B90DCE271D6}"/>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B-4157-45C9-8B76-3B90DCE271D6}"/>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C-4157-45C9-8B76-3B90DCE271D6}"/>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D-4157-45C9-8B76-3B90DCE271D6}"/>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E-4157-45C9-8B76-3B90DCE271D6}"/>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92D-4F5F-8B83-BA5704B90F38}"/>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92D-4F5F-8B83-BA5704B90F38}"/>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92D-4F5F-8B83-BA5704B90F38}"/>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92D-4F5F-8B83-BA5704B90F38}"/>
                </c:ext>
              </c:extLst>
            </c:dLbl>
            <c:dLbl>
              <c:idx val="2"/>
              <c:delete val="1"/>
              <c:extLst>
                <c:ext xmlns:c15="http://schemas.microsoft.com/office/drawing/2012/chart" uri="{CE6537A1-D6FC-4f65-9D91-7224C49458BB}"/>
                <c:ext xmlns:c16="http://schemas.microsoft.com/office/drawing/2014/chart" uri="{C3380CC4-5D6E-409C-BE32-E72D297353CC}">
                  <c16:uniqueId val="{00000004-392D-4F5F-8B83-BA5704B90F38}"/>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92D-4F5F-8B83-BA5704B90F38}"/>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855-40E4-A53B-C1E9064B5A6B}"/>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855-40E4-A53B-C1E9064B5A6B}"/>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855-40E4-A53B-C1E9064B5A6B}"/>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855-40E4-A53B-C1E9064B5A6B}"/>
                </c:ext>
              </c:extLst>
            </c:dLbl>
            <c:dLbl>
              <c:idx val="2"/>
              <c:delete val="1"/>
              <c:extLst>
                <c:ext xmlns:c15="http://schemas.microsoft.com/office/drawing/2012/chart" uri="{CE6537A1-D6FC-4f65-9D91-7224C49458BB}"/>
                <c:ext xmlns:c16="http://schemas.microsoft.com/office/drawing/2014/chart" uri="{C3380CC4-5D6E-409C-BE32-E72D297353CC}">
                  <c16:uniqueId val="{00000004-3855-40E4-A53B-C1E9064B5A6B}"/>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855-40E4-A53B-C1E9064B5A6B}"/>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s>
</file>

<file path=xl/drawings/_rels/drawing14.xml.rels><?xml version="1.0" encoding="UTF-8" standalone="yes"?>
<Relationships xmlns="http://schemas.openxmlformats.org/package/2006/relationships"><Relationship Id="rId8" Type="http://schemas.openxmlformats.org/officeDocument/2006/relationships/chart" Target="../charts/chart22.xml"/><Relationship Id="rId13" Type="http://schemas.openxmlformats.org/officeDocument/2006/relationships/chart" Target="../charts/chart27.xml"/><Relationship Id="rId18" Type="http://schemas.openxmlformats.org/officeDocument/2006/relationships/image" Target="../media/image2.png"/><Relationship Id="rId3" Type="http://schemas.openxmlformats.org/officeDocument/2006/relationships/chart" Target="../charts/chart17.xml"/><Relationship Id="rId7" Type="http://schemas.openxmlformats.org/officeDocument/2006/relationships/chart" Target="../charts/chart21.xml"/><Relationship Id="rId12" Type="http://schemas.openxmlformats.org/officeDocument/2006/relationships/chart" Target="../charts/chart26.xml"/><Relationship Id="rId17" Type="http://schemas.openxmlformats.org/officeDocument/2006/relationships/chart" Target="../charts/chart31.xml"/><Relationship Id="rId2" Type="http://schemas.openxmlformats.org/officeDocument/2006/relationships/chart" Target="../charts/chart16.xml"/><Relationship Id="rId16" Type="http://schemas.openxmlformats.org/officeDocument/2006/relationships/chart" Target="../charts/chart30.xml"/><Relationship Id="rId1" Type="http://schemas.openxmlformats.org/officeDocument/2006/relationships/chart" Target="../charts/chart15.xml"/><Relationship Id="rId6" Type="http://schemas.openxmlformats.org/officeDocument/2006/relationships/chart" Target="../charts/chart20.xml"/><Relationship Id="rId11" Type="http://schemas.openxmlformats.org/officeDocument/2006/relationships/chart" Target="../charts/chart25.xml"/><Relationship Id="rId5" Type="http://schemas.openxmlformats.org/officeDocument/2006/relationships/chart" Target="../charts/chart19.xml"/><Relationship Id="rId15" Type="http://schemas.openxmlformats.org/officeDocument/2006/relationships/chart" Target="../charts/chart29.xml"/><Relationship Id="rId10" Type="http://schemas.openxmlformats.org/officeDocument/2006/relationships/chart" Target="../charts/chart24.xml"/><Relationship Id="rId19" Type="http://schemas.openxmlformats.org/officeDocument/2006/relationships/chart" Target="../charts/chart32.xml"/><Relationship Id="rId4" Type="http://schemas.openxmlformats.org/officeDocument/2006/relationships/chart" Target="../charts/chart18.xml"/><Relationship Id="rId9" Type="http://schemas.openxmlformats.org/officeDocument/2006/relationships/chart" Target="../charts/chart23.xml"/><Relationship Id="rId14" Type="http://schemas.openxmlformats.org/officeDocument/2006/relationships/chart" Target="../charts/chart28.xml"/></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8" Type="http://schemas.openxmlformats.org/officeDocument/2006/relationships/chart" Target="../charts/chart40.xml"/><Relationship Id="rId13" Type="http://schemas.openxmlformats.org/officeDocument/2006/relationships/chart" Target="../charts/chart45.xml"/><Relationship Id="rId3" Type="http://schemas.openxmlformats.org/officeDocument/2006/relationships/chart" Target="../charts/chart35.xml"/><Relationship Id="rId7" Type="http://schemas.openxmlformats.org/officeDocument/2006/relationships/chart" Target="../charts/chart39.xml"/><Relationship Id="rId12" Type="http://schemas.openxmlformats.org/officeDocument/2006/relationships/chart" Target="../charts/chart44.xml"/><Relationship Id="rId17" Type="http://schemas.openxmlformats.org/officeDocument/2006/relationships/chart" Target="../charts/chart49.xml"/><Relationship Id="rId2" Type="http://schemas.openxmlformats.org/officeDocument/2006/relationships/chart" Target="../charts/chart34.xml"/><Relationship Id="rId16" Type="http://schemas.openxmlformats.org/officeDocument/2006/relationships/chart" Target="../charts/chart48.xml"/><Relationship Id="rId1" Type="http://schemas.openxmlformats.org/officeDocument/2006/relationships/chart" Target="../charts/chart33.xml"/><Relationship Id="rId6" Type="http://schemas.openxmlformats.org/officeDocument/2006/relationships/chart" Target="../charts/chart38.xml"/><Relationship Id="rId11" Type="http://schemas.openxmlformats.org/officeDocument/2006/relationships/chart" Target="../charts/chart43.xml"/><Relationship Id="rId5" Type="http://schemas.openxmlformats.org/officeDocument/2006/relationships/chart" Target="../charts/chart37.xml"/><Relationship Id="rId15" Type="http://schemas.openxmlformats.org/officeDocument/2006/relationships/chart" Target="../charts/chart47.xml"/><Relationship Id="rId10" Type="http://schemas.openxmlformats.org/officeDocument/2006/relationships/chart" Target="../charts/chart42.xml"/><Relationship Id="rId4" Type="http://schemas.openxmlformats.org/officeDocument/2006/relationships/chart" Target="../charts/chart36.xml"/><Relationship Id="rId9" Type="http://schemas.openxmlformats.org/officeDocument/2006/relationships/chart" Target="../charts/chart41.xml"/><Relationship Id="rId14" Type="http://schemas.openxmlformats.org/officeDocument/2006/relationships/chart" Target="../charts/chart46.xml"/></Relationships>
</file>

<file path=xl/drawings/_rels/drawing34.xml.rels><?xml version="1.0" encoding="UTF-8" standalone="yes"?>
<Relationships xmlns="http://schemas.openxmlformats.org/package/2006/relationships"><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1" Type="http://schemas.openxmlformats.org/officeDocument/2006/relationships/image" Target="../media/image2.png"/></Relationships>
</file>

<file path=xl/drawings/_rels/drawing38.xml.rels><?xml version="1.0" encoding="UTF-8" standalone="yes"?>
<Relationships xmlns="http://schemas.openxmlformats.org/package/2006/relationships"><Relationship Id="rId1" Type="http://schemas.openxmlformats.org/officeDocument/2006/relationships/image" Target="../media/image2.png"/></Relationships>
</file>

<file path=xl/drawings/_rels/drawing39.xml.rels><?xml version="1.0" encoding="UTF-8" standalone="yes"?>
<Relationships xmlns="http://schemas.openxmlformats.org/package/2006/relationships"><Relationship Id="rId1" Type="http://schemas.openxmlformats.org/officeDocument/2006/relationships/image" Target="../media/image2.png"/></Relationships>
</file>

<file path=xl/drawings/_rels/drawing40.xml.rels><?xml version="1.0" encoding="UTF-8" standalone="yes"?>
<Relationships xmlns="http://schemas.openxmlformats.org/package/2006/relationships"><Relationship Id="rId1" Type="http://schemas.openxmlformats.org/officeDocument/2006/relationships/image" Target="../media/image2.png"/></Relationships>
</file>

<file path=xl/drawings/_rels/drawing41.xml.rels><?xml version="1.0" encoding="UTF-8" standalone="yes"?>
<Relationships xmlns="http://schemas.openxmlformats.org/package/2006/relationships"><Relationship Id="rId1" Type="http://schemas.openxmlformats.org/officeDocument/2006/relationships/image" Target="../media/image2.png"/></Relationships>
</file>

<file path=xl/drawings/_rels/drawing42.xml.rels><?xml version="1.0" encoding="UTF-8" standalone="yes"?>
<Relationships xmlns="http://schemas.openxmlformats.org/package/2006/relationships"><Relationship Id="rId1" Type="http://schemas.openxmlformats.org/officeDocument/2006/relationships/image" Target="../media/image2.png"/></Relationships>
</file>

<file path=xl/drawings/_rels/drawing4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4.xml.rels><?xml version="1.0" encoding="UTF-8" standalone="yes"?>
<Relationships xmlns="http://schemas.openxmlformats.org/package/2006/relationships"><Relationship Id="rId1" Type="http://schemas.openxmlformats.org/officeDocument/2006/relationships/image" Target="../media/image2.png"/></Relationships>
</file>

<file path=xl/drawings/_rels/drawing45.xml.rels><?xml version="1.0" encoding="UTF-8" standalone="yes"?>
<Relationships xmlns="http://schemas.openxmlformats.org/package/2006/relationships"><Relationship Id="rId1" Type="http://schemas.openxmlformats.org/officeDocument/2006/relationships/image" Target="../media/image2.png"/></Relationships>
</file>

<file path=xl/drawings/_rels/drawing46.xml.rels><?xml version="1.0" encoding="UTF-8" standalone="yes"?>
<Relationships xmlns="http://schemas.openxmlformats.org/package/2006/relationships"><Relationship Id="rId1" Type="http://schemas.openxmlformats.org/officeDocument/2006/relationships/image" Target="../media/image2.png"/></Relationships>
</file>

<file path=xl/drawings/_rels/drawing47.xml.rels><?xml version="1.0" encoding="UTF-8" standalone="yes"?>
<Relationships xmlns="http://schemas.openxmlformats.org/package/2006/relationships"><Relationship Id="rId1" Type="http://schemas.openxmlformats.org/officeDocument/2006/relationships/image" Target="../media/image2.png"/></Relationships>
</file>

<file path=xl/drawings/_rels/drawing48.xml.rels><?xml version="1.0" encoding="UTF-8" standalone="yes"?>
<Relationships xmlns="http://schemas.openxmlformats.org/package/2006/relationships"><Relationship Id="rId1" Type="http://schemas.openxmlformats.org/officeDocument/2006/relationships/image" Target="../media/image2.png"/></Relationships>
</file>

<file path=xl/drawings/_rels/drawing49.xml.rels><?xml version="1.0" encoding="UTF-8" standalone="yes"?>
<Relationships xmlns="http://schemas.openxmlformats.org/package/2006/relationships"><Relationship Id="rId1" Type="http://schemas.openxmlformats.org/officeDocument/2006/relationships/image" Target="../media/image2.png"/></Relationships>
</file>

<file path=xl/drawings/_rels/drawing50.xml.rels><?xml version="1.0" encoding="UTF-8" standalone="yes"?>
<Relationships xmlns="http://schemas.openxmlformats.org/package/2006/relationships"><Relationship Id="rId1" Type="http://schemas.openxmlformats.org/officeDocument/2006/relationships/image" Target="../media/image2.png"/></Relationships>
</file>

<file path=xl/drawings/_rels/drawing51.xml.rels><?xml version="1.0" encoding="UTF-8" standalone="yes"?>
<Relationships xmlns="http://schemas.openxmlformats.org/package/2006/relationships"><Relationship Id="rId1" Type="http://schemas.openxmlformats.org/officeDocument/2006/relationships/chart" Target="../charts/chart50.xml"/></Relationships>
</file>

<file path=xl/drawings/drawing1.xml><?xml version="1.0" encoding="utf-8"?>
<xdr:wsDr xmlns:xdr="http://schemas.openxmlformats.org/drawingml/2006/spreadsheetDrawing" xmlns:a="http://schemas.openxmlformats.org/drawingml/2006/main">
  <xdr:twoCellAnchor>
    <xdr:from>
      <xdr:col>2</xdr:col>
      <xdr:colOff>61736</xdr:colOff>
      <xdr:row>0</xdr:row>
      <xdr:rowOff>52917</xdr:rowOff>
    </xdr:from>
    <xdr:to>
      <xdr:col>11</xdr:col>
      <xdr:colOff>56444</xdr:colOff>
      <xdr:row>18</xdr:row>
      <xdr:rowOff>179917</xdr:rowOff>
    </xdr:to>
    <xdr:graphicFrame macro="">
      <xdr:nvGraphicFramePr>
        <xdr:cNvPr id="2" name="Chart 1">
          <a:extLst>
            <a:ext uri="{FF2B5EF4-FFF2-40B4-BE49-F238E27FC236}">
              <a16:creationId xmlns:a16="http://schemas.microsoft.com/office/drawing/2014/main" id="{B78781BA-3EC6-4783-8C44-C5E89BCC79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110102</xdr:colOff>
      <xdr:row>0</xdr:row>
      <xdr:rowOff>59269</xdr:rowOff>
    </xdr:from>
    <xdr:to>
      <xdr:col>20</xdr:col>
      <xdr:colOff>84666</xdr:colOff>
      <xdr:row>19</xdr:row>
      <xdr:rowOff>1059</xdr:rowOff>
    </xdr:to>
    <xdr:graphicFrame macro="">
      <xdr:nvGraphicFramePr>
        <xdr:cNvPr id="3" name="Chart 2">
          <a:extLst>
            <a:ext uri="{FF2B5EF4-FFF2-40B4-BE49-F238E27FC236}">
              <a16:creationId xmlns:a16="http://schemas.microsoft.com/office/drawing/2014/main" id="{F0447BF0-8F12-4195-A51A-C46A407BF7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52917</xdr:colOff>
      <xdr:row>38</xdr:row>
      <xdr:rowOff>705</xdr:rowOff>
    </xdr:from>
    <xdr:to>
      <xdr:col>11</xdr:col>
      <xdr:colOff>52917</xdr:colOff>
      <xdr:row>56</xdr:row>
      <xdr:rowOff>76905</xdr:rowOff>
    </xdr:to>
    <xdr:graphicFrame macro="">
      <xdr:nvGraphicFramePr>
        <xdr:cNvPr id="4" name="Chart 3">
          <a:extLst>
            <a:ext uri="{FF2B5EF4-FFF2-40B4-BE49-F238E27FC236}">
              <a16:creationId xmlns:a16="http://schemas.microsoft.com/office/drawing/2014/main" id="{CCE4166E-6339-46E8-88E3-68F1A6C523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101248</xdr:colOff>
      <xdr:row>19</xdr:row>
      <xdr:rowOff>94545</xdr:rowOff>
    </xdr:from>
    <xdr:to>
      <xdr:col>20</xdr:col>
      <xdr:colOff>69498</xdr:colOff>
      <xdr:row>37</xdr:row>
      <xdr:rowOff>113595</xdr:rowOff>
    </xdr:to>
    <xdr:graphicFrame macro="">
      <xdr:nvGraphicFramePr>
        <xdr:cNvPr id="5" name="Chart 4">
          <a:extLst>
            <a:ext uri="{FF2B5EF4-FFF2-40B4-BE49-F238E27FC236}">
              <a16:creationId xmlns:a16="http://schemas.microsoft.com/office/drawing/2014/main" id="{C6E66DD0-C979-4E53-8A78-C44AF2E691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102167</xdr:colOff>
      <xdr:row>38</xdr:row>
      <xdr:rowOff>18344</xdr:rowOff>
    </xdr:from>
    <xdr:to>
      <xdr:col>20</xdr:col>
      <xdr:colOff>69497</xdr:colOff>
      <xdr:row>56</xdr:row>
      <xdr:rowOff>100894</xdr:rowOff>
    </xdr:to>
    <xdr:graphicFrame macro="">
      <xdr:nvGraphicFramePr>
        <xdr:cNvPr id="6" name="Chart 5">
          <a:extLst>
            <a:ext uri="{FF2B5EF4-FFF2-40B4-BE49-F238E27FC236}">
              <a16:creationId xmlns:a16="http://schemas.microsoft.com/office/drawing/2014/main" id="{75AFFDFC-F1DB-45F8-8B32-213C0E0870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162730</xdr:colOff>
      <xdr:row>0</xdr:row>
      <xdr:rowOff>88195</xdr:rowOff>
    </xdr:from>
    <xdr:to>
      <xdr:col>29</xdr:col>
      <xdr:colOff>176389</xdr:colOff>
      <xdr:row>19</xdr:row>
      <xdr:rowOff>0</xdr:rowOff>
    </xdr:to>
    <xdr:graphicFrame macro="">
      <xdr:nvGraphicFramePr>
        <xdr:cNvPr id="7" name="Chart 6">
          <a:extLst>
            <a:ext uri="{FF2B5EF4-FFF2-40B4-BE49-F238E27FC236}">
              <a16:creationId xmlns:a16="http://schemas.microsoft.com/office/drawing/2014/main" id="{8DA5778D-697F-4CFA-9274-4FCAC783BB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65617</xdr:colOff>
      <xdr:row>19</xdr:row>
      <xdr:rowOff>95562</xdr:rowOff>
    </xdr:from>
    <xdr:to>
      <xdr:col>11</xdr:col>
      <xdr:colOff>47625</xdr:colOff>
      <xdr:row>37</xdr:row>
      <xdr:rowOff>100894</xdr:rowOff>
    </xdr:to>
    <xdr:graphicFrame macro="">
      <xdr:nvGraphicFramePr>
        <xdr:cNvPr id="8" name="Chart 7">
          <a:extLst>
            <a:ext uri="{FF2B5EF4-FFF2-40B4-BE49-F238E27FC236}">
              <a16:creationId xmlns:a16="http://schemas.microsoft.com/office/drawing/2014/main" id="{3783CF3D-C93E-4C0B-B557-A00F3415BA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20</xdr:col>
      <xdr:colOff>137993</xdr:colOff>
      <xdr:row>19</xdr:row>
      <xdr:rowOff>103415</xdr:rowOff>
    </xdr:from>
    <xdr:to>
      <xdr:col>29</xdr:col>
      <xdr:colOff>185208</xdr:colOff>
      <xdr:row>37</xdr:row>
      <xdr:rowOff>94544</xdr:rowOff>
    </xdr:to>
    <xdr:graphicFrame macro="">
      <xdr:nvGraphicFramePr>
        <xdr:cNvPr id="9" name="Chart 8">
          <a:extLst>
            <a:ext uri="{FF2B5EF4-FFF2-40B4-BE49-F238E27FC236}">
              <a16:creationId xmlns:a16="http://schemas.microsoft.com/office/drawing/2014/main" id="{0E627FA5-B757-42FF-A0BD-B6389B6D46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107959</xdr:colOff>
      <xdr:row>57</xdr:row>
      <xdr:rowOff>3175</xdr:rowOff>
    </xdr:from>
    <xdr:to>
      <xdr:col>20</xdr:col>
      <xdr:colOff>91017</xdr:colOff>
      <xdr:row>83</xdr:row>
      <xdr:rowOff>85723</xdr:rowOff>
    </xdr:to>
    <xdr:graphicFrame macro="">
      <xdr:nvGraphicFramePr>
        <xdr:cNvPr id="10" name="Chart 9">
          <a:extLst>
            <a:ext uri="{FF2B5EF4-FFF2-40B4-BE49-F238E27FC236}">
              <a16:creationId xmlns:a16="http://schemas.microsoft.com/office/drawing/2014/main" id="{9FD5E1D5-2654-4703-84AC-75F1722DEB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44097</xdr:colOff>
      <xdr:row>56</xdr:row>
      <xdr:rowOff>168275</xdr:rowOff>
    </xdr:from>
    <xdr:to>
      <xdr:col>11</xdr:col>
      <xdr:colOff>44097</xdr:colOff>
      <xdr:row>83</xdr:row>
      <xdr:rowOff>59266</xdr:rowOff>
    </xdr:to>
    <xdr:graphicFrame macro="">
      <xdr:nvGraphicFramePr>
        <xdr:cNvPr id="11" name="Chart 10">
          <a:extLst>
            <a:ext uri="{FF2B5EF4-FFF2-40B4-BE49-F238E27FC236}">
              <a16:creationId xmlns:a16="http://schemas.microsoft.com/office/drawing/2014/main" id="{AE788ED3-540B-43D7-BA95-D8D9741116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38</xdr:row>
      <xdr:rowOff>8817</xdr:rowOff>
    </xdr:from>
    <xdr:to>
      <xdr:col>29</xdr:col>
      <xdr:colOff>202847</xdr:colOff>
      <xdr:row>56</xdr:row>
      <xdr:rowOff>88194</xdr:rowOff>
    </xdr:to>
    <xdr:graphicFrame macro="">
      <xdr:nvGraphicFramePr>
        <xdr:cNvPr id="12" name="Chart 11">
          <a:extLst>
            <a:ext uri="{FF2B5EF4-FFF2-40B4-BE49-F238E27FC236}">
              <a16:creationId xmlns:a16="http://schemas.microsoft.com/office/drawing/2014/main" id="{53CB33B6-6F4B-4E00-B223-2C971737EC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20</xdr:col>
      <xdr:colOff>149930</xdr:colOff>
      <xdr:row>57</xdr:row>
      <xdr:rowOff>8819</xdr:rowOff>
    </xdr:from>
    <xdr:to>
      <xdr:col>29</xdr:col>
      <xdr:colOff>220486</xdr:colOff>
      <xdr:row>83</xdr:row>
      <xdr:rowOff>79374</xdr:rowOff>
    </xdr:to>
    <xdr:graphicFrame macro="">
      <xdr:nvGraphicFramePr>
        <xdr:cNvPr id="13" name="Chart 12">
          <a:extLst>
            <a:ext uri="{FF2B5EF4-FFF2-40B4-BE49-F238E27FC236}">
              <a16:creationId xmlns:a16="http://schemas.microsoft.com/office/drawing/2014/main" id="{9F343979-A172-4B70-A697-8AE0771EF9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39900</xdr:colOff>
      <xdr:row>84</xdr:row>
      <xdr:rowOff>39900</xdr:rowOff>
    </xdr:from>
    <xdr:to>
      <xdr:col>11</xdr:col>
      <xdr:colOff>74813</xdr:colOff>
      <xdr:row>102</xdr:row>
      <xdr:rowOff>108065</xdr:rowOff>
    </xdr:to>
    <xdr:graphicFrame macro="">
      <xdr:nvGraphicFramePr>
        <xdr:cNvPr id="14" name="Chart 13">
          <a:extLst>
            <a:ext uri="{FF2B5EF4-FFF2-40B4-BE49-F238E27FC236}">
              <a16:creationId xmlns:a16="http://schemas.microsoft.com/office/drawing/2014/main" id="{C1499F8B-30E7-4929-8417-BDD6B63FA1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11</xdr:col>
      <xdr:colOff>104040</xdr:colOff>
      <xdr:row>84</xdr:row>
      <xdr:rowOff>39986</xdr:rowOff>
    </xdr:from>
    <xdr:to>
      <xdr:col>19</xdr:col>
      <xdr:colOff>279309</xdr:colOff>
      <xdr:row>102</xdr:row>
      <xdr:rowOff>152952</xdr:rowOff>
    </xdr:to>
    <xdr:graphicFrame macro="">
      <xdr:nvGraphicFramePr>
        <xdr:cNvPr id="15" name="Chart 14">
          <a:extLst>
            <a:ext uri="{FF2B5EF4-FFF2-40B4-BE49-F238E27FC236}">
              <a16:creationId xmlns:a16="http://schemas.microsoft.com/office/drawing/2014/main" id="{7D72FADF-7CEF-4F79-A41A-20B995B5E5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3.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4.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5.xml><?xml version="1.0" encoding="utf-8"?>
<c:userShapes xmlns:c="http://schemas.openxmlformats.org/drawingml/2006/chart">
  <cdr:relSizeAnchor xmlns:cdr="http://schemas.openxmlformats.org/drawingml/2006/chartDrawing">
    <cdr:from>
      <cdr:x>0.08308</cdr:x>
      <cdr:y>0.06679</cdr:y>
    </cdr:from>
    <cdr:to>
      <cdr:x>0.57978</cdr:x>
      <cdr:y>0.34326</cdr:y>
    </cdr:to>
    <cdr:sp macro="" textlink="AtGlance!$B$9">
      <cdr:nvSpPr>
        <cdr:cNvPr id="2" name="TextBox 1"/>
        <cdr:cNvSpPr txBox="1"/>
      </cdr:nvSpPr>
      <cdr:spPr>
        <a:xfrm xmlns:a="http://schemas.openxmlformats.org/drawingml/2006/main">
          <a:off x="450704" y="234950"/>
          <a:ext cx="2694582" cy="97260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6.xml><?xml version="1.0" encoding="utf-8"?>
<c:userShapes xmlns:c="http://schemas.openxmlformats.org/drawingml/2006/chart">
  <cdr:relSizeAnchor xmlns:cdr="http://schemas.openxmlformats.org/drawingml/2006/chartDrawing">
    <cdr:from>
      <cdr:x>0.11765</cdr:x>
      <cdr:y>0.11215</cdr:y>
    </cdr:from>
    <cdr:to>
      <cdr:x>0.31383</cdr:x>
      <cdr:y>0.44291</cdr:y>
    </cdr:to>
    <cdr:sp macro="" textlink="AtGlance!$B$9">
      <cdr:nvSpPr>
        <cdr:cNvPr id="2" name="TextBox 1"/>
        <cdr:cNvSpPr txBox="1"/>
      </cdr:nvSpPr>
      <cdr:spPr>
        <a:xfrm xmlns:a="http://schemas.openxmlformats.org/drawingml/2006/main">
          <a:off x="641655" y="381000"/>
          <a:ext cx="1069913" cy="1123668"/>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7.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8.xml><?xml version="1.0" encoding="utf-8"?>
<c:userShapes xmlns:c="http://schemas.openxmlformats.org/drawingml/2006/chart">
  <cdr:relSizeAnchor xmlns:cdr="http://schemas.openxmlformats.org/drawingml/2006/chartDrawing">
    <cdr:from>
      <cdr:x>0.06706</cdr:x>
      <cdr:y>0.07219</cdr:y>
    </cdr:from>
    <cdr:to>
      <cdr:x>0.54472</cdr:x>
      <cdr:y>0.30719</cdr:y>
    </cdr:to>
    <cdr:sp macro="" textlink="AtGlance!$B$9">
      <cdr:nvSpPr>
        <cdr:cNvPr id="2" name="TextBox 1"/>
        <cdr:cNvSpPr txBox="1"/>
      </cdr:nvSpPr>
      <cdr:spPr>
        <a:xfrm xmlns:a="http://schemas.openxmlformats.org/drawingml/2006/main">
          <a:off x="366640" y="252982"/>
          <a:ext cx="2611510" cy="823468"/>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9.xml><?xml version="1.0" encoding="utf-8"?>
<c:userShapes xmlns:c="http://schemas.openxmlformats.org/drawingml/2006/chart">
  <cdr:relSizeAnchor xmlns:cdr="http://schemas.openxmlformats.org/drawingml/2006/chartDrawing">
    <cdr:from>
      <cdr:x>0.09375</cdr:x>
      <cdr:y>0.13389</cdr:y>
    </cdr:from>
    <cdr:to>
      <cdr:x>0.28125</cdr:x>
      <cdr:y>0.40167</cdr:y>
    </cdr:to>
    <cdr:sp macro="" textlink="AtGlance!$B$9">
      <cdr:nvSpPr>
        <cdr:cNvPr id="2" name="TextBox 1"/>
        <cdr:cNvSpPr txBox="1"/>
      </cdr:nvSpPr>
      <cdr:spPr>
        <a:xfrm xmlns:a="http://schemas.openxmlformats.org/drawingml/2006/main">
          <a:off x="457200" y="45720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0.xml><?xml version="1.0" encoding="utf-8"?>
<c:userShapes xmlns:c="http://schemas.openxmlformats.org/drawingml/2006/chart">
  <cdr:relSizeAnchor xmlns:cdr="http://schemas.openxmlformats.org/drawingml/2006/chartDrawing">
    <cdr:from>
      <cdr:x>0.13428</cdr:x>
      <cdr:y>0.07432</cdr:y>
    </cdr:from>
    <cdr:to>
      <cdr:x>0.32401</cdr:x>
      <cdr:y>0.42569</cdr:y>
    </cdr:to>
    <cdr:sp macro="" textlink="AtGlance!$B$9">
      <cdr:nvSpPr>
        <cdr:cNvPr id="2" name="TextBox 1"/>
        <cdr:cNvSpPr txBox="1"/>
      </cdr:nvSpPr>
      <cdr:spPr>
        <a:xfrm xmlns:a="http://schemas.openxmlformats.org/drawingml/2006/main">
          <a:off x="734439" y="361950"/>
          <a:ext cx="1037720" cy="171135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1.xml><?xml version="1.0" encoding="utf-8"?>
<c:userShapes xmlns:c="http://schemas.openxmlformats.org/drawingml/2006/chart">
  <cdr:relSizeAnchor xmlns:cdr="http://schemas.openxmlformats.org/drawingml/2006/chartDrawing">
    <cdr:from>
      <cdr:x>0.09165</cdr:x>
      <cdr:y>0.09669</cdr:y>
    </cdr:from>
    <cdr:to>
      <cdr:x>0.27726</cdr:x>
      <cdr:y>0.39027</cdr:y>
    </cdr:to>
    <cdr:sp macro="" textlink="AtGlance!$B$9">
      <cdr:nvSpPr>
        <cdr:cNvPr id="2" name="TextBox 1"/>
        <cdr:cNvSpPr txBox="1"/>
      </cdr:nvSpPr>
      <cdr:spPr>
        <a:xfrm xmlns:a="http://schemas.openxmlformats.org/drawingml/2006/main">
          <a:off x="501649" y="470310"/>
          <a:ext cx="1016001" cy="142800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3.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4.xml><?xml version="1.0" encoding="utf-8"?>
<xdr:wsDr xmlns:xdr="http://schemas.openxmlformats.org/drawingml/2006/spreadsheetDrawing" xmlns:a="http://schemas.openxmlformats.org/drawingml/2006/main">
  <xdr:twoCellAnchor>
    <xdr:from>
      <xdr:col>2</xdr:col>
      <xdr:colOff>127882</xdr:colOff>
      <xdr:row>0</xdr:row>
      <xdr:rowOff>92603</xdr:rowOff>
    </xdr:from>
    <xdr:to>
      <xdr:col>11</xdr:col>
      <xdr:colOff>51007</xdr:colOff>
      <xdr:row>19</xdr:row>
      <xdr:rowOff>33749</xdr:rowOff>
    </xdr:to>
    <xdr:graphicFrame macro="">
      <xdr:nvGraphicFramePr>
        <xdr:cNvPr id="4" name="Chart 3">
          <a:extLst>
            <a:ext uri="{FF2B5EF4-FFF2-40B4-BE49-F238E27FC236}">
              <a16:creationId xmlns:a16="http://schemas.microsoft.com/office/drawing/2014/main" id="{00000000-0008-0000-04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136561</xdr:colOff>
      <xdr:row>0</xdr:row>
      <xdr:rowOff>92603</xdr:rowOff>
    </xdr:from>
    <xdr:to>
      <xdr:col>20</xdr:col>
      <xdr:colOff>59686</xdr:colOff>
      <xdr:row>19</xdr:row>
      <xdr:rowOff>34393</xdr:rowOff>
    </xdr:to>
    <xdr:graphicFrame macro="">
      <xdr:nvGraphicFramePr>
        <xdr:cNvPr id="5" name="Chart 4">
          <a:extLst>
            <a:ext uri="{FF2B5EF4-FFF2-40B4-BE49-F238E27FC236}">
              <a16:creationId xmlns:a16="http://schemas.microsoft.com/office/drawing/2014/main" id="{00000000-0008-0000-04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132292</xdr:colOff>
      <xdr:row>19</xdr:row>
      <xdr:rowOff>106537</xdr:rowOff>
    </xdr:from>
    <xdr:to>
      <xdr:col>29</xdr:col>
      <xdr:colOff>55417</xdr:colOff>
      <xdr:row>36</xdr:row>
      <xdr:rowOff>87370</xdr:rowOff>
    </xdr:to>
    <xdr:graphicFrame macro="">
      <xdr:nvGraphicFramePr>
        <xdr:cNvPr id="6" name="Chart 5">
          <a:extLst>
            <a:ext uri="{FF2B5EF4-FFF2-40B4-BE49-F238E27FC236}">
              <a16:creationId xmlns:a16="http://schemas.microsoft.com/office/drawing/2014/main" id="{00000000-0008-0000-04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127707</xdr:colOff>
      <xdr:row>19</xdr:row>
      <xdr:rowOff>105832</xdr:rowOff>
    </xdr:from>
    <xdr:to>
      <xdr:col>20</xdr:col>
      <xdr:colOff>50832</xdr:colOff>
      <xdr:row>36</xdr:row>
      <xdr:rowOff>86665</xdr:rowOff>
    </xdr:to>
    <xdr:graphicFrame macro="">
      <xdr:nvGraphicFramePr>
        <xdr:cNvPr id="7" name="Chart 6">
          <a:extLst>
            <a:ext uri="{FF2B5EF4-FFF2-40B4-BE49-F238E27FC236}">
              <a16:creationId xmlns:a16="http://schemas.microsoft.com/office/drawing/2014/main" id="{00000000-0008-0000-04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128625</xdr:colOff>
      <xdr:row>36</xdr:row>
      <xdr:rowOff>177093</xdr:rowOff>
    </xdr:from>
    <xdr:to>
      <xdr:col>11</xdr:col>
      <xdr:colOff>51750</xdr:colOff>
      <xdr:row>60</xdr:row>
      <xdr:rowOff>52093</xdr:rowOff>
    </xdr:to>
    <xdr:graphicFrame macro="">
      <xdr:nvGraphicFramePr>
        <xdr:cNvPr id="9" name="Chart 8">
          <a:extLst>
            <a:ext uri="{FF2B5EF4-FFF2-40B4-BE49-F238E27FC236}">
              <a16:creationId xmlns:a16="http://schemas.microsoft.com/office/drawing/2014/main" id="{00000000-0008-0000-04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149502</xdr:colOff>
      <xdr:row>60</xdr:row>
      <xdr:rowOff>141111</xdr:rowOff>
    </xdr:from>
    <xdr:to>
      <xdr:col>29</xdr:col>
      <xdr:colOff>72627</xdr:colOff>
      <xdr:row>84</xdr:row>
      <xdr:rowOff>16111</xdr:rowOff>
    </xdr:to>
    <xdr:graphicFrame macro="">
      <xdr:nvGraphicFramePr>
        <xdr:cNvPr id="11" name="Chart 10">
          <a:extLst>
            <a:ext uri="{FF2B5EF4-FFF2-40B4-BE49-F238E27FC236}">
              <a16:creationId xmlns:a16="http://schemas.microsoft.com/office/drawing/2014/main" id="{00000000-0008-0000-04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131763</xdr:colOff>
      <xdr:row>19</xdr:row>
      <xdr:rowOff>105832</xdr:rowOff>
    </xdr:from>
    <xdr:to>
      <xdr:col>11</xdr:col>
      <xdr:colOff>54888</xdr:colOff>
      <xdr:row>36</xdr:row>
      <xdr:rowOff>86665</xdr:rowOff>
    </xdr:to>
    <xdr:graphicFrame macro="">
      <xdr:nvGraphicFramePr>
        <xdr:cNvPr id="12" name="Chart 11">
          <a:extLst>
            <a:ext uri="{FF2B5EF4-FFF2-40B4-BE49-F238E27FC236}">
              <a16:creationId xmlns:a16="http://schemas.microsoft.com/office/drawing/2014/main" id="{00000000-0008-0000-04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13</xdr:col>
      <xdr:colOff>171980</xdr:colOff>
      <xdr:row>84</xdr:row>
      <xdr:rowOff>105828</xdr:rowOff>
    </xdr:from>
    <xdr:to>
      <xdr:col>29</xdr:col>
      <xdr:colOff>80805</xdr:colOff>
      <xdr:row>131</xdr:row>
      <xdr:rowOff>41036</xdr:rowOff>
    </xdr:to>
    <xdr:graphicFrame macro="">
      <xdr:nvGraphicFramePr>
        <xdr:cNvPr id="13" name="Chart 12">
          <a:extLst>
            <a:ext uri="{FF2B5EF4-FFF2-40B4-BE49-F238E27FC236}">
              <a16:creationId xmlns:a16="http://schemas.microsoft.com/office/drawing/2014/main" id="{00000000-0008-0000-04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134418</xdr:colOff>
      <xdr:row>36</xdr:row>
      <xdr:rowOff>175153</xdr:rowOff>
    </xdr:from>
    <xdr:to>
      <xdr:col>20</xdr:col>
      <xdr:colOff>57543</xdr:colOff>
      <xdr:row>60</xdr:row>
      <xdr:rowOff>50153</xdr:rowOff>
    </xdr:to>
    <xdr:graphicFrame macro="">
      <xdr:nvGraphicFramePr>
        <xdr:cNvPr id="10" name="Chart 9">
          <a:extLst>
            <a:ext uri="{FF2B5EF4-FFF2-40B4-BE49-F238E27FC236}">
              <a16:creationId xmlns:a16="http://schemas.microsoft.com/office/drawing/2014/main" id="{00000000-0008-0000-04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149927</xdr:colOff>
      <xdr:row>84</xdr:row>
      <xdr:rowOff>102129</xdr:rowOff>
    </xdr:from>
    <xdr:to>
      <xdr:col>13</xdr:col>
      <xdr:colOff>97969</xdr:colOff>
      <xdr:row>131</xdr:row>
      <xdr:rowOff>37337</xdr:rowOff>
    </xdr:to>
    <xdr:graphicFrame macro="">
      <xdr:nvGraphicFramePr>
        <xdr:cNvPr id="14" name="Chart 13">
          <a:extLst>
            <a:ext uri="{FF2B5EF4-FFF2-40B4-BE49-F238E27FC236}">
              <a16:creationId xmlns:a16="http://schemas.microsoft.com/office/drawing/2014/main" id="{00000000-0008-0000-04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36</xdr:row>
      <xdr:rowOff>167567</xdr:rowOff>
    </xdr:from>
    <xdr:to>
      <xdr:col>29</xdr:col>
      <xdr:colOff>55416</xdr:colOff>
      <xdr:row>60</xdr:row>
      <xdr:rowOff>42567</xdr:rowOff>
    </xdr:to>
    <xdr:graphicFrame macro="">
      <xdr:nvGraphicFramePr>
        <xdr:cNvPr id="16" name="Chart 15">
          <a:extLst>
            <a:ext uri="{FF2B5EF4-FFF2-40B4-BE49-F238E27FC236}">
              <a16:creationId xmlns:a16="http://schemas.microsoft.com/office/drawing/2014/main" id="{3A786F75-7B7F-4249-88F9-D6A6A5320D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11</xdr:col>
      <xdr:colOff>136702</xdr:colOff>
      <xdr:row>60</xdr:row>
      <xdr:rowOff>141111</xdr:rowOff>
    </xdr:from>
    <xdr:to>
      <xdr:col>20</xdr:col>
      <xdr:colOff>59827</xdr:colOff>
      <xdr:row>84</xdr:row>
      <xdr:rowOff>16111</xdr:rowOff>
    </xdr:to>
    <xdr:graphicFrame macro="">
      <xdr:nvGraphicFramePr>
        <xdr:cNvPr id="19" name="Chart 18">
          <a:extLst>
            <a:ext uri="{FF2B5EF4-FFF2-40B4-BE49-F238E27FC236}">
              <a16:creationId xmlns:a16="http://schemas.microsoft.com/office/drawing/2014/main" id="{2408A383-D35E-45F1-BF18-F701E9407B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132505</xdr:colOff>
      <xdr:row>60</xdr:row>
      <xdr:rowOff>132503</xdr:rowOff>
    </xdr:from>
    <xdr:to>
      <xdr:col>6</xdr:col>
      <xdr:colOff>362339</xdr:colOff>
      <xdr:row>84</xdr:row>
      <xdr:rowOff>7503</xdr:rowOff>
    </xdr:to>
    <xdr:graphicFrame macro="">
      <xdr:nvGraphicFramePr>
        <xdr:cNvPr id="2" name="Chart 1">
          <a:extLst>
            <a:ext uri="{FF2B5EF4-FFF2-40B4-BE49-F238E27FC236}">
              <a16:creationId xmlns:a16="http://schemas.microsoft.com/office/drawing/2014/main" id="{A4D99B17-36B0-8331-3CE8-469957719F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6</xdr:col>
      <xdr:colOff>434769</xdr:colOff>
      <xdr:row>60</xdr:row>
      <xdr:rowOff>132588</xdr:rowOff>
    </xdr:from>
    <xdr:to>
      <xdr:col>11</xdr:col>
      <xdr:colOff>56060</xdr:colOff>
      <xdr:row>84</xdr:row>
      <xdr:rowOff>7588</xdr:rowOff>
    </xdr:to>
    <xdr:graphicFrame macro="">
      <xdr:nvGraphicFramePr>
        <xdr:cNvPr id="3" name="Chart 2">
          <a:extLst>
            <a:ext uri="{FF2B5EF4-FFF2-40B4-BE49-F238E27FC236}">
              <a16:creationId xmlns:a16="http://schemas.microsoft.com/office/drawing/2014/main" id="{DCF78A31-85A1-EB78-BFA8-AB8047CAD0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20</xdr:col>
      <xdr:colOff>132291</xdr:colOff>
      <xdr:row>0</xdr:row>
      <xdr:rowOff>92603</xdr:rowOff>
    </xdr:from>
    <xdr:to>
      <xdr:col>29</xdr:col>
      <xdr:colOff>55416</xdr:colOff>
      <xdr:row>19</xdr:row>
      <xdr:rowOff>33749</xdr:rowOff>
    </xdr:to>
    <xdr:graphicFrame macro="">
      <xdr:nvGraphicFramePr>
        <xdr:cNvPr id="15" name="Chart 14">
          <a:extLst>
            <a:ext uri="{FF2B5EF4-FFF2-40B4-BE49-F238E27FC236}">
              <a16:creationId xmlns:a16="http://schemas.microsoft.com/office/drawing/2014/main" id="{3C130562-B8BD-4150-BC86-013D995D85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29</xdr:col>
      <xdr:colOff>114652</xdr:colOff>
      <xdr:row>19</xdr:row>
      <xdr:rowOff>104599</xdr:rowOff>
    </xdr:from>
    <xdr:to>
      <xdr:col>38</xdr:col>
      <xdr:colOff>531665</xdr:colOff>
      <xdr:row>36</xdr:row>
      <xdr:rowOff>96836</xdr:rowOff>
    </xdr:to>
    <xdr:graphicFrame macro="">
      <xdr:nvGraphicFramePr>
        <xdr:cNvPr id="18" name="Chart 17">
          <a:extLst>
            <a:ext uri="{FF2B5EF4-FFF2-40B4-BE49-F238E27FC236}">
              <a16:creationId xmlns:a16="http://schemas.microsoft.com/office/drawing/2014/main" id="{374065B0-DE1F-4B7B-AEAE-92EB9A48BB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30</xdr:col>
      <xdr:colOff>1941</xdr:colOff>
      <xdr:row>36</xdr:row>
      <xdr:rowOff>154339</xdr:rowOff>
    </xdr:from>
    <xdr:to>
      <xdr:col>38</xdr:col>
      <xdr:colOff>533607</xdr:colOff>
      <xdr:row>60</xdr:row>
      <xdr:rowOff>39688</xdr:rowOff>
    </xdr:to>
    <xdr:graphicFrame macro="">
      <xdr:nvGraphicFramePr>
        <xdr:cNvPr id="8" name="Chart 7">
          <a:extLst>
            <a:ext uri="{FF2B5EF4-FFF2-40B4-BE49-F238E27FC236}">
              <a16:creationId xmlns:a16="http://schemas.microsoft.com/office/drawing/2014/main" id="{A27A69A8-7176-489B-A962-7800646965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0</xdr:col>
      <xdr:colOff>820210</xdr:colOff>
      <xdr:row>41</xdr:row>
      <xdr:rowOff>39687</xdr:rowOff>
    </xdr:from>
    <xdr:to>
      <xdr:col>0</xdr:col>
      <xdr:colOff>1911124</xdr:colOff>
      <xdr:row>44</xdr:row>
      <xdr:rowOff>10332</xdr:rowOff>
    </xdr:to>
    <xdr:sp macro="" textlink="">
      <xdr:nvSpPr>
        <xdr:cNvPr id="20" name="Rectangle 19">
          <a:extLst>
            <a:ext uri="{FF2B5EF4-FFF2-40B4-BE49-F238E27FC236}">
              <a16:creationId xmlns:a16="http://schemas.microsoft.com/office/drawing/2014/main" id="{9C281031-CFEA-B4B7-F893-072513B627B0}"/>
            </a:ext>
          </a:extLst>
        </xdr:cNvPr>
        <xdr:cNvSpPr/>
      </xdr:nvSpPr>
      <xdr:spPr>
        <a:xfrm>
          <a:off x="820210" y="9432395"/>
          <a:ext cx="1090914" cy="526270"/>
        </a:xfrm>
        <a:prstGeom prst="rect">
          <a:avLst/>
        </a:prstGeom>
        <a:blipFill dpi="0" rotWithShape="1">
          <a:blip xmlns:r="http://schemas.openxmlformats.org/officeDocument/2006/relationships" r:embed="rId18">
            <a:alphaModFix amt="28000"/>
          </a:blip>
          <a:srcRect/>
          <a:stretch>
            <a:fillRect r="-33000"/>
          </a:stretch>
        </a:blip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clientData/>
  </xdr:twoCellAnchor>
  <xdr:twoCellAnchor>
    <xdr:from>
      <xdr:col>30</xdr:col>
      <xdr:colOff>0</xdr:colOff>
      <xdr:row>0</xdr:row>
      <xdr:rowOff>92604</xdr:rowOff>
    </xdr:from>
    <xdr:to>
      <xdr:col>38</xdr:col>
      <xdr:colOff>531666</xdr:colOff>
      <xdr:row>19</xdr:row>
      <xdr:rowOff>34394</xdr:rowOff>
    </xdr:to>
    <xdr:graphicFrame macro="">
      <xdr:nvGraphicFramePr>
        <xdr:cNvPr id="17" name="Chart 16">
          <a:extLst>
            <a:ext uri="{FF2B5EF4-FFF2-40B4-BE49-F238E27FC236}">
              <a16:creationId xmlns:a16="http://schemas.microsoft.com/office/drawing/2014/main" id="{18D5704A-E745-42FC-8AB3-E27D93CFFC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wsDr>
</file>

<file path=xl/drawings/drawing15.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0.70516</cdr:x>
      <cdr:y>0.00153</cdr:y>
    </cdr:from>
    <cdr:to>
      <cdr:x>0.89687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3807883" y="6703"/>
          <a:ext cx="1035227" cy="44750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0.01158</cdr:y>
    </cdr:from>
    <cdr:to>
      <cdr:x>0.95465</cdr:x>
      <cdr:y>0.1156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20" y="50800"/>
          <a:ext cx="967986" cy="45631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7.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0.78519</cdr:x>
      <cdr:y>0</cdr:y>
    </cdr:from>
    <cdr:to>
      <cdr:x>0.97504</cdr:x>
      <cdr:y>0.10579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40037" y="0"/>
          <a:ext cx="1025171" cy="46355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8.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0.76723</cdr:x>
      <cdr:y>0.00354</cdr:y>
    </cdr:from>
    <cdr:to>
      <cdr:x>0.95243</cdr:x>
      <cdr:y>0.10797</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43022" y="15523"/>
          <a:ext cx="1000124" cy="45755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9.xml><?xml version="1.0" encoding="utf-8"?>
<c:userShapes xmlns:c="http://schemas.openxmlformats.org/drawingml/2006/chart">
  <cdr:relSizeAnchor xmlns:cdr="http://schemas.openxmlformats.org/drawingml/2006/chartDrawing">
    <cdr:from>
      <cdr:x>0.13235</cdr:x>
      <cdr:y>0.11215</cdr:y>
    </cdr:from>
    <cdr:to>
      <cdr:x>0.60089</cdr:x>
      <cdr:y>0.22236</cdr:y>
    </cdr:to>
    <cdr:sp macro="" textlink="AtGlance!$B$9">
      <cdr:nvSpPr>
        <cdr:cNvPr id="2" name="TextBox 1"/>
        <cdr:cNvSpPr txBox="1"/>
      </cdr:nvSpPr>
      <cdr:spPr>
        <a:xfrm xmlns:a="http://schemas.openxmlformats.org/drawingml/2006/main">
          <a:off x="714684" y="484488"/>
          <a:ext cx="2530127" cy="47612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0.78963</cdr:x>
      <cdr:y>0</cdr:y>
    </cdr:from>
    <cdr:to>
      <cdr:x>0.97351</cdr:x>
      <cdr:y>0.10618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66495" y="0"/>
          <a:ext cx="993561" cy="48119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0.82276</cdr:x>
      <cdr:y>0.01122</cdr:y>
    </cdr:from>
    <cdr:to>
      <cdr:x>0.98655</cdr:x>
      <cdr:y>0.09668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42884" y="50801"/>
          <a:ext cx="884490" cy="38699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1.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0.77866</cdr:x>
      <cdr:y>0</cdr:y>
    </cdr:from>
    <cdr:to>
      <cdr:x>0.96044</cdr:x>
      <cdr:y>0.09589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981603" cy="420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2.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0.87848</cdr:x>
      <cdr:y>0.00177</cdr:y>
    </cdr:from>
    <cdr:to>
      <cdr:x>0.97791</cdr:x>
      <cdr:y>0.05406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8473369" y="15522"/>
          <a:ext cx="959026" cy="45755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3.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0.77866</cdr:x>
      <cdr:y>0</cdr:y>
    </cdr:from>
    <cdr:to>
      <cdr:x>0.96485</cdr:x>
      <cdr:y>0.1014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1005407" cy="45984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4.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0.79107</cdr:x>
      <cdr:y>0.00379</cdr:y>
    </cdr:from>
    <cdr:to>
      <cdr:x>0.93612</cdr:x>
      <cdr:y>0.05146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5254272" y="33161"/>
          <a:ext cx="963440" cy="417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5.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0.80199</cdr:x>
      <cdr:y>0</cdr:y>
    </cdr:from>
    <cdr:to>
      <cdr:x>0.98857</cdr:x>
      <cdr:y>0.07831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30730" y="0"/>
          <a:ext cx="1007534" cy="35489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6.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0.75579</cdr:x>
      <cdr:y>0.00148</cdr:y>
    </cdr:from>
    <cdr:to>
      <cdr:x>0.93829</cdr:x>
      <cdr:y>0.10641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1286" y="6703"/>
          <a:ext cx="985485" cy="47519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7.xml><?xml version="1.0" encoding="utf-8"?>
<c:userShapes xmlns:c="http://schemas.openxmlformats.org/drawingml/2006/chart">
  <cdr:relSizeAnchor xmlns:cdr="http://schemas.openxmlformats.org/drawingml/2006/chartDrawing">
    <cdr:from>
      <cdr:x>0.70767</cdr:x>
      <cdr:y>0.04621</cdr:y>
    </cdr:from>
    <cdr:to>
      <cdr:x>0.98648</cdr:x>
      <cdr:y>0.13804</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244" y="209550"/>
          <a:ext cx="742737" cy="41642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8.xml><?xml version="1.0" encoding="utf-8"?>
<c:userShapes xmlns:c="http://schemas.openxmlformats.org/drawingml/2006/chart">
  <cdr:relSizeAnchor xmlns:cdr="http://schemas.openxmlformats.org/drawingml/2006/chartDrawing">
    <cdr:from>
      <cdr:x>0.7143</cdr:x>
      <cdr:y>0.05593</cdr:y>
    </cdr:from>
    <cdr:to>
      <cdr:x>0.97234</cdr:x>
      <cdr:y>0.14385</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02884" y="253648"/>
          <a:ext cx="687417" cy="3986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9.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0.81296</cdr:x>
      <cdr:y>0.01158</cdr:y>
    </cdr:from>
    <cdr:to>
      <cdr:x>0.98157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89967" y="50800"/>
          <a:ext cx="910520" cy="40340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0.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0.80969</cdr:x>
      <cdr:y>0</cdr:y>
    </cdr:from>
    <cdr:to>
      <cdr:x>0.98484</cdr:x>
      <cdr:y>0.08442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72327" y="0"/>
          <a:ext cx="945798" cy="37059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1.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0.00536</cdr:y>
    </cdr:from>
    <cdr:to>
      <cdr:x>0.97741</cdr:x>
      <cdr:y>0.11998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19" y="24341"/>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2.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0.77703</cdr:x>
      <cdr:y>0.04375</cdr:y>
    </cdr:from>
    <cdr:to>
      <cdr:x>0.95054</cdr:x>
      <cdr:y>0.14375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95939" y="191911"/>
          <a:ext cx="936978" cy="43867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3.xml><?xml version="1.0" encoding="utf-8"?>
<xdr:wsDr xmlns:xdr="http://schemas.openxmlformats.org/drawingml/2006/spreadsheetDrawing" xmlns:a="http://schemas.openxmlformats.org/drawingml/2006/main">
  <xdr:twoCellAnchor>
    <xdr:from>
      <xdr:col>0</xdr:col>
      <xdr:colOff>67733</xdr:colOff>
      <xdr:row>0</xdr:row>
      <xdr:rowOff>95204</xdr:rowOff>
    </xdr:from>
    <xdr:to>
      <xdr:col>9</xdr:col>
      <xdr:colOff>7561</xdr:colOff>
      <xdr:row>22</xdr:row>
      <xdr:rowOff>166640</xdr:rowOff>
    </xdr:to>
    <xdr:graphicFrame macro="">
      <xdr:nvGraphicFramePr>
        <xdr:cNvPr id="2" name="Chart 1">
          <a:extLst>
            <a:ext uri="{FF2B5EF4-FFF2-40B4-BE49-F238E27FC236}">
              <a16:creationId xmlns:a16="http://schemas.microsoft.com/office/drawing/2014/main" id="{DEFBF806-CBF6-4C4F-AED1-BE52B61BB1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181849</xdr:colOff>
      <xdr:row>0</xdr:row>
      <xdr:rowOff>90925</xdr:rowOff>
    </xdr:from>
    <xdr:to>
      <xdr:col>18</xdr:col>
      <xdr:colOff>118503</xdr:colOff>
      <xdr:row>22</xdr:row>
      <xdr:rowOff>156011</xdr:rowOff>
    </xdr:to>
    <xdr:graphicFrame macro="">
      <xdr:nvGraphicFramePr>
        <xdr:cNvPr id="3" name="Chart 2">
          <a:extLst>
            <a:ext uri="{FF2B5EF4-FFF2-40B4-BE49-F238E27FC236}">
              <a16:creationId xmlns:a16="http://schemas.microsoft.com/office/drawing/2014/main" id="{BF15ACA4-33E2-49B7-8FF9-00F3E0D9FA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80753</xdr:colOff>
      <xdr:row>23</xdr:row>
      <xdr:rowOff>167400</xdr:rowOff>
    </xdr:from>
    <xdr:to>
      <xdr:col>9</xdr:col>
      <xdr:colOff>17406</xdr:colOff>
      <xdr:row>46</xdr:row>
      <xdr:rowOff>42400</xdr:rowOff>
    </xdr:to>
    <xdr:graphicFrame macro="">
      <xdr:nvGraphicFramePr>
        <xdr:cNvPr id="4" name="Chart 3">
          <a:extLst>
            <a:ext uri="{FF2B5EF4-FFF2-40B4-BE49-F238E27FC236}">
              <a16:creationId xmlns:a16="http://schemas.microsoft.com/office/drawing/2014/main" id="{23AC7E54-A081-4E89-BE4D-63FA72360A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180745</xdr:colOff>
      <xdr:row>24</xdr:row>
      <xdr:rowOff>2301</xdr:rowOff>
    </xdr:from>
    <xdr:to>
      <xdr:col>18</xdr:col>
      <xdr:colOff>117399</xdr:colOff>
      <xdr:row>46</xdr:row>
      <xdr:rowOff>67801</xdr:rowOff>
    </xdr:to>
    <xdr:graphicFrame macro="">
      <xdr:nvGraphicFramePr>
        <xdr:cNvPr id="5" name="Chart 4">
          <a:extLst>
            <a:ext uri="{FF2B5EF4-FFF2-40B4-BE49-F238E27FC236}">
              <a16:creationId xmlns:a16="http://schemas.microsoft.com/office/drawing/2014/main" id="{B0177ABE-5E3F-46E5-B544-44401EFBC0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286256</xdr:colOff>
      <xdr:row>0</xdr:row>
      <xdr:rowOff>104407</xdr:rowOff>
    </xdr:from>
    <xdr:to>
      <xdr:col>27</xdr:col>
      <xdr:colOff>219734</xdr:colOff>
      <xdr:row>22</xdr:row>
      <xdr:rowOff>175843</xdr:rowOff>
    </xdr:to>
    <xdr:graphicFrame macro="">
      <xdr:nvGraphicFramePr>
        <xdr:cNvPr id="6" name="Chart 5">
          <a:extLst>
            <a:ext uri="{FF2B5EF4-FFF2-40B4-BE49-F238E27FC236}">
              <a16:creationId xmlns:a16="http://schemas.microsoft.com/office/drawing/2014/main" id="{9D466C6C-2E7B-4B58-9AB5-9789B19AC1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27</xdr:col>
      <xdr:colOff>386522</xdr:colOff>
      <xdr:row>0</xdr:row>
      <xdr:rowOff>119638</xdr:rowOff>
    </xdr:from>
    <xdr:to>
      <xdr:col>36</xdr:col>
      <xdr:colOff>323175</xdr:colOff>
      <xdr:row>22</xdr:row>
      <xdr:rowOff>191074</xdr:rowOff>
    </xdr:to>
    <xdr:graphicFrame macro="">
      <xdr:nvGraphicFramePr>
        <xdr:cNvPr id="7" name="Chart 6">
          <a:extLst>
            <a:ext uri="{FF2B5EF4-FFF2-40B4-BE49-F238E27FC236}">
              <a16:creationId xmlns:a16="http://schemas.microsoft.com/office/drawing/2014/main" id="{57EFECE1-6386-4DE5-B1B0-775A1AC2C9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27</xdr:col>
      <xdr:colOff>402396</xdr:colOff>
      <xdr:row>23</xdr:row>
      <xdr:rowOff>174072</xdr:rowOff>
    </xdr:from>
    <xdr:to>
      <xdr:col>36</xdr:col>
      <xdr:colOff>335874</xdr:colOff>
      <xdr:row>46</xdr:row>
      <xdr:rowOff>49072</xdr:rowOff>
    </xdr:to>
    <xdr:graphicFrame macro="">
      <xdr:nvGraphicFramePr>
        <xdr:cNvPr id="8" name="Chart 7">
          <a:extLst>
            <a:ext uri="{FF2B5EF4-FFF2-40B4-BE49-F238E27FC236}">
              <a16:creationId xmlns:a16="http://schemas.microsoft.com/office/drawing/2014/main" id="{0AC0527E-B112-436B-A18B-03F3BFCCE6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18</xdr:col>
      <xdr:colOff>279584</xdr:colOff>
      <xdr:row>23</xdr:row>
      <xdr:rowOff>175822</xdr:rowOff>
    </xdr:from>
    <xdr:to>
      <xdr:col>27</xdr:col>
      <xdr:colOff>219412</xdr:colOff>
      <xdr:row>46</xdr:row>
      <xdr:rowOff>53997</xdr:rowOff>
    </xdr:to>
    <xdr:graphicFrame macro="">
      <xdr:nvGraphicFramePr>
        <xdr:cNvPr id="9" name="Chart 8">
          <a:extLst>
            <a:ext uri="{FF2B5EF4-FFF2-40B4-BE49-F238E27FC236}">
              <a16:creationId xmlns:a16="http://schemas.microsoft.com/office/drawing/2014/main" id="{4814F164-61C1-4C21-923D-8F3FFB03F5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82826</xdr:colOff>
      <xdr:row>47</xdr:row>
      <xdr:rowOff>104407</xdr:rowOff>
    </xdr:from>
    <xdr:to>
      <xdr:col>4</xdr:col>
      <xdr:colOff>323611</xdr:colOff>
      <xdr:row>69</xdr:row>
      <xdr:rowOff>175843</xdr:rowOff>
    </xdr:to>
    <xdr:graphicFrame macro="">
      <xdr:nvGraphicFramePr>
        <xdr:cNvPr id="10" name="Chart 9">
          <a:extLst>
            <a:ext uri="{FF2B5EF4-FFF2-40B4-BE49-F238E27FC236}">
              <a16:creationId xmlns:a16="http://schemas.microsoft.com/office/drawing/2014/main" id="{F781AE87-EC2E-41EA-973C-6C0CE4D298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xdr:col>
      <xdr:colOff>392872</xdr:colOff>
      <xdr:row>47</xdr:row>
      <xdr:rowOff>110435</xdr:rowOff>
    </xdr:from>
    <xdr:to>
      <xdr:col>9</xdr:col>
      <xdr:colOff>16740</xdr:colOff>
      <xdr:row>69</xdr:row>
      <xdr:rowOff>185046</xdr:rowOff>
    </xdr:to>
    <xdr:graphicFrame macro="">
      <xdr:nvGraphicFramePr>
        <xdr:cNvPr id="11" name="Chart 10">
          <a:extLst>
            <a:ext uri="{FF2B5EF4-FFF2-40B4-BE49-F238E27FC236}">
              <a16:creationId xmlns:a16="http://schemas.microsoft.com/office/drawing/2014/main" id="{9AD02B5B-A7EC-4533-A504-9B8CD2C016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9</xdr:col>
      <xdr:colOff>165652</xdr:colOff>
      <xdr:row>47</xdr:row>
      <xdr:rowOff>122814</xdr:rowOff>
    </xdr:from>
    <xdr:to>
      <xdr:col>18</xdr:col>
      <xdr:colOff>102305</xdr:colOff>
      <xdr:row>70</xdr:row>
      <xdr:rowOff>1633</xdr:rowOff>
    </xdr:to>
    <xdr:graphicFrame macro="">
      <xdr:nvGraphicFramePr>
        <xdr:cNvPr id="12" name="Chart 11">
          <a:extLst>
            <a:ext uri="{FF2B5EF4-FFF2-40B4-BE49-F238E27FC236}">
              <a16:creationId xmlns:a16="http://schemas.microsoft.com/office/drawing/2014/main" id="{4B934475-EDF8-46A9-8AB0-FE277668B3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0</xdr:col>
      <xdr:colOff>66629</xdr:colOff>
      <xdr:row>70</xdr:row>
      <xdr:rowOff>187233</xdr:rowOff>
    </xdr:from>
    <xdr:to>
      <xdr:col>9</xdr:col>
      <xdr:colOff>10865</xdr:colOff>
      <xdr:row>93</xdr:row>
      <xdr:rowOff>73637</xdr:rowOff>
    </xdr:to>
    <xdr:graphicFrame macro="">
      <xdr:nvGraphicFramePr>
        <xdr:cNvPr id="13" name="Chart 12">
          <a:extLst>
            <a:ext uri="{FF2B5EF4-FFF2-40B4-BE49-F238E27FC236}">
              <a16:creationId xmlns:a16="http://schemas.microsoft.com/office/drawing/2014/main" id="{3513C276-C27C-47A9-948D-F82D3AB1F2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9</xdr:col>
      <xdr:colOff>193583</xdr:colOff>
      <xdr:row>70</xdr:row>
      <xdr:rowOff>174625</xdr:rowOff>
    </xdr:from>
    <xdr:to>
      <xdr:col>18</xdr:col>
      <xdr:colOff>110358</xdr:colOff>
      <xdr:row>93</xdr:row>
      <xdr:rowOff>59560</xdr:rowOff>
    </xdr:to>
    <xdr:graphicFrame macro="">
      <xdr:nvGraphicFramePr>
        <xdr:cNvPr id="14" name="Chart 13">
          <a:extLst>
            <a:ext uri="{FF2B5EF4-FFF2-40B4-BE49-F238E27FC236}">
              <a16:creationId xmlns:a16="http://schemas.microsoft.com/office/drawing/2014/main" id="{D4F139C7-243C-4B83-9167-90D633F269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18</xdr:col>
      <xdr:colOff>285290</xdr:colOff>
      <xdr:row>47</xdr:row>
      <xdr:rowOff>110435</xdr:rowOff>
    </xdr:from>
    <xdr:to>
      <xdr:col>27</xdr:col>
      <xdr:colOff>221943</xdr:colOff>
      <xdr:row>69</xdr:row>
      <xdr:rowOff>181871</xdr:rowOff>
    </xdr:to>
    <xdr:graphicFrame macro="">
      <xdr:nvGraphicFramePr>
        <xdr:cNvPr id="15" name="Chart 14">
          <a:extLst>
            <a:ext uri="{FF2B5EF4-FFF2-40B4-BE49-F238E27FC236}">
              <a16:creationId xmlns:a16="http://schemas.microsoft.com/office/drawing/2014/main" id="{1053E07E-DF0E-495D-8795-FFF4C2613B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37</xdr:col>
      <xdr:colOff>35386</xdr:colOff>
      <xdr:row>47</xdr:row>
      <xdr:rowOff>127413</xdr:rowOff>
    </xdr:from>
    <xdr:to>
      <xdr:col>54</xdr:col>
      <xdr:colOff>532342</xdr:colOff>
      <xdr:row>92</xdr:row>
      <xdr:rowOff>179457</xdr:rowOff>
    </xdr:to>
    <xdr:graphicFrame macro="">
      <xdr:nvGraphicFramePr>
        <xdr:cNvPr id="16" name="Chart 15">
          <a:extLst>
            <a:ext uri="{FF2B5EF4-FFF2-40B4-BE49-F238E27FC236}">
              <a16:creationId xmlns:a16="http://schemas.microsoft.com/office/drawing/2014/main" id="{9CF605D9-3BAA-46F0-85AC-9AE278CFAF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36</xdr:col>
      <xdr:colOff>601364</xdr:colOff>
      <xdr:row>0</xdr:row>
      <xdr:rowOff>174854</xdr:rowOff>
    </xdr:from>
    <xdr:to>
      <xdr:col>54</xdr:col>
      <xdr:colOff>546147</xdr:colOff>
      <xdr:row>46</xdr:row>
      <xdr:rowOff>39985</xdr:rowOff>
    </xdr:to>
    <xdr:graphicFrame macro="">
      <xdr:nvGraphicFramePr>
        <xdr:cNvPr id="17" name="Chart 16">
          <a:extLst>
            <a:ext uri="{FF2B5EF4-FFF2-40B4-BE49-F238E27FC236}">
              <a16:creationId xmlns:a16="http://schemas.microsoft.com/office/drawing/2014/main" id="{777F9C44-156B-49F7-9557-F2AC729842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27</xdr:col>
      <xdr:colOff>413027</xdr:colOff>
      <xdr:row>47</xdr:row>
      <xdr:rowOff>99943</xdr:rowOff>
    </xdr:from>
    <xdr:to>
      <xdr:col>36</xdr:col>
      <xdr:colOff>346505</xdr:colOff>
      <xdr:row>69</xdr:row>
      <xdr:rowOff>171793</xdr:rowOff>
    </xdr:to>
    <xdr:graphicFrame macro="">
      <xdr:nvGraphicFramePr>
        <xdr:cNvPr id="18" name="Chart 17">
          <a:extLst>
            <a:ext uri="{FF2B5EF4-FFF2-40B4-BE49-F238E27FC236}">
              <a16:creationId xmlns:a16="http://schemas.microsoft.com/office/drawing/2014/main" id="{2043EDB4-C5F8-47EE-9CCE-033F25744E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wsDr>
</file>

<file path=xl/drawings/drawing34.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0.82619</cdr:x>
      <cdr:y>0.00447</cdr:y>
    </cdr:from>
    <cdr:to>
      <cdr:x>0.96877</cdr:x>
      <cdr:y>0.08933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83100" y="19050"/>
          <a:ext cx="773642" cy="3619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5.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0.82364</cdr:x>
      <cdr:y>0.0179</cdr:y>
    </cdr:from>
    <cdr:to>
      <cdr:x>0.97111</cdr:x>
      <cdr:y>0.10545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64050" y="76200"/>
          <a:ext cx="799226" cy="3726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6.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0.80998</cdr:x>
      <cdr:y>0.00746</cdr:y>
    </cdr:from>
    <cdr:to>
      <cdr:x>0.98361</cdr:x>
      <cdr:y>0.09494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2556" y="31750"/>
          <a:ext cx="941597" cy="37235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7.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0.7944</cdr:x>
      <cdr:y>0.00149</cdr:y>
    </cdr:from>
    <cdr:to>
      <cdr:x>0.97689</cdr:x>
      <cdr:y>0.1053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05530" y="6350"/>
          <a:ext cx="989084" cy="44219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8.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0.75876</cdr:x>
      <cdr:y>0.00447</cdr:y>
    </cdr:from>
    <cdr:to>
      <cdr:x>0.93079</cdr:x>
      <cdr:y>0.10445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14800" y="19050"/>
          <a:ext cx="932944" cy="42581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9.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0.76975</cdr:x>
      <cdr:y>0.01193</cdr:y>
    </cdr:from>
    <cdr:to>
      <cdr:x>0.94272</cdr:x>
      <cdr:y>0.10683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1950" y="50800"/>
          <a:ext cx="937453" cy="40423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0.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0.75408</cdr:x>
      <cdr:y>0.00149</cdr:y>
    </cdr:from>
    <cdr:to>
      <cdr:x>0.93514</cdr:x>
      <cdr:y>0.10224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9400" y="6350"/>
          <a:ext cx="981904" cy="42917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1.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0.77002</cdr:x>
      <cdr:y>0.00447</cdr:y>
    </cdr:from>
    <cdr:to>
      <cdr:x>0.9426</cdr:x>
      <cdr:y>0.10482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8300" y="19050"/>
          <a:ext cx="936441" cy="42742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2.xml><?xml version="1.0" encoding="utf-8"?>
<c:userShapes xmlns:c="http://schemas.openxmlformats.org/drawingml/2006/chart">
  <cdr:relSizeAnchor xmlns:cdr="http://schemas.openxmlformats.org/drawingml/2006/chartDrawing">
    <cdr:from>
      <cdr:x>0.71663</cdr:x>
      <cdr:y>0.02684</cdr:y>
    </cdr:from>
    <cdr:to>
      <cdr:x>0.98111</cdr:x>
      <cdr:y>0.11637</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17700" y="114300"/>
          <a:ext cx="707749" cy="38136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3.xml><?xml version="1.0" encoding="utf-8"?>
<c:userShapes xmlns:c="http://schemas.openxmlformats.org/drawingml/2006/chart">
  <cdr:relSizeAnchor xmlns:cdr="http://schemas.openxmlformats.org/drawingml/2006/chartDrawing">
    <cdr:from>
      <cdr:x>0.70669</cdr:x>
      <cdr:y>0.06545</cdr:y>
    </cdr:from>
    <cdr:to>
      <cdr:x>0.97707</cdr:x>
      <cdr:y>0.14371</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950" y="279400"/>
          <a:ext cx="721553" cy="33406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4.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0.75759</cdr:x>
      <cdr:y>0.03431</cdr:y>
    </cdr:from>
    <cdr:to>
      <cdr:x>0.95875</cdr:x>
      <cdr:y>0.1566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08450" y="146050"/>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5.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0.80916</cdr:x>
      <cdr:y>0.00595</cdr:y>
    </cdr:from>
    <cdr:to>
      <cdr:x>0.98782</cdr:x>
      <cdr:y>0.09748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4246" y="25400"/>
          <a:ext cx="970218" cy="39061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0.77918</cdr:x>
      <cdr:y>0.02828</cdr:y>
    </cdr:from>
    <cdr:to>
      <cdr:x>0.96077</cdr:x>
      <cdr:y>0.13172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10050" y="120650"/>
          <a:ext cx="981167" cy="4413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7.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0.79576</cdr:x>
      <cdr:y>0.01191</cdr:y>
    </cdr:from>
    <cdr:to>
      <cdr:x>0.96787</cdr:x>
      <cdr:y>0.10065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18000" y="50800"/>
          <a:ext cx="933910" cy="37851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8.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0.83028</cdr:x>
      <cdr:y>0</cdr:y>
    </cdr:from>
    <cdr:to>
      <cdr:x>0.9504</cdr:x>
      <cdr:y>0.08646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017000" y="0"/>
          <a:ext cx="1304464" cy="74571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9.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0.86535</cdr:x>
      <cdr:y>0</cdr:y>
    </cdr:from>
    <cdr:to>
      <cdr:x>0.97528</cdr:x>
      <cdr:y>0.08792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447512" y="0"/>
          <a:ext cx="1200150" cy="7585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0.83233</cdr:x>
      <cdr:y>0.00447</cdr:y>
    </cdr:from>
    <cdr:to>
      <cdr:x>0.9923</cdr:x>
      <cdr:y>0.09721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508500" y="19050"/>
          <a:ext cx="866498" cy="39535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1.xml><?xml version="1.0" encoding="utf-8"?>
<xdr:wsDr xmlns:xdr="http://schemas.openxmlformats.org/drawingml/2006/spreadsheetDrawing" xmlns:a="http://schemas.openxmlformats.org/drawingml/2006/main">
  <xdr:twoCellAnchor>
    <xdr:from>
      <xdr:col>12</xdr:col>
      <xdr:colOff>561975</xdr:colOff>
      <xdr:row>32</xdr:row>
      <xdr:rowOff>66675</xdr:rowOff>
    </xdr:from>
    <xdr:to>
      <xdr:col>20</xdr:col>
      <xdr:colOff>618450</xdr:colOff>
      <xdr:row>58</xdr:row>
      <xdr:rowOff>148050</xdr:rowOff>
    </xdr:to>
    <xdr:graphicFrame macro="">
      <xdr:nvGraphicFramePr>
        <xdr:cNvPr id="2" name="Chart 1">
          <a:extLst>
            <a:ext uri="{FF2B5EF4-FFF2-40B4-BE49-F238E27FC236}">
              <a16:creationId xmlns:a16="http://schemas.microsoft.com/office/drawing/2014/main" id="{4B27B941-F5AF-4E8D-89F6-DD1BDCBE52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2.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externalLinks/_rels/externalLink1.xml.rels><?xml version="1.0" encoding="UTF-8" standalone="yes"?>
<Relationships xmlns="http://schemas.openxmlformats.org/package/2006/relationships"><Relationship Id="rId1" Type="http://schemas.openxmlformats.org/officeDocument/2006/relationships/externalLinkPath" Target="Kajaria%20Ceramic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VM_Checklist"/>
      <sheetName val="Phil Fisher"/>
      <sheetName val="Buffett"/>
      <sheetName val="ChartReport (2)"/>
      <sheetName val="VMpara"/>
      <sheetName val="ChartsData"/>
      <sheetName val="ChartReport"/>
      <sheetName val="VMAnalysis"/>
      <sheetName val="QA"/>
      <sheetName val="Key Ratios"/>
      <sheetName val="Common Size Analysis"/>
      <sheetName val="Profit &amp; Loss"/>
      <sheetName val="Balance Sheet"/>
      <sheetName val="Cash Flow"/>
      <sheetName val="Screener Output"/>
      <sheetName val="Quarters"/>
      <sheetName val="AtGlance"/>
      <sheetName val="FutureEPS"/>
      <sheetName val="Intrinsic Values"/>
      <sheetName val="Dhandho IV"/>
      <sheetName val="Ben Graham Formula"/>
      <sheetName val="DCF"/>
      <sheetName val="Expected Returns"/>
      <sheetName val="Customization"/>
      <sheetName val="Data Shee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row r="1">
          <cell r="E1" t="str">
            <v/>
          </cell>
        </row>
        <row r="41">
          <cell r="K41">
            <v>45291</v>
          </cell>
        </row>
        <row r="42">
          <cell r="H42">
            <v>1204.82</v>
          </cell>
          <cell r="I42">
            <v>1064.23</v>
          </cell>
          <cell r="J42">
            <v>1121.6199999999999</v>
          </cell>
          <cell r="K42">
            <v>1151.75</v>
          </cell>
        </row>
        <row r="44">
          <cell r="H44">
            <v>6.17</v>
          </cell>
          <cell r="I44">
            <v>9.2799999999999994</v>
          </cell>
          <cell r="J44">
            <v>8.27</v>
          </cell>
          <cell r="K44">
            <v>11.27</v>
          </cell>
        </row>
        <row r="45">
          <cell r="H45">
            <v>34.32</v>
          </cell>
          <cell r="I45">
            <v>30.52</v>
          </cell>
          <cell r="J45">
            <v>36.07</v>
          </cell>
          <cell r="K45">
            <v>38.909999999999997</v>
          </cell>
        </row>
        <row r="46">
          <cell r="H46">
            <v>7.24</v>
          </cell>
          <cell r="I46">
            <v>5.27</v>
          </cell>
          <cell r="J46">
            <v>4.26</v>
          </cell>
          <cell r="K46">
            <v>4.9800000000000004</v>
          </cell>
        </row>
        <row r="47">
          <cell r="H47">
            <v>140.47</v>
          </cell>
          <cell r="I47">
            <v>142.69999999999999</v>
          </cell>
          <cell r="J47">
            <v>147.43</v>
          </cell>
          <cell r="K47">
            <v>145.85</v>
          </cell>
        </row>
        <row r="48">
          <cell r="H48">
            <v>29.78</v>
          </cell>
          <cell r="I48">
            <v>33.590000000000003</v>
          </cell>
          <cell r="J48">
            <v>36.61</v>
          </cell>
          <cell r="K48">
            <v>37.89</v>
          </cell>
        </row>
        <row r="49">
          <cell r="H49">
            <v>108.02</v>
          </cell>
          <cell r="I49">
            <v>107.52</v>
          </cell>
          <cell r="J49">
            <v>107.96</v>
          </cell>
          <cell r="K49">
            <v>104.19</v>
          </cell>
        </row>
        <row r="50">
          <cell r="H50">
            <v>175.86</v>
          </cell>
          <cell r="I50">
            <v>169.21</v>
          </cell>
          <cell r="J50">
            <v>179.49</v>
          </cell>
          <cell r="K50">
            <v>178.47</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2:L59" totalsRowShown="0" headerRowDxfId="148" headerRowBorderDxfId="147" tableBorderDxfId="146" totalsRowBorderDxfId="145">
  <tableColumns count="12">
    <tableColumn id="1" xr3:uid="{00000000-0010-0000-0000-000001000000}" name="YEARS" dataDxfId="144"/>
    <tableColumn id="2" xr3:uid="{00000000-0010-0000-0000-000002000000}" name="Mar-14" dataDxfId="143"/>
    <tableColumn id="3" xr3:uid="{00000000-0010-0000-0000-000003000000}" name="Mar-15" dataDxfId="142"/>
    <tableColumn id="4" xr3:uid="{00000000-0010-0000-0000-000004000000}" name="Mar-16" dataDxfId="141"/>
    <tableColumn id="5" xr3:uid="{00000000-0010-0000-0000-000005000000}" name="Mar-17" dataDxfId="140"/>
    <tableColumn id="6" xr3:uid="{00000000-0010-0000-0000-000006000000}" name="Mar-18" dataDxfId="139"/>
    <tableColumn id="7" xr3:uid="{00000000-0010-0000-0000-000007000000}" name="Mar-19" dataDxfId="138"/>
    <tableColumn id="8" xr3:uid="{00000000-0010-0000-0000-000008000000}" name="Mar-20" dataDxfId="137"/>
    <tableColumn id="9" xr3:uid="{00000000-0010-0000-0000-000009000000}" name="Mar-21" dataDxfId="136"/>
    <tableColumn id="10" xr3:uid="{00000000-0010-0000-0000-00000A000000}" name="Mar-22" dataDxfId="135"/>
    <tableColumn id="11" xr3:uid="{00000000-0010-0000-0000-00000B000000}" name="Mar-23" dataDxfId="134"/>
    <tableColumn id="12" xr3:uid="{00000000-0010-0000-0000-00000C000000}" name="Last 4 Quarters" dataDxfId="133"/>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Annual" displayName="Annual" ref="A3:L35" headerRowCount="0" totalsRowCount="1" headerRowDxfId="132" dataDxfId="131">
  <tableColumns count="12">
    <tableColumn id="1" xr3:uid="{00000000-0010-0000-0100-000001000000}" name="Column1" headerRowDxfId="130" dataDxfId="129" totalsRowDxfId="128"/>
    <tableColumn id="2" xr3:uid="{00000000-0010-0000-0100-000002000000}" name="Column2" headerRowDxfId="127" dataDxfId="126" totalsRowDxfId="125"/>
    <tableColumn id="3" xr3:uid="{00000000-0010-0000-0100-000003000000}" name="Column3" headerRowDxfId="124" dataDxfId="123" totalsRowDxfId="122"/>
    <tableColumn id="4" xr3:uid="{00000000-0010-0000-0100-000004000000}" name="Column4" headerRowDxfId="121" dataDxfId="120" totalsRowDxfId="119"/>
    <tableColumn id="5" xr3:uid="{00000000-0010-0000-0100-000005000000}" name="Column5" headerRowDxfId="118" dataDxfId="117" totalsRowDxfId="116"/>
    <tableColumn id="6" xr3:uid="{00000000-0010-0000-0100-000006000000}" name="Column6" headerRowDxfId="115" dataDxfId="114" totalsRowDxfId="113"/>
    <tableColumn id="7" xr3:uid="{00000000-0010-0000-0100-000007000000}" name="Column7" headerRowDxfId="112" dataDxfId="111" totalsRowDxfId="110"/>
    <tableColumn id="8" xr3:uid="{00000000-0010-0000-0100-000008000000}" name="Column8" headerRowDxfId="109" dataDxfId="108" totalsRowDxfId="107"/>
    <tableColumn id="9" xr3:uid="{00000000-0010-0000-0100-000009000000}" name="Column9" headerRowDxfId="106" dataDxfId="105" totalsRowDxfId="104"/>
    <tableColumn id="10" xr3:uid="{00000000-0010-0000-0100-00000A000000}" name="Column10" headerRowDxfId="103" dataDxfId="102" totalsRowDxfId="101"/>
    <tableColumn id="11" xr3:uid="{00000000-0010-0000-0100-00000B000000}" name="Column11" headerRowDxfId="100" totalsRowDxfId="99"/>
    <tableColumn id="12" xr3:uid="{00000000-0010-0000-0100-00000C000000}" name="Column12" headerRowDxfId="98" dataDxfId="97" totalsRowDxfId="96"/>
  </tableColumns>
  <tableStyleInfo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Quarters" displayName="Quarters" ref="A3:K17" headerRowCount="0" totalsRowShown="0" headerRowDxfId="95" dataDxfId="94" tableBorderDxfId="93" totalsRowBorderDxfId="92">
  <tableColumns count="11">
    <tableColumn id="1" xr3:uid="{00000000-0010-0000-0200-000001000000}" name="Column1" headerRowDxfId="91" dataDxfId="90"/>
    <tableColumn id="2" xr3:uid="{00000000-0010-0000-0200-000002000000}" name="Column2" headerRowDxfId="89" dataDxfId="88"/>
    <tableColumn id="3" xr3:uid="{00000000-0010-0000-0200-000003000000}" name="Column3" headerRowDxfId="87" dataDxfId="86"/>
    <tableColumn id="4" xr3:uid="{00000000-0010-0000-0200-000004000000}" name="Column4" headerRowDxfId="85" dataDxfId="84"/>
    <tableColumn id="5" xr3:uid="{00000000-0010-0000-0200-000005000000}" name="Column5" headerRowDxfId="83" dataDxfId="82"/>
    <tableColumn id="6" xr3:uid="{00000000-0010-0000-0200-000006000000}" name="Column6" headerRowDxfId="81" dataDxfId="80"/>
    <tableColumn id="7" xr3:uid="{00000000-0010-0000-0200-000007000000}" name="Column7" headerRowDxfId="79" dataDxfId="78"/>
    <tableColumn id="8" xr3:uid="{00000000-0010-0000-0200-000008000000}" name="Column8" headerRowDxfId="77" dataDxfId="76"/>
    <tableColumn id="9" xr3:uid="{00000000-0010-0000-0200-000009000000}" name="Column9" headerRowDxfId="75" dataDxfId="74"/>
    <tableColumn id="10" xr3:uid="{00000000-0010-0000-0200-00000A000000}" name="Column10" headerRowDxfId="73" dataDxfId="72"/>
    <tableColumn id="11" xr3:uid="{00000000-0010-0000-0200-00000B000000}" name="Column11" headerRowDxfId="71" dataDxfId="70"/>
  </tableColumns>
  <tableStyleInfo name="TableStyleLight1" showFirstColumn="0" showLastColumn="0" showRowStripes="0"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Adjacency">
  <a:themeElements>
    <a:clrScheme name="Concourse">
      <a:dk1>
        <a:sysClr val="windowText" lastClr="000000"/>
      </a:dk1>
      <a:lt1>
        <a:sysClr val="window" lastClr="FFFFFF"/>
      </a:lt1>
      <a:dk2>
        <a:srgbClr val="464646"/>
      </a:dk2>
      <a:lt2>
        <a:srgbClr val="DEF5FA"/>
      </a:lt2>
      <a:accent1>
        <a:srgbClr val="2DA2BF"/>
      </a:accent1>
      <a:accent2>
        <a:srgbClr val="DA1F28"/>
      </a:accent2>
      <a:accent3>
        <a:srgbClr val="EB641B"/>
      </a:accent3>
      <a:accent4>
        <a:srgbClr val="39639D"/>
      </a:accent4>
      <a:accent5>
        <a:srgbClr val="474B78"/>
      </a:accent5>
      <a:accent6>
        <a:srgbClr val="7D3C4A"/>
      </a:accent6>
      <a:hlink>
        <a:srgbClr val="FF8119"/>
      </a:hlink>
      <a:folHlink>
        <a:srgbClr val="44B9E8"/>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Adjacency">
      <a:fillStyleLst>
        <a:solidFill>
          <a:schemeClr val="phClr"/>
        </a:solidFill>
        <a:solidFill>
          <a:schemeClr val="phClr">
            <a:tint val="55000"/>
          </a:schemeClr>
        </a:solidFill>
        <a:solidFill>
          <a:schemeClr val="phClr"/>
        </a:solidFill>
      </a:fillStyleLst>
      <a:lnStyleLst>
        <a:ln w="12700"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outerShdw blurRad="50800" dist="25400" algn="bl" rotWithShape="0">
              <a:srgbClr val="000000">
                <a:alpha val="60000"/>
              </a:srgbClr>
            </a:outerShdw>
          </a:effectLst>
        </a:effectStyle>
        <a:effectStyle>
          <a:effectLst/>
          <a:scene3d>
            <a:camera prst="orthographicFront">
              <a:rot lat="0" lon="0" rev="0"/>
            </a:camera>
            <a:lightRig rig="brightRoom" dir="tl">
              <a:rot lat="0" lon="0" rev="1800000"/>
            </a:lightRig>
          </a:scene3d>
          <a:sp3d contourW="10160" prstMaterial="dkEdge">
            <a:bevelT w="38100" h="50800" prst="angle"/>
            <a:contourClr>
              <a:schemeClr val="phClr">
                <a:shade val="40000"/>
                <a:satMod val="150000"/>
              </a:schemeClr>
            </a:contourClr>
          </a:sp3d>
        </a:effectStyle>
      </a:effectStyleLst>
      <a:bgFillStyleLst>
        <a:solidFill>
          <a:schemeClr val="phClr"/>
        </a:solidFill>
        <a:gradFill rotWithShape="1">
          <a:gsLst>
            <a:gs pos="0">
              <a:schemeClr val="phClr">
                <a:tint val="90000"/>
              </a:schemeClr>
            </a:gs>
            <a:gs pos="75000">
              <a:schemeClr val="phClr">
                <a:shade val="100000"/>
                <a:satMod val="115000"/>
              </a:schemeClr>
            </a:gs>
            <a:gs pos="100000">
              <a:schemeClr val="phClr">
                <a:shade val="70000"/>
                <a:satMod val="130000"/>
              </a:schemeClr>
            </a:gs>
          </a:gsLst>
          <a:path path="circle">
            <a:fillToRect l="20000" t="50000" r="100000" b="50000"/>
          </a:path>
        </a:gradFill>
        <a:blipFill rotWithShape="1">
          <a:blip xmlns:r="http://schemas.openxmlformats.org/officeDocument/2006/relationships" r:embed="rId1">
            <a:duotone>
              <a:schemeClr val="phClr">
                <a:tint val="97000"/>
              </a:schemeClr>
              <a:schemeClr val="phClr">
                <a:shade val="96000"/>
              </a:schemeClr>
            </a:duotone>
          </a:blip>
          <a:tile tx="0" ty="0" sx="32000" sy="32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8" Type="http://schemas.openxmlformats.org/officeDocument/2006/relationships/hyperlink" Target="https://www.drvijaymalik.com/2014/12/selecting-top-stocks-to-buy-part-9.html" TargetMode="External"/><Relationship Id="rId13" Type="http://schemas.openxmlformats.org/officeDocument/2006/relationships/hyperlink" Target="https://www.drvijaymalik.com/2015/06/self-sustainable-growth-rate-measure-of.html" TargetMode="External"/><Relationship Id="rId3" Type="http://schemas.openxmlformats.org/officeDocument/2006/relationships/hyperlink" Target="https://www.drvijaymalik.com/2014/12/valuation-analysis-guide.html" TargetMode="External"/><Relationship Id="rId7" Type="http://schemas.openxmlformats.org/officeDocument/2006/relationships/hyperlink" Target="https://www.drvijaymalik.com/2014/12/business-industry-analysis-guide.html" TargetMode="External"/><Relationship Id="rId12" Type="http://schemas.openxmlformats.org/officeDocument/2006/relationships/hyperlink" Target="https://www.drvijaymalik.com/2015/05/how-many-stocks-you-should-own-in-your-portfolio.html" TargetMode="External"/><Relationship Id="rId2" Type="http://schemas.openxmlformats.org/officeDocument/2006/relationships/hyperlink" Target="https://www.drvijaymalik.com/2017/05/understanding-cash-flow-from-operations-cfo.html" TargetMode="External"/><Relationship Id="rId1" Type="http://schemas.openxmlformats.org/officeDocument/2006/relationships/hyperlink" Target="https://www.drvijaymalik.com/2014/12/financial-analysis-companies-guide.html" TargetMode="External"/><Relationship Id="rId6" Type="http://schemas.openxmlformats.org/officeDocument/2006/relationships/hyperlink" Target="https://www.drvijaymalik.com/2015/05/when-to-sell-stock.html" TargetMode="External"/><Relationship Id="rId11" Type="http://schemas.openxmlformats.org/officeDocument/2006/relationships/hyperlink" Target="https://www.drvijaymalik.com/2016/05/steps-to-assess-management-quality-before-buying-stocks-moneylife-session.html" TargetMode="External"/><Relationship Id="rId5" Type="http://schemas.openxmlformats.org/officeDocument/2006/relationships/hyperlink" Target="https://www.drvijaymalik.com/2016/02/margin-of-safety-in-stock-investing.html" TargetMode="External"/><Relationship Id="rId15" Type="http://schemas.openxmlformats.org/officeDocument/2006/relationships/hyperlink" Target="https://www.drvijaymalik.com/2015/08/use-of-credit-rating-reports-in-stock-analysis.html" TargetMode="External"/><Relationship Id="rId10" Type="http://schemas.openxmlformats.org/officeDocument/2006/relationships/hyperlink" Target="https://www.drvijaymalik.com/2018/04/ideal-level-of-promoters-remuneration-capitalization-of-inventory-qip-pricing.html" TargetMode="External"/><Relationship Id="rId4" Type="http://schemas.openxmlformats.org/officeDocument/2006/relationships/hyperlink" Target="https://www.drvijaymalik.com/2016/08/3-principles-to-decide-investable-pe-ratio-of-a-stock-for-value-investors.html" TargetMode="External"/><Relationship Id="rId9" Type="http://schemas.openxmlformats.org/officeDocument/2006/relationships/hyperlink" Target="https://www.drvijaymalik.com/2016/05/steps-to-assess-management-quality-before-buying-stocks-moneylife-session.html" TargetMode="External"/><Relationship Id="rId14" Type="http://schemas.openxmlformats.org/officeDocument/2006/relationships/hyperlink" Target="https://www.drvijaymalik.com/2018/07/complete-guide-free-cash-flow-fcf.html" TargetMode="Externa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4.x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4.v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11.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51.xml"/><Relationship Id="rId1" Type="http://schemas.openxmlformats.org/officeDocument/2006/relationships/printerSettings" Target="../printerSettings/printerSettings7.bin"/><Relationship Id="rId5" Type="http://schemas.openxmlformats.org/officeDocument/2006/relationships/comments" Target="../comments7.xml"/><Relationship Id="rId4" Type="http://schemas.openxmlformats.org/officeDocument/2006/relationships/table" Target="../tables/table2.xml"/></Relationships>
</file>

<file path=xl/worksheets/_rels/sheet15.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printerSettings" Target="../printerSettings/printerSettings11.bin"/><Relationship Id="rId1" Type="http://schemas.openxmlformats.org/officeDocument/2006/relationships/hyperlink" Target="http://www.screener.in/"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amzn.to/2xRdlRK" TargetMode="External"/><Relationship Id="rId1" Type="http://schemas.openxmlformats.org/officeDocument/2006/relationships/hyperlink" Target="https://www.safalniveshak.com/dhandho-investor-guide-to-intrinsic-value/" TargetMode="External"/><Relationship Id="rId5" Type="http://schemas.openxmlformats.org/officeDocument/2006/relationships/comments" Target="../comments10.xml"/><Relationship Id="rId4" Type="http://schemas.openxmlformats.org/officeDocument/2006/relationships/vmlDrawing" Target="../drawings/vmlDrawing10.vml"/></Relationships>
</file>

<file path=xl/worksheets/_rels/sheet23.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printerSettings" Target="../printerSettings/printerSettings15.bin"/><Relationship Id="rId1" Type="http://schemas.openxmlformats.org/officeDocument/2006/relationships/hyperlink" Target="http://www.safalniveshak.com/value-stocks-using-dcf/" TargetMode="External"/><Relationship Id="rId4" Type="http://schemas.openxmlformats.org/officeDocument/2006/relationships/comments" Target="../comments12.xml"/></Relationships>
</file>

<file path=xl/worksheets/_rels/sheet25.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hyperlink" Target="http://goo.gl/F4PjL7" TargetMode="External"/></Relationships>
</file>

<file path=xl/worksheets/_rels/sheet26.xml.rels><?xml version="1.0" encoding="UTF-8" standalone="yes"?>
<Relationships xmlns="http://schemas.openxmlformats.org/package/2006/relationships"><Relationship Id="rId2" Type="http://schemas.openxmlformats.org/officeDocument/2006/relationships/hyperlink" Target="mailto:stressfreeinvesting1@gmail.com" TargetMode="External"/><Relationship Id="rId1" Type="http://schemas.openxmlformats.org/officeDocument/2006/relationships/hyperlink" Target="http://www.screener.in/exce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s://www.screener.in/exc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6">
    <tabColor rgb="FFC00000"/>
  </sheetPr>
  <dimension ref="A1:A16"/>
  <sheetViews>
    <sheetView workbookViewId="0"/>
  </sheetViews>
  <sheetFormatPr defaultColWidth="8.7109375" defaultRowHeight="12.75"/>
  <cols>
    <col min="1" max="1" width="151.42578125" style="226" customWidth="1"/>
    <col min="2" max="16384" width="8.7109375" style="226"/>
  </cols>
  <sheetData>
    <row r="1" spans="1:1" ht="19.5">
      <c r="A1" s="398" t="s">
        <v>629</v>
      </c>
    </row>
    <row r="2" spans="1:1" ht="16.5" thickBot="1">
      <c r="A2" s="227"/>
    </row>
    <row r="3" spans="1:1" ht="15.75">
      <c r="A3" s="396" t="s">
        <v>243</v>
      </c>
    </row>
    <row r="4" spans="1:1" ht="15">
      <c r="A4" s="393" t="s">
        <v>256</v>
      </c>
    </row>
    <row r="5" spans="1:1" ht="15">
      <c r="A5" s="395" t="s">
        <v>257</v>
      </c>
    </row>
    <row r="6" spans="1:1">
      <c r="A6" s="394" t="s">
        <v>623</v>
      </c>
    </row>
    <row r="7" spans="1:1">
      <c r="A7" s="394" t="s">
        <v>624</v>
      </c>
    </row>
    <row r="9" spans="1:1" ht="13.5" thickBot="1"/>
    <row r="10" spans="1:1" ht="15.75">
      <c r="A10" s="396" t="s">
        <v>244</v>
      </c>
    </row>
    <row r="11" spans="1:1">
      <c r="A11" s="394" t="s">
        <v>625</v>
      </c>
    </row>
    <row r="12" spans="1:1">
      <c r="A12" s="394" t="s">
        <v>626</v>
      </c>
    </row>
    <row r="13" spans="1:1" ht="25.5">
      <c r="A13" s="394" t="s">
        <v>628</v>
      </c>
    </row>
    <row r="14" spans="1:1">
      <c r="A14" s="394" t="s">
        <v>627</v>
      </c>
    </row>
    <row r="16" spans="1:1">
      <c r="A16" s="397" t="s">
        <v>258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D33"/>
  <sheetViews>
    <sheetView workbookViewId="0">
      <selection activeCell="D42" sqref="D42"/>
    </sheetView>
  </sheetViews>
  <sheetFormatPr defaultRowHeight="15"/>
  <cols>
    <col min="1" max="1" width="2.85546875" bestFit="1" customWidth="1"/>
    <col min="2" max="2" width="19" bestFit="1" customWidth="1"/>
    <col min="3" max="3" width="38.5703125" bestFit="1" customWidth="1"/>
    <col min="4" max="4" width="83.5703125" customWidth="1"/>
  </cols>
  <sheetData>
    <row r="1" spans="1:4" ht="21" thickBot="1">
      <c r="A1" s="634" t="s">
        <v>538</v>
      </c>
      <c r="B1" s="635"/>
      <c r="C1" s="635"/>
      <c r="D1" s="636"/>
    </row>
    <row r="2" spans="1:4" ht="30.75" thickBot="1">
      <c r="A2" s="637">
        <v>1</v>
      </c>
      <c r="B2" s="639" t="s">
        <v>539</v>
      </c>
      <c r="C2" s="639" t="s">
        <v>540</v>
      </c>
      <c r="D2" s="399" t="s">
        <v>541</v>
      </c>
    </row>
    <row r="3" spans="1:4" ht="15.75" thickBot="1">
      <c r="A3" s="638"/>
      <c r="B3" s="640"/>
      <c r="C3" s="640"/>
      <c r="D3" s="399" t="s">
        <v>542</v>
      </c>
    </row>
    <row r="4" spans="1:4" ht="15.75" thickBot="1">
      <c r="A4" s="400">
        <v>2</v>
      </c>
      <c r="B4" s="401" t="s">
        <v>543</v>
      </c>
      <c r="C4" s="402" t="s">
        <v>544</v>
      </c>
      <c r="D4" s="402" t="s">
        <v>545</v>
      </c>
    </row>
    <row r="5" spans="1:4" ht="27" thickBot="1">
      <c r="A5" s="400">
        <v>3</v>
      </c>
      <c r="B5" s="402" t="s">
        <v>546</v>
      </c>
      <c r="C5" s="403" t="s">
        <v>547</v>
      </c>
      <c r="D5" s="402" t="s">
        <v>548</v>
      </c>
    </row>
    <row r="6" spans="1:4" ht="15.75" thickBot="1">
      <c r="A6" s="400">
        <v>4</v>
      </c>
      <c r="B6" s="402" t="s">
        <v>549</v>
      </c>
      <c r="C6" s="402" t="s">
        <v>550</v>
      </c>
      <c r="D6" s="402"/>
    </row>
    <row r="7" spans="1:4" ht="15.75" thickBot="1">
      <c r="A7" s="400">
        <v>5</v>
      </c>
      <c r="B7" s="402" t="s">
        <v>551</v>
      </c>
      <c r="C7" s="402" t="s">
        <v>552</v>
      </c>
      <c r="D7" s="402" t="s">
        <v>553</v>
      </c>
    </row>
    <row r="8" spans="1:4" ht="15.75" thickBot="1">
      <c r="A8" s="400">
        <v>6</v>
      </c>
      <c r="B8" s="402" t="s">
        <v>554</v>
      </c>
      <c r="C8" s="402" t="s">
        <v>555</v>
      </c>
      <c r="D8" s="402"/>
    </row>
    <row r="9" spans="1:4" ht="15.75" thickBot="1">
      <c r="A9" s="637">
        <v>7</v>
      </c>
      <c r="B9" s="637" t="s">
        <v>556</v>
      </c>
      <c r="C9" s="637" t="s">
        <v>557</v>
      </c>
      <c r="D9" s="402" t="s">
        <v>558</v>
      </c>
    </row>
    <row r="10" spans="1:4" ht="15.75" thickBot="1">
      <c r="A10" s="638"/>
      <c r="B10" s="638"/>
      <c r="C10" s="638"/>
      <c r="D10" s="402" t="s">
        <v>559</v>
      </c>
    </row>
    <row r="11" spans="1:4" ht="27" thickBot="1">
      <c r="A11" s="400">
        <v>8</v>
      </c>
      <c r="B11" s="402" t="s">
        <v>560</v>
      </c>
      <c r="C11" s="402" t="s">
        <v>561</v>
      </c>
      <c r="D11" s="402" t="s">
        <v>562</v>
      </c>
    </row>
    <row r="12" spans="1:4" ht="21" thickBot="1">
      <c r="A12" s="626" t="s">
        <v>563</v>
      </c>
      <c r="B12" s="627"/>
      <c r="C12" s="627"/>
      <c r="D12" s="628"/>
    </row>
    <row r="13" spans="1:4" ht="15.75" thickBot="1">
      <c r="A13" s="404">
        <v>1</v>
      </c>
      <c r="B13" s="405" t="s">
        <v>564</v>
      </c>
      <c r="C13" s="405" t="s">
        <v>565</v>
      </c>
      <c r="D13" s="405" t="s">
        <v>566</v>
      </c>
    </row>
    <row r="14" spans="1:4" ht="27" thickBot="1">
      <c r="A14" s="404">
        <v>2</v>
      </c>
      <c r="B14" s="405" t="s">
        <v>567</v>
      </c>
      <c r="C14" s="405" t="s">
        <v>568</v>
      </c>
      <c r="D14" s="405"/>
    </row>
    <row r="15" spans="1:4" ht="15.75" thickBot="1">
      <c r="A15" s="404">
        <v>3</v>
      </c>
      <c r="B15" s="405" t="s">
        <v>569</v>
      </c>
      <c r="C15" s="405" t="s">
        <v>570</v>
      </c>
      <c r="D15" s="405"/>
    </row>
    <row r="16" spans="1:4" ht="15.75" thickBot="1">
      <c r="A16" s="404">
        <v>4</v>
      </c>
      <c r="B16" s="405" t="s">
        <v>571</v>
      </c>
      <c r="C16" s="405" t="s">
        <v>572</v>
      </c>
      <c r="D16" s="405" t="s">
        <v>573</v>
      </c>
    </row>
    <row r="17" spans="1:4" ht="27" thickBot="1">
      <c r="A17" s="404">
        <v>5</v>
      </c>
      <c r="B17" s="405" t="s">
        <v>574</v>
      </c>
      <c r="C17" s="405" t="s">
        <v>575</v>
      </c>
      <c r="D17" s="405" t="s">
        <v>576</v>
      </c>
    </row>
    <row r="18" spans="1:4" ht="15.75" thickBot="1">
      <c r="A18" s="629">
        <v>6</v>
      </c>
      <c r="B18" s="629" t="s">
        <v>577</v>
      </c>
      <c r="C18" s="629" t="s">
        <v>578</v>
      </c>
      <c r="D18" s="405" t="s">
        <v>579</v>
      </c>
    </row>
    <row r="19" spans="1:4" ht="27" thickBot="1">
      <c r="A19" s="630"/>
      <c r="B19" s="630"/>
      <c r="C19" s="630"/>
      <c r="D19" s="405" t="s">
        <v>580</v>
      </c>
    </row>
    <row r="20" spans="1:4" ht="24" thickBot="1">
      <c r="A20" s="631" t="s">
        <v>581</v>
      </c>
      <c r="B20" s="632"/>
      <c r="C20" s="632"/>
      <c r="D20" s="633"/>
    </row>
    <row r="21" spans="1:4" ht="39.75" thickBot="1">
      <c r="A21" s="406">
        <v>1</v>
      </c>
      <c r="B21" s="407" t="s">
        <v>582</v>
      </c>
      <c r="C21" s="407" t="s">
        <v>583</v>
      </c>
      <c r="D21" s="407" t="s">
        <v>584</v>
      </c>
    </row>
    <row r="22" spans="1:4" ht="27" thickBot="1">
      <c r="A22" s="406">
        <v>2</v>
      </c>
      <c r="B22" s="407" t="s">
        <v>585</v>
      </c>
      <c r="C22" s="407" t="s">
        <v>586</v>
      </c>
      <c r="D22" s="407" t="s">
        <v>587</v>
      </c>
    </row>
    <row r="23" spans="1:4" ht="27" thickBot="1">
      <c r="A23" s="406">
        <v>3</v>
      </c>
      <c r="B23" s="407" t="s">
        <v>588</v>
      </c>
      <c r="C23" s="407" t="s">
        <v>589</v>
      </c>
      <c r="D23" s="407" t="s">
        <v>590</v>
      </c>
    </row>
    <row r="24" spans="1:4" ht="27" thickBot="1">
      <c r="A24" s="406">
        <v>4</v>
      </c>
      <c r="B24" s="407" t="s">
        <v>591</v>
      </c>
      <c r="C24" s="407" t="s">
        <v>592</v>
      </c>
      <c r="D24" s="407" t="s">
        <v>593</v>
      </c>
    </row>
    <row r="25" spans="1:4" ht="15.75" thickBot="1">
      <c r="A25" s="624">
        <v>5</v>
      </c>
      <c r="B25" s="624" t="s">
        <v>594</v>
      </c>
      <c r="C25" s="624" t="s">
        <v>595</v>
      </c>
      <c r="D25" s="407" t="s">
        <v>596</v>
      </c>
    </row>
    <row r="26" spans="1:4" ht="15.75" thickBot="1">
      <c r="A26" s="625"/>
      <c r="B26" s="625"/>
      <c r="C26" s="625"/>
      <c r="D26" s="407" t="s">
        <v>597</v>
      </c>
    </row>
    <row r="27" spans="1:4" ht="27" thickBot="1">
      <c r="A27" s="406">
        <v>6</v>
      </c>
      <c r="B27" s="407" t="s">
        <v>598</v>
      </c>
      <c r="C27" s="407" t="s">
        <v>599</v>
      </c>
      <c r="D27" s="407" t="s">
        <v>600</v>
      </c>
    </row>
    <row r="28" spans="1:4" ht="27" thickBot="1">
      <c r="A28" s="406">
        <v>7</v>
      </c>
      <c r="B28" s="407" t="s">
        <v>601</v>
      </c>
      <c r="C28" s="407" t="s">
        <v>602</v>
      </c>
      <c r="D28" s="407" t="s">
        <v>603</v>
      </c>
    </row>
    <row r="29" spans="1:4" ht="27" thickBot="1">
      <c r="A29" s="406">
        <v>8</v>
      </c>
      <c r="B29" s="407" t="s">
        <v>604</v>
      </c>
      <c r="C29" s="407" t="s">
        <v>605</v>
      </c>
      <c r="D29" s="407" t="s">
        <v>606</v>
      </c>
    </row>
    <row r="30" spans="1:4" ht="27" thickBot="1">
      <c r="A30" s="406">
        <v>9</v>
      </c>
      <c r="B30" s="407" t="s">
        <v>607</v>
      </c>
      <c r="C30" s="407" t="s">
        <v>608</v>
      </c>
      <c r="D30" s="407" t="s">
        <v>609</v>
      </c>
    </row>
    <row r="31" spans="1:4" ht="15.75" thickBot="1">
      <c r="A31" s="406">
        <v>10</v>
      </c>
      <c r="B31" s="407" t="s">
        <v>610</v>
      </c>
      <c r="C31" s="407" t="s">
        <v>611</v>
      </c>
      <c r="D31" s="407" t="s">
        <v>612</v>
      </c>
    </row>
    <row r="32" spans="1:4" ht="15.75" thickBot="1">
      <c r="A32" s="406">
        <v>11</v>
      </c>
      <c r="B32" s="407" t="s">
        <v>613</v>
      </c>
      <c r="C32" s="407" t="s">
        <v>614</v>
      </c>
      <c r="D32" s="407" t="s">
        <v>615</v>
      </c>
    </row>
    <row r="33" spans="1:4" ht="15.75" thickBot="1">
      <c r="A33" s="406">
        <v>12</v>
      </c>
      <c r="B33" s="407" t="s">
        <v>616</v>
      </c>
      <c r="C33" s="407" t="s">
        <v>617</v>
      </c>
      <c r="D33" s="407" t="s">
        <v>618</v>
      </c>
    </row>
  </sheetData>
  <mergeCells count="15">
    <mergeCell ref="A1:D1"/>
    <mergeCell ref="A2:A3"/>
    <mergeCell ref="B2:B3"/>
    <mergeCell ref="C2:C3"/>
    <mergeCell ref="A9:A10"/>
    <mergeCell ref="B9:B10"/>
    <mergeCell ref="C9:C10"/>
    <mergeCell ref="A25:A26"/>
    <mergeCell ref="B25:B26"/>
    <mergeCell ref="C25:C26"/>
    <mergeCell ref="A12:D12"/>
    <mergeCell ref="A18:A19"/>
    <mergeCell ref="B18:B19"/>
    <mergeCell ref="C18:C19"/>
    <mergeCell ref="A20:D2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8">
    <tabColor rgb="FFC00000"/>
  </sheetPr>
  <dimension ref="B3:BB67"/>
  <sheetViews>
    <sheetView showGridLines="0" topLeftCell="AS1" workbookViewId="0">
      <selection activeCell="AS19" sqref="AS19"/>
    </sheetView>
  </sheetViews>
  <sheetFormatPr defaultColWidth="9.140625" defaultRowHeight="12.75"/>
  <cols>
    <col min="1" max="16384" width="9.140625" style="82"/>
  </cols>
  <sheetData>
    <row r="3" spans="2:54">
      <c r="AS3" s="323" t="s">
        <v>496</v>
      </c>
      <c r="BB3" s="323" t="s">
        <v>495</v>
      </c>
    </row>
    <row r="4" spans="2:54" ht="15">
      <c r="B4" s="1" t="s">
        <v>494</v>
      </c>
      <c r="X4" s="82" t="s">
        <v>493</v>
      </c>
      <c r="AS4" s="82" t="s">
        <v>492</v>
      </c>
      <c r="BB4" s="82" t="s">
        <v>491</v>
      </c>
    </row>
    <row r="5" spans="2:54">
      <c r="AS5" s="82" t="s">
        <v>490</v>
      </c>
      <c r="BB5" s="82" t="s">
        <v>489</v>
      </c>
    </row>
    <row r="6" spans="2:54">
      <c r="B6" s="82" t="s">
        <v>488</v>
      </c>
      <c r="X6" s="82" t="s">
        <v>487</v>
      </c>
      <c r="AS6" s="82" t="s">
        <v>486</v>
      </c>
      <c r="BB6" s="82" t="s">
        <v>485</v>
      </c>
    </row>
    <row r="7" spans="2:54">
      <c r="B7" s="82" t="s">
        <v>484</v>
      </c>
      <c r="AS7" s="82" t="s">
        <v>483</v>
      </c>
    </row>
    <row r="8" spans="2:54">
      <c r="B8" s="82" t="s">
        <v>482</v>
      </c>
      <c r="X8" s="82" t="s">
        <v>481</v>
      </c>
      <c r="AS8" s="82" t="s">
        <v>480</v>
      </c>
      <c r="BB8" s="82" t="s">
        <v>479</v>
      </c>
    </row>
    <row r="9" spans="2:54">
      <c r="B9" s="82" t="s">
        <v>478</v>
      </c>
      <c r="BB9" s="82" t="s">
        <v>477</v>
      </c>
    </row>
    <row r="10" spans="2:54">
      <c r="B10" s="82" t="s">
        <v>476</v>
      </c>
      <c r="X10" s="82" t="s">
        <v>475</v>
      </c>
      <c r="BB10" s="82" t="s">
        <v>474</v>
      </c>
    </row>
    <row r="11" spans="2:54">
      <c r="AS11" s="323" t="s">
        <v>473</v>
      </c>
      <c r="AT11" s="323"/>
      <c r="BB11" s="82" t="s">
        <v>472</v>
      </c>
    </row>
    <row r="12" spans="2:54">
      <c r="B12" s="82" t="s">
        <v>471</v>
      </c>
      <c r="X12" s="82" t="s">
        <v>470</v>
      </c>
      <c r="AS12" s="82" t="s">
        <v>469</v>
      </c>
      <c r="BB12" s="82" t="s">
        <v>468</v>
      </c>
    </row>
    <row r="13" spans="2:54">
      <c r="B13" s="82" t="s">
        <v>467</v>
      </c>
      <c r="AS13" s="82" t="s">
        <v>466</v>
      </c>
      <c r="BB13" s="82" t="s">
        <v>465</v>
      </c>
    </row>
    <row r="14" spans="2:54">
      <c r="B14" s="82" t="s">
        <v>464</v>
      </c>
      <c r="X14" s="82" t="s">
        <v>463</v>
      </c>
      <c r="AS14" s="82" t="s">
        <v>462</v>
      </c>
      <c r="BB14" s="82" t="s">
        <v>461</v>
      </c>
    </row>
    <row r="15" spans="2:54">
      <c r="B15" s="82" t="s">
        <v>460</v>
      </c>
      <c r="AS15" s="82" t="s">
        <v>459</v>
      </c>
    </row>
    <row r="16" spans="2:54">
      <c r="B16" s="82" t="s">
        <v>458</v>
      </c>
      <c r="X16" s="82" t="s">
        <v>457</v>
      </c>
      <c r="AS16" s="82" t="s">
        <v>456</v>
      </c>
      <c r="BB16" s="82" t="s">
        <v>455</v>
      </c>
    </row>
    <row r="17" spans="2:54">
      <c r="AS17" s="82" t="s">
        <v>454</v>
      </c>
      <c r="BB17" s="82" t="s">
        <v>453</v>
      </c>
    </row>
    <row r="18" spans="2:54">
      <c r="B18" s="82" t="s">
        <v>452</v>
      </c>
      <c r="X18" s="82" t="s">
        <v>451</v>
      </c>
      <c r="AS18" s="82" t="s">
        <v>450</v>
      </c>
      <c r="BB18" s="82" t="s">
        <v>449</v>
      </c>
    </row>
    <row r="19" spans="2:54">
      <c r="B19" s="82" t="s">
        <v>448</v>
      </c>
      <c r="AS19" s="82" t="s">
        <v>447</v>
      </c>
      <c r="BB19" s="82" t="s">
        <v>446</v>
      </c>
    </row>
    <row r="20" spans="2:54">
      <c r="B20" s="82" t="s">
        <v>445</v>
      </c>
      <c r="X20" s="82" t="s">
        <v>444</v>
      </c>
      <c r="BB20" s="82" t="s">
        <v>443</v>
      </c>
    </row>
    <row r="21" spans="2:54">
      <c r="B21" s="82" t="s">
        <v>442</v>
      </c>
      <c r="BB21" s="82" t="s">
        <v>441</v>
      </c>
    </row>
    <row r="22" spans="2:54">
      <c r="B22" s="82" t="s">
        <v>440</v>
      </c>
      <c r="X22" s="82" t="s">
        <v>439</v>
      </c>
    </row>
    <row r="23" spans="2:54">
      <c r="BB23" s="82" t="s">
        <v>438</v>
      </c>
    </row>
    <row r="24" spans="2:54">
      <c r="B24" s="82" t="s">
        <v>437</v>
      </c>
      <c r="X24" s="82" t="s">
        <v>436</v>
      </c>
      <c r="BB24" s="82" t="s">
        <v>435</v>
      </c>
    </row>
    <row r="25" spans="2:54">
      <c r="B25" s="82" t="s">
        <v>434</v>
      </c>
      <c r="BB25" s="82" t="s">
        <v>433</v>
      </c>
    </row>
    <row r="26" spans="2:54">
      <c r="B26" s="82" t="s">
        <v>432</v>
      </c>
      <c r="X26" s="82" t="s">
        <v>431</v>
      </c>
      <c r="BB26" s="82" t="s">
        <v>430</v>
      </c>
    </row>
    <row r="27" spans="2:54">
      <c r="B27" s="82" t="s">
        <v>429</v>
      </c>
      <c r="BB27" s="82" t="s">
        <v>428</v>
      </c>
    </row>
    <row r="28" spans="2:54">
      <c r="B28" s="82" t="s">
        <v>427</v>
      </c>
      <c r="X28" s="82" t="s">
        <v>426</v>
      </c>
      <c r="BB28" s="82" t="s">
        <v>425</v>
      </c>
    </row>
    <row r="30" spans="2:54">
      <c r="B30" s="82" t="s">
        <v>424</v>
      </c>
      <c r="X30" s="82" t="s">
        <v>423</v>
      </c>
      <c r="BB30" s="82" t="s">
        <v>422</v>
      </c>
    </row>
    <row r="31" spans="2:54">
      <c r="B31" s="82" t="s">
        <v>421</v>
      </c>
      <c r="BB31" s="82" t="s">
        <v>420</v>
      </c>
    </row>
    <row r="32" spans="2:54">
      <c r="B32" s="82" t="s">
        <v>419</v>
      </c>
      <c r="X32" s="82" t="s">
        <v>418</v>
      </c>
      <c r="BB32" s="82" t="s">
        <v>417</v>
      </c>
    </row>
    <row r="33" spans="2:54">
      <c r="B33" s="82" t="s">
        <v>416</v>
      </c>
      <c r="BB33" s="82" t="s">
        <v>415</v>
      </c>
    </row>
    <row r="34" spans="2:54">
      <c r="X34" s="82" t="s">
        <v>414</v>
      </c>
      <c r="BB34" s="82" t="s">
        <v>413</v>
      </c>
    </row>
    <row r="35" spans="2:54">
      <c r="B35" s="82" t="s">
        <v>412</v>
      </c>
    </row>
    <row r="36" spans="2:54">
      <c r="B36" s="82" t="s">
        <v>411</v>
      </c>
      <c r="BB36" s="82" t="s">
        <v>410</v>
      </c>
    </row>
    <row r="37" spans="2:54">
      <c r="B37" s="82" t="s">
        <v>409</v>
      </c>
      <c r="BB37" s="82" t="s">
        <v>408</v>
      </c>
    </row>
    <row r="38" spans="2:54">
      <c r="B38" s="82" t="s">
        <v>407</v>
      </c>
      <c r="BB38" s="82" t="s">
        <v>406</v>
      </c>
    </row>
    <row r="40" spans="2:54">
      <c r="B40" s="82" t="s">
        <v>405</v>
      </c>
    </row>
    <row r="43" spans="2:54">
      <c r="B43" s="641" t="s">
        <v>404</v>
      </c>
      <c r="C43" s="641"/>
      <c r="D43" s="641"/>
      <c r="E43" s="641"/>
      <c r="F43" s="641"/>
      <c r="G43" s="641"/>
      <c r="H43" s="641"/>
      <c r="I43" s="641"/>
      <c r="J43" s="641"/>
      <c r="K43" s="641"/>
      <c r="L43" s="641"/>
      <c r="M43" s="641"/>
      <c r="N43" s="641"/>
      <c r="O43" s="641"/>
      <c r="P43" s="641"/>
      <c r="Q43" s="641"/>
      <c r="R43" s="641"/>
      <c r="S43" s="641"/>
    </row>
    <row r="44" spans="2:54">
      <c r="B44" s="641"/>
      <c r="C44" s="641"/>
      <c r="D44" s="641"/>
      <c r="E44" s="641"/>
      <c r="F44" s="641"/>
      <c r="G44" s="641"/>
      <c r="H44" s="641"/>
      <c r="I44" s="641"/>
      <c r="J44" s="641"/>
      <c r="K44" s="641"/>
      <c r="L44" s="641"/>
      <c r="M44" s="641"/>
      <c r="N44" s="641"/>
      <c r="O44" s="641"/>
      <c r="P44" s="641"/>
      <c r="Q44" s="641"/>
      <c r="R44" s="641"/>
      <c r="S44" s="641"/>
    </row>
    <row r="47" spans="2:54">
      <c r="B47" s="82" t="s">
        <v>403</v>
      </c>
    </row>
    <row r="48" spans="2:54">
      <c r="B48" s="82" t="s">
        <v>402</v>
      </c>
    </row>
    <row r="50" spans="2:17" ht="15.75">
      <c r="B50" s="82" t="s">
        <v>401</v>
      </c>
    </row>
    <row r="51" spans="2:17">
      <c r="B51" s="82" t="s">
        <v>400</v>
      </c>
    </row>
    <row r="53" spans="2:17" ht="15">
      <c r="B53" s="322" t="s">
        <v>399</v>
      </c>
      <c r="C53" s="322"/>
    </row>
    <row r="54" spans="2:17" ht="12.75" customHeight="1">
      <c r="B54" s="641" t="s">
        <v>398</v>
      </c>
      <c r="C54" s="641"/>
      <c r="D54" s="641"/>
      <c r="E54" s="641"/>
      <c r="F54" s="641"/>
      <c r="G54" s="641"/>
      <c r="H54" s="641"/>
      <c r="I54" s="641"/>
      <c r="J54" s="641"/>
      <c r="K54" s="641"/>
      <c r="L54" s="641"/>
      <c r="M54" s="641"/>
      <c r="N54" s="641"/>
      <c r="O54" s="641"/>
      <c r="P54" s="641"/>
      <c r="Q54" s="641"/>
    </row>
    <row r="55" spans="2:17">
      <c r="B55" s="641"/>
      <c r="C55" s="641"/>
      <c r="D55" s="641"/>
      <c r="E55" s="641"/>
      <c r="F55" s="641"/>
      <c r="G55" s="641"/>
      <c r="H55" s="641"/>
      <c r="I55" s="641"/>
      <c r="J55" s="641"/>
      <c r="K55" s="641"/>
      <c r="L55" s="641"/>
      <c r="M55" s="641"/>
      <c r="N55" s="641"/>
      <c r="O55" s="641"/>
      <c r="P55" s="641"/>
      <c r="Q55" s="641"/>
    </row>
    <row r="56" spans="2:17">
      <c r="B56" s="641"/>
      <c r="C56" s="641"/>
      <c r="D56" s="641"/>
      <c r="E56" s="641"/>
      <c r="F56" s="641"/>
      <c r="G56" s="641"/>
      <c r="H56" s="641"/>
      <c r="I56" s="641"/>
      <c r="J56" s="641"/>
      <c r="K56" s="641"/>
      <c r="L56" s="641"/>
      <c r="M56" s="641"/>
      <c r="N56" s="641"/>
      <c r="O56" s="641"/>
      <c r="P56" s="641"/>
      <c r="Q56" s="641"/>
    </row>
    <row r="58" spans="2:17">
      <c r="B58" s="642" t="s">
        <v>397</v>
      </c>
      <c r="C58" s="642"/>
      <c r="D58" s="642"/>
      <c r="E58" s="642"/>
      <c r="F58" s="642"/>
      <c r="G58" s="642"/>
      <c r="H58" s="642"/>
      <c r="I58" s="642"/>
      <c r="J58" s="642"/>
      <c r="K58" s="642"/>
      <c r="L58" s="642"/>
      <c r="M58" s="642"/>
      <c r="N58" s="642"/>
      <c r="O58" s="642"/>
      <c r="P58" s="642"/>
      <c r="Q58" s="642"/>
    </row>
    <row r="59" spans="2:17">
      <c r="B59" s="642"/>
      <c r="C59" s="642"/>
      <c r="D59" s="642"/>
      <c r="E59" s="642"/>
      <c r="F59" s="642"/>
      <c r="G59" s="642"/>
      <c r="H59" s="642"/>
      <c r="I59" s="642"/>
      <c r="J59" s="642"/>
      <c r="K59" s="642"/>
      <c r="L59" s="642"/>
      <c r="M59" s="642"/>
      <c r="N59" s="642"/>
      <c r="O59" s="642"/>
      <c r="P59" s="642"/>
      <c r="Q59" s="642"/>
    </row>
    <row r="60" spans="2:17">
      <c r="B60" s="642"/>
      <c r="C60" s="642"/>
      <c r="D60" s="642"/>
      <c r="E60" s="642"/>
      <c r="F60" s="642"/>
      <c r="G60" s="642"/>
      <c r="H60" s="642"/>
      <c r="I60" s="642"/>
      <c r="J60" s="642"/>
      <c r="K60" s="642"/>
      <c r="L60" s="642"/>
      <c r="M60" s="642"/>
      <c r="N60" s="642"/>
      <c r="O60" s="642"/>
      <c r="P60" s="642"/>
      <c r="Q60" s="642"/>
    </row>
    <row r="61" spans="2:17">
      <c r="B61" s="642" t="s">
        <v>396</v>
      </c>
      <c r="C61" s="642"/>
      <c r="D61" s="642"/>
      <c r="E61" s="642"/>
      <c r="F61" s="642"/>
      <c r="G61" s="642"/>
      <c r="H61" s="642"/>
      <c r="I61" s="642"/>
      <c r="J61" s="642"/>
      <c r="K61" s="642"/>
      <c r="L61" s="642"/>
      <c r="M61" s="642"/>
      <c r="N61" s="642"/>
      <c r="O61" s="642"/>
      <c r="P61" s="642"/>
      <c r="Q61" s="642"/>
    </row>
    <row r="62" spans="2:17">
      <c r="B62" s="642"/>
      <c r="C62" s="642"/>
      <c r="D62" s="642"/>
      <c r="E62" s="642"/>
      <c r="F62" s="642"/>
      <c r="G62" s="642"/>
      <c r="H62" s="642"/>
      <c r="I62" s="642"/>
      <c r="J62" s="642"/>
      <c r="K62" s="642"/>
      <c r="L62" s="642"/>
      <c r="M62" s="642"/>
      <c r="N62" s="642"/>
      <c r="O62" s="642"/>
      <c r="P62" s="642"/>
      <c r="Q62" s="642"/>
    </row>
    <row r="63" spans="2:17">
      <c r="B63" s="642"/>
      <c r="C63" s="642"/>
      <c r="D63" s="642"/>
      <c r="E63" s="642"/>
      <c r="F63" s="642"/>
      <c r="G63" s="642"/>
      <c r="H63" s="642"/>
      <c r="I63" s="642"/>
      <c r="J63" s="642"/>
      <c r="K63" s="642"/>
      <c r="L63" s="642"/>
      <c r="M63" s="642"/>
      <c r="N63" s="642"/>
      <c r="O63" s="642"/>
      <c r="P63" s="642"/>
      <c r="Q63" s="642"/>
    </row>
    <row r="65" spans="2:17">
      <c r="B65" s="642" t="s">
        <v>395</v>
      </c>
      <c r="C65" s="642"/>
      <c r="D65" s="642"/>
      <c r="E65" s="642"/>
      <c r="F65" s="642"/>
      <c r="G65" s="642"/>
      <c r="H65" s="642"/>
      <c r="I65" s="642"/>
      <c r="J65" s="642"/>
      <c r="K65" s="642"/>
      <c r="L65" s="642"/>
      <c r="M65" s="642"/>
      <c r="N65" s="642"/>
      <c r="O65" s="642"/>
      <c r="P65" s="642"/>
      <c r="Q65" s="642"/>
    </row>
    <row r="66" spans="2:17">
      <c r="B66" s="642"/>
      <c r="C66" s="642"/>
      <c r="D66" s="642"/>
      <c r="E66" s="642"/>
      <c r="F66" s="642"/>
      <c r="G66" s="642"/>
      <c r="H66" s="642"/>
      <c r="I66" s="642"/>
      <c r="J66" s="642"/>
      <c r="K66" s="642"/>
      <c r="L66" s="642"/>
      <c r="M66" s="642"/>
      <c r="N66" s="642"/>
      <c r="O66" s="642"/>
      <c r="P66" s="642"/>
      <c r="Q66" s="642"/>
    </row>
    <row r="67" spans="2:17">
      <c r="B67" s="642"/>
      <c r="C67" s="642"/>
      <c r="D67" s="642"/>
      <c r="E67" s="642"/>
      <c r="F67" s="642"/>
      <c r="G67" s="642"/>
      <c r="H67" s="642"/>
      <c r="I67" s="642"/>
      <c r="J67" s="642"/>
      <c r="K67" s="642"/>
      <c r="L67" s="642"/>
      <c r="M67" s="642"/>
      <c r="N67" s="642"/>
      <c r="O67" s="642"/>
      <c r="P67" s="642"/>
      <c r="Q67" s="642"/>
    </row>
  </sheetData>
  <mergeCells count="5">
    <mergeCell ref="B43:S44"/>
    <mergeCell ref="B54:Q56"/>
    <mergeCell ref="B58:Q60"/>
    <mergeCell ref="B61:Q63"/>
    <mergeCell ref="B65:Q6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9">
    <tabColor rgb="FFC00000"/>
  </sheetPr>
  <dimension ref="A1:B26"/>
  <sheetViews>
    <sheetView workbookViewId="0">
      <selection activeCell="B32" sqref="B32"/>
    </sheetView>
  </sheetViews>
  <sheetFormatPr defaultColWidth="9.140625" defaultRowHeight="12.75"/>
  <cols>
    <col min="1" max="1" width="36.42578125" style="6" bestFit="1" customWidth="1"/>
    <col min="2" max="2" width="96.28515625" style="6" customWidth="1"/>
    <col min="3" max="3" width="92.5703125" style="6" bestFit="1" customWidth="1"/>
    <col min="4" max="16384" width="9.140625" style="6"/>
  </cols>
  <sheetData>
    <row r="1" spans="1:2" ht="20.25" thickBot="1">
      <c r="A1" s="643" t="s">
        <v>185</v>
      </c>
      <c r="B1" s="644"/>
    </row>
    <row r="2" spans="1:2" ht="13.5" thickBot="1">
      <c r="A2" s="645" t="s">
        <v>186</v>
      </c>
      <c r="B2" s="645"/>
    </row>
    <row r="3" spans="1:2">
      <c r="A3" s="124" t="s">
        <v>187</v>
      </c>
      <c r="B3" s="125" t="s">
        <v>188</v>
      </c>
    </row>
    <row r="4" spans="1:2" ht="77.25" thickBot="1">
      <c r="A4" s="126" t="s">
        <v>189</v>
      </c>
      <c r="B4" s="127" t="s">
        <v>190</v>
      </c>
    </row>
    <row r="5" spans="1:2" ht="13.5" thickBot="1">
      <c r="A5" s="128"/>
      <c r="B5" s="129"/>
    </row>
    <row r="6" spans="1:2" ht="77.25" thickBot="1">
      <c r="A6" s="130" t="s">
        <v>191</v>
      </c>
      <c r="B6" s="131" t="s">
        <v>192</v>
      </c>
    </row>
    <row r="7" spans="1:2" ht="13.5" thickBot="1">
      <c r="A7" s="132"/>
      <c r="B7" s="128"/>
    </row>
    <row r="8" spans="1:2" ht="39" thickBot="1">
      <c r="A8" s="130" t="s">
        <v>193</v>
      </c>
      <c r="B8" s="131" t="s">
        <v>194</v>
      </c>
    </row>
    <row r="9" spans="1:2" ht="13.5" thickBot="1">
      <c r="A9" s="132"/>
      <c r="B9" s="128"/>
    </row>
    <row r="10" spans="1:2" ht="77.25" thickBot="1">
      <c r="A10" s="130" t="s">
        <v>195</v>
      </c>
      <c r="B10" s="131" t="s">
        <v>252</v>
      </c>
    </row>
    <row r="11" spans="1:2">
      <c r="A11" s="132"/>
      <c r="B11" s="128"/>
    </row>
    <row r="12" spans="1:2" ht="63.75">
      <c r="A12" s="133" t="s">
        <v>196</v>
      </c>
      <c r="B12" s="134" t="s">
        <v>197</v>
      </c>
    </row>
    <row r="13" spans="1:2" ht="13.5" thickBot="1">
      <c r="A13" s="132"/>
      <c r="B13" s="128"/>
    </row>
    <row r="14" spans="1:2" ht="51.75" thickBot="1">
      <c r="A14" s="130" t="s">
        <v>198</v>
      </c>
      <c r="B14" s="131" t="s">
        <v>199</v>
      </c>
    </row>
    <row r="15" spans="1:2" ht="13.5" thickBot="1">
      <c r="A15" s="132"/>
      <c r="B15" s="128"/>
    </row>
    <row r="16" spans="1:2" ht="39" thickBot="1">
      <c r="A16" s="130" t="s">
        <v>200</v>
      </c>
      <c r="B16" s="131" t="s">
        <v>201</v>
      </c>
    </row>
    <row r="17" spans="1:2" ht="13.5" thickBot="1">
      <c r="A17" s="132"/>
      <c r="B17" s="128"/>
    </row>
    <row r="18" spans="1:2" ht="51.75" thickBot="1">
      <c r="A18" s="130" t="s">
        <v>202</v>
      </c>
      <c r="B18" s="131" t="s">
        <v>253</v>
      </c>
    </row>
    <row r="19" spans="1:2" ht="13.5" thickBot="1">
      <c r="A19" s="132"/>
      <c r="B19" s="128"/>
    </row>
    <row r="20" spans="1:2" ht="39" thickBot="1">
      <c r="A20" s="130" t="s">
        <v>203</v>
      </c>
      <c r="B20" s="131" t="s">
        <v>204</v>
      </c>
    </row>
    <row r="21" spans="1:2" ht="13.5" thickBot="1">
      <c r="A21" s="132"/>
      <c r="B21" s="128"/>
    </row>
    <row r="22" spans="1:2" ht="77.25" thickBot="1">
      <c r="A22" s="130" t="s">
        <v>205</v>
      </c>
      <c r="B22" s="131" t="s">
        <v>206</v>
      </c>
    </row>
    <row r="23" spans="1:2" ht="13.5" thickBot="1">
      <c r="A23" s="135"/>
      <c r="B23" s="135"/>
    </row>
    <row r="24" spans="1:2" ht="51.75" thickBot="1">
      <c r="A24" s="130" t="s">
        <v>207</v>
      </c>
      <c r="B24" s="131" t="s">
        <v>208</v>
      </c>
    </row>
    <row r="25" spans="1:2" ht="13.5" thickBot="1">
      <c r="A25" s="129"/>
      <c r="B25" s="129"/>
    </row>
    <row r="26" spans="1:2" ht="13.5" thickBot="1">
      <c r="A26" s="130" t="s">
        <v>209</v>
      </c>
      <c r="B26" s="131" t="s">
        <v>210</v>
      </c>
    </row>
  </sheetData>
  <mergeCells count="2">
    <mergeCell ref="A1:B1"/>
    <mergeCell ref="A2:B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EBD95-7089-4145-B8AE-02FC2052347E}">
  <sheetPr codeName="Sheet10">
    <tabColor rgb="FF00B0F0"/>
  </sheetPr>
  <dimension ref="A1:B119"/>
  <sheetViews>
    <sheetView topLeftCell="A73" zoomScale="72" zoomScaleNormal="72" workbookViewId="0">
      <selection activeCell="AF26" sqref="AF26"/>
    </sheetView>
  </sheetViews>
  <sheetFormatPr defaultRowHeight="15"/>
  <cols>
    <col min="1" max="1" width="37.28515625" customWidth="1"/>
    <col min="2" max="2" width="12.140625" customWidth="1"/>
  </cols>
  <sheetData>
    <row r="1" spans="1:2" ht="15.75">
      <c r="A1" s="481" t="s">
        <v>679</v>
      </c>
      <c r="B1" s="482"/>
    </row>
    <row r="2" spans="1:2" ht="17.100000000000001" customHeight="1">
      <c r="A2" s="483" t="s">
        <v>680</v>
      </c>
      <c r="B2" s="484">
        <f ca="1">VMAnalysis!K14</f>
      </c>
    </row>
    <row r="3" spans="1:2" ht="15.75">
      <c r="A3" s="483" t="s">
        <v>681</v>
      </c>
      <c r="B3" s="484">
        <f ca="1">VMAnalysis!K11</f>
      </c>
    </row>
    <row r="4" spans="1:2" ht="15.75">
      <c r="A4" s="483" t="s">
        <v>696</v>
      </c>
      <c r="B4" s="485">
        <f ca="1">VMAnalysis!K46</f>
      </c>
    </row>
    <row r="5" spans="1:2" ht="15.75">
      <c r="A5" s="483" t="s">
        <v>682</v>
      </c>
      <c r="B5" s="484">
        <f ca="1">VMAnalysis!K43</f>
      </c>
    </row>
    <row r="6" spans="1:2" ht="15.75">
      <c r="A6" s="483" t="s">
        <v>684</v>
      </c>
      <c r="B6" s="486">
        <f ca="1">VMAnalysis!K48</f>
      </c>
    </row>
    <row r="7" spans="1:2" ht="15.75">
      <c r="A7" s="483" t="s">
        <v>694</v>
      </c>
      <c r="B7" s="485">
        <f ca="1">VMAnalysis!B61</f>
      </c>
    </row>
    <row r="8" spans="1:2" ht="15.75">
      <c r="A8" s="483" t="s">
        <v>695</v>
      </c>
      <c r="B8" s="485">
        <f ca="1">VMAnalysis!B62</f>
      </c>
    </row>
    <row r="9" spans="1:2" ht="15.75">
      <c r="A9" s="483" t="s">
        <v>561</v>
      </c>
      <c r="B9" s="487"/>
    </row>
    <row r="10" spans="1:2" ht="15.75">
      <c r="A10" s="483" t="s">
        <v>674</v>
      </c>
      <c r="B10" s="487">
        <f ca="1">ChartsData!K28/VMAnalysis!K17</f>
      </c>
    </row>
    <row r="11" spans="1:2" ht="15.6" customHeight="1">
      <c r="A11" s="483" t="s">
        <v>703</v>
      </c>
      <c r="B11" s="484">
        <f ca="1">'Screener Output'!L81</f>
      </c>
    </row>
    <row r="12" spans="1:2" ht="30.75">
      <c r="A12" s="483" t="s">
        <v>601</v>
      </c>
      <c r="B12" s="487"/>
    </row>
    <row r="13" spans="1:2" ht="15.75">
      <c r="A13" s="483" t="s">
        <v>697</v>
      </c>
      <c r="B13" s="488">
        <f ca="1">VMAnalysis!B63</f>
      </c>
    </row>
    <row r="14" spans="1:2" ht="15.75">
      <c r="A14" s="483" t="s">
        <v>698</v>
      </c>
      <c r="B14" s="488">
        <f ca="1">VMAnalysis!B64</f>
      </c>
    </row>
    <row r="15" spans="1:2" ht="15.75">
      <c r="A15" s="483" t="s">
        <v>653</v>
      </c>
      <c r="B15" s="487"/>
    </row>
    <row r="16" spans="1:2" ht="30.75">
      <c r="A16" s="483" t="s">
        <v>658</v>
      </c>
      <c r="B16" s="489">
        <f ca="1">VMAnalysis!B59</f>
      </c>
    </row>
    <row r="17" spans="1:2" ht="15.75">
      <c r="A17" s="483" t="s">
        <v>693</v>
      </c>
      <c r="B17" s="488">
        <f ca="1">VMAnalysis!K22</f>
      </c>
    </row>
    <row r="18" spans="1:2" ht="30.75">
      <c r="A18" s="483" t="s">
        <v>700</v>
      </c>
      <c r="B18" s="487"/>
    </row>
    <row r="19" spans="1:2" ht="16.5" thickBot="1">
      <c r="A19" s="490" t="s">
        <v>564</v>
      </c>
      <c r="B19" s="491">
        <f ca="1">VMAnalysis!L37</f>
      </c>
    </row>
    <row r="20" spans="1:2" ht="15.75">
      <c r="A20" s="476" t="s">
        <v>567</v>
      </c>
      <c r="B20" s="477"/>
    </row>
    <row r="21" spans="1:2" ht="15.75">
      <c r="A21" s="476" t="s">
        <v>685</v>
      </c>
      <c r="B21" s="477"/>
    </row>
    <row r="22" spans="1:2" ht="30.95" customHeight="1">
      <c r="A22" s="476" t="s">
        <v>686</v>
      </c>
      <c r="B22" s="477"/>
    </row>
    <row r="23" spans="1:2" ht="30.75">
      <c r="A23" s="476" t="s">
        <v>687</v>
      </c>
      <c r="B23" s="477"/>
    </row>
    <row r="24" spans="1:2" ht="15.75">
      <c r="A24" s="476" t="s">
        <v>701</v>
      </c>
      <c r="B24" s="478"/>
    </row>
    <row r="25" spans="1:2" ht="15.75">
      <c r="A25" s="476" t="s">
        <v>647</v>
      </c>
      <c r="B25" s="478"/>
    </row>
    <row r="26" spans="1:2" ht="30.75">
      <c r="A26" s="476" t="s">
        <v>649</v>
      </c>
      <c r="B26" s="478"/>
    </row>
    <row r="27" spans="1:2" ht="15.75">
      <c r="A27" s="476" t="s">
        <v>688</v>
      </c>
      <c r="B27" s="478"/>
    </row>
    <row r="28" spans="1:2" ht="15.75">
      <c r="A28" s="476" t="s">
        <v>689</v>
      </c>
      <c r="B28" s="478"/>
    </row>
    <row r="29" spans="1:2" ht="15.75">
      <c r="A29" s="476" t="s">
        <v>690</v>
      </c>
      <c r="B29" s="478"/>
    </row>
    <row r="30" spans="1:2" ht="15.75">
      <c r="A30" s="476" t="s">
        <v>691</v>
      </c>
      <c r="B30" s="478"/>
    </row>
    <row r="31" spans="1:2" ht="30.75">
      <c r="A31" s="476" t="s">
        <v>692</v>
      </c>
      <c r="B31" s="478"/>
    </row>
    <row r="32" spans="1:2" ht="15.75">
      <c r="A32" s="476" t="s">
        <v>702</v>
      </c>
      <c r="B32" s="478"/>
    </row>
    <row r="33" spans="1:2" ht="15.75">
      <c r="A33" s="476" t="s">
        <v>598</v>
      </c>
      <c r="B33" s="478"/>
    </row>
    <row r="34" spans="1:2" ht="31.5" thickBot="1">
      <c r="A34" s="479" t="s">
        <v>582</v>
      </c>
      <c r="B34" s="480"/>
    </row>
    <row r="36" spans="1:2">
      <c r="B36" s="475"/>
    </row>
    <row r="37" spans="1:2">
      <c r="B37" s="475"/>
    </row>
    <row r="38" spans="1:2">
      <c r="B38" s="475"/>
    </row>
    <row r="39" spans="1:2">
      <c r="B39" s="475"/>
    </row>
    <row r="40" spans="1:2">
      <c r="B40" s="475"/>
    </row>
    <row r="86" ht="14.45" customHeight="1"/>
    <row r="87" ht="14.45" customHeight="1"/>
    <row r="88" ht="14.45" customHeight="1"/>
    <row r="89" ht="14.45" customHeight="1"/>
    <row r="90" ht="14.45" customHeight="1"/>
    <row r="91" ht="14.45" customHeight="1"/>
    <row r="92" ht="14.45" customHeight="1"/>
    <row r="93" ht="14.45" customHeight="1"/>
    <row r="94" ht="14.45" customHeight="1"/>
    <row r="95" ht="14.45" customHeight="1"/>
    <row r="96" ht="14.45" customHeight="1"/>
    <row r="97" ht="14.45" customHeight="1"/>
    <row r="98" ht="14.45" customHeight="1"/>
    <row r="99" ht="14.45" customHeight="1"/>
    <row r="100" ht="14.45" customHeight="1"/>
    <row r="101" ht="14.45" customHeight="1"/>
    <row r="102" ht="14.45" customHeight="1"/>
    <row r="103" ht="14.45" customHeight="1"/>
    <row r="104" ht="14.45" customHeight="1"/>
    <row r="105" ht="14.45" customHeight="1"/>
    <row r="106" ht="14.45" customHeight="1"/>
    <row r="107" ht="14.45" customHeight="1"/>
    <row r="108" ht="14.45" customHeight="1"/>
    <row r="109" ht="14.45" customHeight="1"/>
    <row r="110" ht="14.45" customHeight="1"/>
    <row r="111" ht="14.45" customHeight="1"/>
    <row r="112" ht="14.45" customHeight="1"/>
    <row r="113" ht="14.45" customHeight="1"/>
    <row r="114" ht="14.45" customHeight="1"/>
    <row r="115" ht="14.45" customHeight="1"/>
    <row r="116" ht="14.45" customHeight="1"/>
    <row r="117" ht="14.45" customHeight="1"/>
    <row r="118" ht="14.45" customHeight="1"/>
    <row r="119" ht="14.45" customHeight="1"/>
  </sheetData>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C8427-D9DA-49E9-A2BE-D63CC15B3E4B}">
  <sheetPr codeName="Sheet12"/>
  <dimension ref="A1:D38"/>
  <sheetViews>
    <sheetView topLeftCell="A7" workbookViewId="0">
      <selection activeCell="B14" sqref="B14"/>
    </sheetView>
  </sheetViews>
  <sheetFormatPr defaultRowHeight="15"/>
  <cols>
    <col min="1" max="1" width="6.140625" bestFit="1" customWidth="1"/>
    <col min="2" max="2" width="39.7109375" bestFit="1" customWidth="1"/>
    <col min="3" max="3" width="36.85546875" customWidth="1"/>
    <col min="4" max="4" width="79" customWidth="1"/>
  </cols>
  <sheetData>
    <row r="1" spans="1:4" ht="31.5">
      <c r="A1" s="462" t="s">
        <v>631</v>
      </c>
      <c r="B1" s="462"/>
      <c r="C1" s="462" t="s">
        <v>632</v>
      </c>
      <c r="D1" s="462" t="s">
        <v>633</v>
      </c>
    </row>
    <row r="2" spans="1:4">
      <c r="A2" s="463"/>
      <c r="B2" s="646" t="s">
        <v>538</v>
      </c>
      <c r="C2" s="647"/>
      <c r="D2" s="648"/>
    </row>
    <row r="3" spans="1:4" ht="45.75">
      <c r="A3" s="464">
        <v>1</v>
      </c>
      <c r="B3" s="465" t="s">
        <v>539</v>
      </c>
      <c r="C3" s="465" t="s">
        <v>540</v>
      </c>
      <c r="D3" s="466" t="s">
        <v>634</v>
      </c>
    </row>
    <row r="4" spans="1:4" ht="30.75">
      <c r="A4" s="467">
        <v>2</v>
      </c>
      <c r="B4" s="466" t="s">
        <v>543</v>
      </c>
      <c r="C4" s="466" t="s">
        <v>544</v>
      </c>
      <c r="D4" s="466" t="s">
        <v>545</v>
      </c>
    </row>
    <row r="5" spans="1:4" ht="30.75">
      <c r="A5" s="467">
        <v>3</v>
      </c>
      <c r="B5" s="466" t="s">
        <v>546</v>
      </c>
      <c r="C5" s="466" t="s">
        <v>547</v>
      </c>
      <c r="D5" s="466" t="s">
        <v>635</v>
      </c>
    </row>
    <row r="6" spans="1:4" ht="15.75">
      <c r="A6" s="467">
        <v>4</v>
      </c>
      <c r="B6" s="465" t="s">
        <v>549</v>
      </c>
      <c r="C6" s="465" t="s">
        <v>550</v>
      </c>
      <c r="D6" s="468"/>
    </row>
    <row r="7" spans="1:4" ht="30.75">
      <c r="A7" s="467">
        <v>5</v>
      </c>
      <c r="B7" s="466" t="s">
        <v>551</v>
      </c>
      <c r="C7" s="466" t="s">
        <v>552</v>
      </c>
      <c r="D7" s="466" t="s">
        <v>553</v>
      </c>
    </row>
    <row r="8" spans="1:4" ht="15.75">
      <c r="A8" s="467">
        <v>6</v>
      </c>
      <c r="B8" s="465" t="s">
        <v>554</v>
      </c>
      <c r="C8" s="465" t="s">
        <v>555</v>
      </c>
      <c r="D8" s="469"/>
    </row>
    <row r="9" spans="1:4" ht="30.75">
      <c r="A9" s="467">
        <v>7</v>
      </c>
      <c r="B9" s="465" t="s">
        <v>683</v>
      </c>
      <c r="C9" s="470" t="s">
        <v>557</v>
      </c>
      <c r="D9" s="466" t="s">
        <v>636</v>
      </c>
    </row>
    <row r="10" spans="1:4" ht="15.75">
      <c r="A10" s="467">
        <v>8</v>
      </c>
      <c r="B10" s="466" t="s">
        <v>560</v>
      </c>
      <c r="C10" s="466" t="s">
        <v>561</v>
      </c>
      <c r="D10" s="466" t="s">
        <v>562</v>
      </c>
    </row>
    <row r="11" spans="1:4">
      <c r="A11" s="463"/>
      <c r="B11" s="646" t="s">
        <v>637</v>
      </c>
      <c r="C11" s="647"/>
      <c r="D11" s="648"/>
    </row>
    <row r="12" spans="1:4" ht="30.75">
      <c r="A12" s="467">
        <v>9</v>
      </c>
      <c r="B12" s="466" t="s">
        <v>564</v>
      </c>
      <c r="C12" s="471" t="s">
        <v>638</v>
      </c>
      <c r="D12" s="471" t="s">
        <v>566</v>
      </c>
    </row>
    <row r="13" spans="1:4" ht="15.75">
      <c r="A13" s="467">
        <v>10</v>
      </c>
      <c r="B13" s="465" t="s">
        <v>567</v>
      </c>
      <c r="C13" s="465" t="s">
        <v>568</v>
      </c>
      <c r="D13" s="469"/>
    </row>
    <row r="14" spans="1:4" ht="30.75">
      <c r="A14" s="467">
        <v>11</v>
      </c>
      <c r="B14" s="466" t="s">
        <v>767</v>
      </c>
      <c r="C14" s="466" t="s">
        <v>639</v>
      </c>
      <c r="D14" s="466" t="s">
        <v>640</v>
      </c>
    </row>
    <row r="15" spans="1:4" ht="31.5">
      <c r="A15" s="467">
        <v>12</v>
      </c>
      <c r="B15" s="466" t="s">
        <v>571</v>
      </c>
      <c r="C15" s="466" t="s">
        <v>568</v>
      </c>
      <c r="D15" s="466" t="s">
        <v>641</v>
      </c>
    </row>
    <row r="16" spans="1:4" ht="15.75">
      <c r="A16" s="467">
        <v>13</v>
      </c>
      <c r="B16" s="466" t="s">
        <v>642</v>
      </c>
      <c r="C16" s="466" t="s">
        <v>643</v>
      </c>
      <c r="D16" s="471" t="s">
        <v>576</v>
      </c>
    </row>
    <row r="17" spans="1:4" ht="30.75">
      <c r="A17" s="467">
        <v>14</v>
      </c>
      <c r="B17" s="465" t="s">
        <v>577</v>
      </c>
      <c r="C17" s="465" t="s">
        <v>578</v>
      </c>
      <c r="D17" s="466" t="s">
        <v>644</v>
      </c>
    </row>
    <row r="18" spans="1:4">
      <c r="A18" s="463"/>
      <c r="B18" s="646" t="s">
        <v>645</v>
      </c>
      <c r="C18" s="647"/>
      <c r="D18" s="648"/>
    </row>
    <row r="19" spans="1:4" ht="30.75">
      <c r="A19" s="467">
        <v>15</v>
      </c>
      <c r="B19" s="466" t="s">
        <v>646</v>
      </c>
      <c r="C19" s="466" t="s">
        <v>647</v>
      </c>
      <c r="D19" s="466" t="s">
        <v>648</v>
      </c>
    </row>
    <row r="20" spans="1:4" ht="30.75">
      <c r="A20" s="472">
        <v>16</v>
      </c>
      <c r="B20" s="466" t="s">
        <v>649</v>
      </c>
      <c r="C20" s="466" t="s">
        <v>650</v>
      </c>
      <c r="D20" s="466" t="s">
        <v>651</v>
      </c>
    </row>
    <row r="21" spans="1:4" ht="45.75">
      <c r="A21" s="467">
        <v>17</v>
      </c>
      <c r="B21" s="466" t="s">
        <v>652</v>
      </c>
      <c r="C21" s="466" t="s">
        <v>653</v>
      </c>
      <c r="D21" s="466" t="s">
        <v>654</v>
      </c>
    </row>
    <row r="22" spans="1:4" ht="45.75">
      <c r="A22" s="467">
        <v>18</v>
      </c>
      <c r="B22" s="466" t="s">
        <v>655</v>
      </c>
      <c r="C22" s="466" t="s">
        <v>561</v>
      </c>
      <c r="D22" s="466" t="s">
        <v>656</v>
      </c>
    </row>
    <row r="23" spans="1:4" ht="30.75">
      <c r="A23" s="467">
        <v>19</v>
      </c>
      <c r="B23" s="466" t="s">
        <v>657</v>
      </c>
      <c r="C23" s="466" t="s">
        <v>658</v>
      </c>
      <c r="D23" s="466" t="s">
        <v>659</v>
      </c>
    </row>
    <row r="24" spans="1:4">
      <c r="A24" s="463"/>
      <c r="B24" s="646" t="s">
        <v>660</v>
      </c>
      <c r="C24" s="647"/>
      <c r="D24" s="648"/>
    </row>
    <row r="25" spans="1:4" ht="30.75">
      <c r="A25" s="472">
        <v>20</v>
      </c>
      <c r="B25" s="466" t="s">
        <v>582</v>
      </c>
      <c r="C25" s="466" t="s">
        <v>583</v>
      </c>
      <c r="D25" s="466" t="s">
        <v>584</v>
      </c>
    </row>
    <row r="26" spans="1:4" ht="30.75">
      <c r="A26" s="472">
        <v>21</v>
      </c>
      <c r="B26" s="471" t="s">
        <v>585</v>
      </c>
      <c r="C26" s="466" t="s">
        <v>586</v>
      </c>
      <c r="D26" s="471" t="s">
        <v>587</v>
      </c>
    </row>
    <row r="27" spans="1:4" ht="30.75">
      <c r="A27" s="472">
        <v>22</v>
      </c>
      <c r="B27" s="466" t="s">
        <v>598</v>
      </c>
      <c r="C27" s="466" t="s">
        <v>599</v>
      </c>
      <c r="D27" s="466" t="s">
        <v>600</v>
      </c>
    </row>
    <row r="28" spans="1:4" ht="30.75">
      <c r="A28" s="472">
        <v>23</v>
      </c>
      <c r="B28" s="470" t="s">
        <v>594</v>
      </c>
      <c r="C28" s="465" t="s">
        <v>595</v>
      </c>
      <c r="D28" s="466" t="s">
        <v>661</v>
      </c>
    </row>
    <row r="29" spans="1:4" ht="30.75">
      <c r="A29" s="467">
        <v>24</v>
      </c>
      <c r="B29" s="466" t="s">
        <v>601</v>
      </c>
      <c r="C29" s="466" t="s">
        <v>602</v>
      </c>
      <c r="D29" s="466" t="s">
        <v>603</v>
      </c>
    </row>
    <row r="30" spans="1:4" ht="15.75">
      <c r="A30" s="467">
        <v>25</v>
      </c>
      <c r="B30" s="466" t="s">
        <v>604</v>
      </c>
      <c r="C30" s="466" t="s">
        <v>605</v>
      </c>
      <c r="D30" s="466" t="s">
        <v>606</v>
      </c>
    </row>
    <row r="31" spans="1:4" ht="15.75">
      <c r="A31" s="467">
        <v>26</v>
      </c>
      <c r="B31" s="466" t="s">
        <v>607</v>
      </c>
      <c r="C31" s="466" t="s">
        <v>608</v>
      </c>
      <c r="D31" s="466" t="s">
        <v>609</v>
      </c>
    </row>
    <row r="32" spans="1:4" ht="15.75">
      <c r="A32" s="467">
        <v>27</v>
      </c>
      <c r="B32" s="466" t="s">
        <v>610</v>
      </c>
      <c r="C32" s="466" t="s">
        <v>611</v>
      </c>
      <c r="D32" s="466" t="s">
        <v>612</v>
      </c>
    </row>
    <row r="33" spans="1:4" ht="75.75">
      <c r="A33" s="472">
        <v>28</v>
      </c>
      <c r="B33" s="470" t="s">
        <v>662</v>
      </c>
      <c r="C33" s="465" t="s">
        <v>663</v>
      </c>
      <c r="D33" s="466" t="s">
        <v>664</v>
      </c>
    </row>
    <row r="34" spans="1:4" ht="30.75">
      <c r="A34" s="472">
        <v>29</v>
      </c>
      <c r="B34" s="465" t="s">
        <v>665</v>
      </c>
      <c r="C34" s="465" t="s">
        <v>666</v>
      </c>
      <c r="D34" s="466" t="s">
        <v>667</v>
      </c>
    </row>
    <row r="35" spans="1:4" ht="15.75">
      <c r="A35" s="467">
        <v>30</v>
      </c>
      <c r="B35" s="466" t="s">
        <v>569</v>
      </c>
      <c r="C35" s="466" t="s">
        <v>668</v>
      </c>
      <c r="D35" s="466" t="s">
        <v>669</v>
      </c>
    </row>
    <row r="36" spans="1:4" ht="30.75">
      <c r="A36" s="467">
        <v>31</v>
      </c>
      <c r="B36" s="471" t="s">
        <v>670</v>
      </c>
      <c r="C36" s="466" t="s">
        <v>671</v>
      </c>
      <c r="D36" s="466" t="s">
        <v>672</v>
      </c>
    </row>
    <row r="37" spans="1:4" ht="15.75">
      <c r="A37" s="464">
        <v>32</v>
      </c>
      <c r="B37" s="471" t="s">
        <v>673</v>
      </c>
      <c r="C37" s="466" t="s">
        <v>674</v>
      </c>
      <c r="D37" s="466" t="s">
        <v>675</v>
      </c>
    </row>
    <row r="38" spans="1:4" ht="30.75">
      <c r="A38" s="472">
        <v>33</v>
      </c>
      <c r="B38" s="470" t="s">
        <v>676</v>
      </c>
      <c r="C38" s="465" t="s">
        <v>677</v>
      </c>
      <c r="D38" s="466" t="s">
        <v>678</v>
      </c>
    </row>
  </sheetData>
  <mergeCells count="4">
    <mergeCell ref="B2:D2"/>
    <mergeCell ref="B11:D11"/>
    <mergeCell ref="B18:D18"/>
    <mergeCell ref="B24:D24"/>
  </mergeCells>
  <hyperlinks>
    <hyperlink ref="B2" r:id="rId1" xr:uid="{90B76C0B-4943-4F6C-9E75-EFB84A1855F6}"/>
    <hyperlink ref="C9" r:id="rId2" xr:uid="{0EEE3694-7C47-42EF-9C30-B3B0F877DE58}"/>
    <hyperlink ref="B11" r:id="rId3" xr:uid="{F764B04C-2D3F-4AB7-BE78-72468DEF7120}"/>
    <hyperlink ref="C12" r:id="rId4" xr:uid="{49C930C2-E792-40BB-8344-D10BE0A54B81}"/>
    <hyperlink ref="D12" r:id="rId5" xr:uid="{120B863F-1D40-404D-B1B7-9A13D57DF3F1}"/>
    <hyperlink ref="D16" r:id="rId6" xr:uid="{8AE3852B-93C7-45D5-923B-451BEA4D1303}"/>
    <hyperlink ref="B18" r:id="rId7" xr:uid="{74B18A0D-9BA4-4E95-9D27-E5B6DCD93BAD}"/>
    <hyperlink ref="B24" r:id="rId8" xr:uid="{5FB0408D-95D5-4CE5-92A2-860CE16754AE}"/>
    <hyperlink ref="B26" r:id="rId9" xr:uid="{CD142800-B98C-43F3-99C8-DD0C7C7F2FE9}"/>
    <hyperlink ref="D26" r:id="rId10" xr:uid="{C32A876A-4EB5-4498-8701-3FFA186DC11E}"/>
    <hyperlink ref="B28" r:id="rId11" xr:uid="{2E8B17F6-E10B-4D37-ADD5-7612E0887CFD}"/>
    <hyperlink ref="B33" r:id="rId12" xr:uid="{7E372BC2-19CC-4AB2-98EF-ABE256E46225}"/>
    <hyperlink ref="B36" r:id="rId13" xr:uid="{218B0377-FA45-4646-9260-4A809EF01ACD}"/>
    <hyperlink ref="B37" r:id="rId14" xr:uid="{FB72E41B-9C81-4A3B-9A89-126F55B60BF7}"/>
    <hyperlink ref="B38" r:id="rId15" xr:uid="{EDDE72A9-00C6-4A6A-9AAB-B470D31567D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1">
    <tabColor rgb="FF00B0F0"/>
  </sheetPr>
  <dimension ref="A1:S90"/>
  <sheetViews>
    <sheetView topLeftCell="A31" workbookViewId="0">
      <selection activeCell="D12" sqref="D12"/>
    </sheetView>
  </sheetViews>
  <sheetFormatPr defaultRowHeight="15"/>
  <cols>
    <col min="1" max="1" width="16" customWidth="1"/>
    <col min="2" max="2" width="12.140625" bestFit="1" customWidth="1"/>
    <col min="3" max="9" width="7.85546875" bestFit="1" customWidth="1"/>
    <col min="10" max="10" width="8.42578125" bestFit="1" customWidth="1"/>
    <col min="11" max="12" width="8.85546875" bestFit="1" customWidth="1"/>
  </cols>
  <sheetData>
    <row r="1" spans="1:13">
      <c r="A1" s="649" t="s">
        <v>283</v>
      </c>
      <c r="B1" s="649"/>
      <c r="C1" s="649"/>
      <c r="D1" s="649"/>
      <c r="E1" s="649"/>
      <c r="F1" s="649"/>
      <c r="G1" s="649"/>
      <c r="H1" s="649"/>
      <c r="I1" s="649"/>
      <c r="J1" s="649"/>
      <c r="K1" s="649"/>
      <c r="L1" s="239"/>
      <c r="M1" s="239"/>
    </row>
    <row r="2" spans="1:13">
      <c r="A2" s="240" t="s">
        <v>270</v>
      </c>
      <c r="B2" s="241"/>
      <c r="C2" s="241"/>
      <c r="D2" s="241"/>
      <c r="E2" s="241"/>
      <c r="F2" s="241"/>
      <c r="G2" s="241"/>
      <c r="H2" s="241"/>
      <c r="I2" s="241"/>
      <c r="J2" s="241"/>
      <c r="K2" s="241"/>
      <c r="L2" s="239"/>
      <c r="M2" s="239"/>
    </row>
    <row r="3" spans="1:13">
      <c r="A3" s="239"/>
      <c r="B3" s="242">
        <f>'Key Ratios'!B3</f>
      </c>
      <c r="C3" s="242">
        <f>'Key Ratios'!C3</f>
      </c>
      <c r="D3" s="242">
        <f>'Key Ratios'!D3</f>
      </c>
      <c r="E3" s="242">
        <f>'Key Ratios'!E3</f>
      </c>
      <c r="F3" s="242">
        <f>'Key Ratios'!F3</f>
      </c>
      <c r="G3" s="242">
        <f>'Key Ratios'!G3</f>
      </c>
      <c r="H3" s="242">
        <f>'Key Ratios'!H3</f>
      </c>
      <c r="I3" s="242">
        <f>'Key Ratios'!I3</f>
      </c>
      <c r="J3" s="242">
        <f>'Key Ratios'!J3</f>
      </c>
      <c r="K3" s="242">
        <f>'Key Ratios'!K3</f>
      </c>
      <c r="L3" s="239"/>
      <c r="M3" s="239"/>
    </row>
    <row r="4" spans="1:13">
      <c r="A4" s="239" t="str">
        <f>'Key Ratios'!A11</f>
      </c>
      <c r="B4" s="243">
        <f>'Key Ratios'!B11</f>
      </c>
      <c r="C4" s="243">
        <f>'Key Ratios'!C11</f>
      </c>
      <c r="D4" s="243">
        <f>'Key Ratios'!D11</f>
      </c>
      <c r="E4" s="243">
        <f>'Key Ratios'!E11</f>
      </c>
      <c r="F4" s="243">
        <f>'Key Ratios'!F11</f>
      </c>
      <c r="G4" s="243">
        <f>'Key Ratios'!G11</f>
      </c>
      <c r="H4" s="243">
        <f>'Key Ratios'!H11</f>
      </c>
      <c r="I4" s="243">
        <f>'Key Ratios'!I11</f>
      </c>
      <c r="J4" s="243">
        <f>'Key Ratios'!J11</f>
      </c>
      <c r="K4" s="243">
        <f>'Key Ratios'!K11</f>
      </c>
      <c r="L4" s="243"/>
      <c r="M4" s="239"/>
    </row>
    <row r="5" spans="1:13">
      <c r="A5" s="239" t="str">
        <f>'Key Ratios'!A12</f>
      </c>
      <c r="B5" s="243">
        <f>'Key Ratios'!B12</f>
      </c>
      <c r="C5" s="243">
        <f>'Key Ratios'!C12</f>
      </c>
      <c r="D5" s="243">
        <f>'Key Ratios'!D12</f>
      </c>
      <c r="E5" s="243">
        <f>'Key Ratios'!E12</f>
      </c>
      <c r="F5" s="243">
        <f>'Key Ratios'!F12</f>
      </c>
      <c r="G5" s="243">
        <f>'Key Ratios'!G12</f>
      </c>
      <c r="H5" s="243">
        <f>'Key Ratios'!H12</f>
      </c>
      <c r="I5" s="243">
        <f>'Key Ratios'!I12</f>
      </c>
      <c r="J5" s="243">
        <f>'Key Ratios'!J12</f>
      </c>
      <c r="K5" s="243">
        <f>'Key Ratios'!K12</f>
      </c>
      <c r="L5" s="239"/>
      <c r="M5" s="239"/>
    </row>
    <row r="6" spans="1:13">
      <c r="A6" s="239" t="str">
        <f>'Key Ratios'!A13</f>
      </c>
      <c r="B6" s="243">
        <f>'Key Ratios'!B13</f>
      </c>
      <c r="C6" s="243">
        <f>'Key Ratios'!C13</f>
      </c>
      <c r="D6" s="243">
        <f>'Key Ratios'!D13</f>
      </c>
      <c r="E6" s="243">
        <f>'Key Ratios'!E13</f>
      </c>
      <c r="F6" s="243">
        <f>'Key Ratios'!F13</f>
      </c>
      <c r="G6" s="243">
        <f>'Key Ratios'!G13</f>
      </c>
      <c r="H6" s="243">
        <f>'Key Ratios'!H13</f>
      </c>
      <c r="I6" s="243">
        <f>'Key Ratios'!I13</f>
      </c>
      <c r="J6" s="243">
        <f>'Key Ratios'!J13</f>
      </c>
      <c r="K6" s="243">
        <f>'Key Ratios'!K13</f>
      </c>
      <c r="L6" s="239"/>
      <c r="M6" s="239"/>
    </row>
    <row r="7" spans="1:13">
      <c r="A7" s="239" t="str">
        <f>VMAnalysis!A11</f>
      </c>
      <c r="B7" s="356">
        <f ca="1">VMAnalysis!B11</f>
      </c>
      <c r="C7" s="356">
        <f ca="1">VMAnalysis!C11</f>
      </c>
      <c r="D7" s="356">
        <f ca="1">VMAnalysis!D11</f>
      </c>
      <c r="E7" s="356">
        <f ca="1">VMAnalysis!E11</f>
      </c>
      <c r="F7" s="356">
        <f ca="1">VMAnalysis!F11</f>
      </c>
      <c r="G7" s="356">
        <f ca="1">VMAnalysis!G11</f>
      </c>
      <c r="H7" s="356">
        <f ca="1">VMAnalysis!H11</f>
      </c>
      <c r="I7" s="356">
        <f ca="1">VMAnalysis!I11</f>
      </c>
      <c r="J7" s="356">
        <f ca="1">VMAnalysis!J11</f>
      </c>
      <c r="K7" s="356">
        <f ca="1">VMAnalysis!K11</f>
      </c>
      <c r="L7" s="239"/>
      <c r="M7" s="239"/>
    </row>
    <row r="8" spans="1:13">
      <c r="A8" s="240" t="s">
        <v>271</v>
      </c>
      <c r="B8" s="239"/>
      <c r="C8" s="239"/>
      <c r="D8" s="239"/>
      <c r="E8" s="239"/>
      <c r="F8" s="239"/>
      <c r="G8" s="239"/>
      <c r="H8" s="239"/>
      <c r="I8" s="239"/>
      <c r="J8" s="239"/>
      <c r="K8" s="239"/>
      <c r="L8" s="239"/>
      <c r="M8" s="239"/>
    </row>
    <row r="9" spans="1:13">
      <c r="A9" s="239"/>
      <c r="B9" s="242">
        <f>B3</f>
      </c>
      <c r="C9" s="242">
        <f t="shared" ref="C9:K9" si="0">C3</f>
      </c>
      <c r="D9" s="242">
        <f t="shared" si="0"/>
      </c>
      <c r="E9" s="242">
        <f t="shared" si="0"/>
      </c>
      <c r="F9" s="242">
        <f t="shared" si="0"/>
      </c>
      <c r="G9" s="242">
        <f t="shared" si="0"/>
      </c>
      <c r="H9" s="242">
        <f t="shared" si="0"/>
      </c>
      <c r="I9" s="242">
        <f t="shared" si="0"/>
      </c>
      <c r="J9" s="242">
        <f t="shared" si="0"/>
      </c>
      <c r="K9" s="242">
        <f t="shared" si="0"/>
      </c>
      <c r="L9" s="239"/>
      <c r="M9" s="239"/>
    </row>
    <row r="10" spans="1:13">
      <c r="A10" s="239" t="s">
        <v>272</v>
      </c>
      <c r="B10" s="243">
        <f>'Key Ratios'!B21</f>
      </c>
      <c r="C10" s="243">
        <f>'Key Ratios'!C21</f>
      </c>
      <c r="D10" s="243">
        <f>'Key Ratios'!D21</f>
      </c>
      <c r="E10" s="243">
        <f>'Key Ratios'!E21</f>
      </c>
      <c r="F10" s="243">
        <f>'Key Ratios'!F21</f>
      </c>
      <c r="G10" s="243">
        <f>'Key Ratios'!G21</f>
      </c>
      <c r="H10" s="243">
        <f>'Key Ratios'!H21</f>
      </c>
      <c r="I10" s="243">
        <f>'Key Ratios'!I21</f>
      </c>
      <c r="J10" s="243">
        <f>'Key Ratios'!J21</f>
      </c>
      <c r="K10" s="243">
        <f>'Key Ratios'!K21</f>
      </c>
      <c r="L10" s="239"/>
      <c r="M10" s="239"/>
    </row>
    <row r="11" spans="1:13">
      <c r="A11" s="239" t="s">
        <v>273</v>
      </c>
      <c r="B11" s="243">
        <f>'Key Ratios'!B22</f>
      </c>
      <c r="C11" s="243">
        <f>'Key Ratios'!C22</f>
      </c>
      <c r="D11" s="243">
        <f>'Key Ratios'!D22</f>
      </c>
      <c r="E11" s="243">
        <f>'Key Ratios'!E22</f>
      </c>
      <c r="F11" s="243">
        <f>'Key Ratios'!F22</f>
      </c>
      <c r="G11" s="243">
        <f>'Key Ratios'!G22</f>
      </c>
      <c r="H11" s="243">
        <f>'Key Ratios'!H22</f>
      </c>
      <c r="I11" s="243">
        <f>'Key Ratios'!I22</f>
      </c>
      <c r="J11" s="243">
        <f>'Key Ratios'!J22</f>
      </c>
      <c r="K11" s="243">
        <f>'Key Ratios'!K22</f>
      </c>
      <c r="L11" s="239"/>
      <c r="M11" s="239"/>
    </row>
    <row r="12" spans="1:13">
      <c r="A12" s="239" t="s">
        <v>728</v>
      </c>
      <c r="B12" s="243">
        <f>'Screener Output'!C105</f>
      </c>
      <c r="C12" s="243">
        <f>'Screener Output'!D105</f>
      </c>
      <c r="D12" s="243">
        <f ca="1">'Screener Output'!E105</f>
      </c>
      <c r="E12" s="243">
        <f ca="1">'Screener Output'!F105</f>
      </c>
      <c r="F12" s="243">
        <f ca="1">'Screener Output'!G105</f>
      </c>
      <c r="G12" s="243">
        <f ca="1">'Screener Output'!H105</f>
      </c>
      <c r="H12" s="243">
        <f ca="1">'Screener Output'!I105</f>
      </c>
      <c r="I12" s="243">
        <f ca="1">'Screener Output'!J105</f>
      </c>
      <c r="J12" s="243">
        <f ca="1">'Screener Output'!K105</f>
      </c>
      <c r="K12" s="243">
        <f ca="1">'Screener Output'!L105</f>
      </c>
      <c r="L12" s="239"/>
      <c r="M12" s="239"/>
    </row>
    <row r="13" spans="1:13">
      <c r="A13" s="240" t="s">
        <v>275</v>
      </c>
      <c r="B13" s="239"/>
      <c r="C13" s="239"/>
      <c r="D13" s="239"/>
      <c r="E13" s="239"/>
      <c r="F13" s="239"/>
      <c r="G13" s="239"/>
      <c r="H13" s="239"/>
      <c r="I13" s="239"/>
      <c r="J13" s="239"/>
      <c r="K13" s="239"/>
      <c r="L13" s="239"/>
      <c r="M13" s="239"/>
    </row>
    <row r="14" spans="1:13">
      <c r="A14" s="239"/>
      <c r="B14" s="242">
        <f t="shared" ref="B14:J14" si="1">C9</f>
      </c>
      <c r="C14" s="242">
        <f t="shared" si="1"/>
      </c>
      <c r="D14" s="242">
        <f t="shared" si="1"/>
      </c>
      <c r="E14" s="242">
        <f t="shared" si="1"/>
      </c>
      <c r="F14" s="242">
        <f t="shared" si="1"/>
      </c>
      <c r="G14" s="242">
        <f t="shared" si="1"/>
      </c>
      <c r="H14" s="242">
        <f t="shared" si="1"/>
      </c>
      <c r="I14" s="242">
        <f t="shared" si="1"/>
      </c>
      <c r="J14" s="242">
        <f t="shared" si="1"/>
      </c>
      <c r="K14" s="239"/>
      <c r="L14" s="239"/>
      <c r="M14" s="239"/>
    </row>
    <row r="15" spans="1:13">
      <c r="A15" s="239" t="s">
        <v>276</v>
      </c>
      <c r="B15" s="243">
        <f>'Key Ratios'!C4</f>
      </c>
      <c r="C15" s="243">
        <f>'Key Ratios'!D4</f>
      </c>
      <c r="D15" s="243">
        <f>'Key Ratios'!E4</f>
      </c>
      <c r="E15" s="243">
        <f>'Key Ratios'!F4</f>
      </c>
      <c r="F15" s="243">
        <f>'Key Ratios'!G4</f>
      </c>
      <c r="G15" s="243">
        <f>'Key Ratios'!H4</f>
      </c>
      <c r="H15" s="243">
        <f>'Key Ratios'!I4</f>
      </c>
      <c r="I15" s="243">
        <f>'Key Ratios'!J4</f>
      </c>
      <c r="J15" s="243">
        <f>'Key Ratios'!K4</f>
      </c>
      <c r="K15" s="239"/>
      <c r="L15" s="239"/>
      <c r="M15" s="239"/>
    </row>
    <row r="16" spans="1:13">
      <c r="A16" s="239" t="s">
        <v>179</v>
      </c>
      <c r="B16" s="243">
        <f>'Key Ratios'!C5</f>
      </c>
      <c r="C16" s="243">
        <f>'Key Ratios'!D5</f>
      </c>
      <c r="D16" s="243">
        <f>'Key Ratios'!E5</f>
      </c>
      <c r="E16" s="243">
        <f>'Key Ratios'!F5</f>
      </c>
      <c r="F16" s="243">
        <f>'Key Ratios'!G5</f>
      </c>
      <c r="G16" s="243">
        <f>'Key Ratios'!H5</f>
      </c>
      <c r="H16" s="243">
        <f>'Key Ratios'!I5</f>
      </c>
      <c r="I16" s="243">
        <f>'Key Ratios'!J5</f>
      </c>
      <c r="J16" s="243">
        <f>'Key Ratios'!K5</f>
      </c>
      <c r="K16" s="239"/>
      <c r="L16" s="239"/>
      <c r="M16" s="239"/>
    </row>
    <row r="17" spans="1:14">
      <c r="A17" s="239" t="s">
        <v>260</v>
      </c>
      <c r="B17" s="243">
        <f>'Key Ratios'!C6</f>
      </c>
      <c r="C17" s="243">
        <f>'Key Ratios'!D6</f>
      </c>
      <c r="D17" s="243">
        <f>'Key Ratios'!E6</f>
      </c>
      <c r="E17" s="243">
        <f>'Key Ratios'!F6</f>
      </c>
      <c r="F17" s="243">
        <f>'Key Ratios'!G6</f>
      </c>
      <c r="G17" s="243">
        <f>'Key Ratios'!H6</f>
      </c>
      <c r="H17" s="243">
        <f>'Key Ratios'!I6</f>
      </c>
      <c r="I17" s="243">
        <f>'Key Ratios'!J6</f>
      </c>
      <c r="J17" s="243">
        <f>'Key Ratios'!K6</f>
      </c>
      <c r="K17" s="239"/>
      <c r="L17" s="239"/>
      <c r="M17" s="239"/>
    </row>
    <row r="18" spans="1:14">
      <c r="A18" s="239"/>
      <c r="B18" s="356"/>
      <c r="C18" s="356"/>
      <c r="D18" s="356"/>
      <c r="E18" s="356"/>
      <c r="F18" s="356"/>
      <c r="G18" s="356"/>
      <c r="H18" s="356"/>
      <c r="I18" s="356"/>
      <c r="J18" s="356"/>
      <c r="K18" s="356"/>
      <c r="L18" s="239"/>
      <c r="M18" s="239"/>
    </row>
    <row r="19" spans="1:14">
      <c r="A19" s="240" t="s">
        <v>277</v>
      </c>
      <c r="B19" s="241"/>
      <c r="C19" s="241"/>
      <c r="D19" s="241"/>
      <c r="E19" s="241"/>
      <c r="F19" s="241"/>
      <c r="G19" s="241"/>
      <c r="H19" s="241"/>
      <c r="I19" s="241"/>
      <c r="J19" s="241"/>
      <c r="K19" s="241"/>
      <c r="L19" s="239"/>
      <c r="M19" s="239"/>
    </row>
    <row r="20" spans="1:14">
      <c r="A20" s="239"/>
      <c r="B20" s="242">
        <f>B9</f>
      </c>
      <c r="C20" s="242">
        <f t="shared" ref="C20:K20" si="2">C9</f>
      </c>
      <c r="D20" s="242">
        <f t="shared" si="2"/>
      </c>
      <c r="E20" s="242">
        <f t="shared" si="2"/>
      </c>
      <c r="F20" s="242">
        <f t="shared" si="2"/>
      </c>
      <c r="G20" s="242">
        <f t="shared" si="2"/>
      </c>
      <c r="H20" s="242">
        <f t="shared" si="2"/>
      </c>
      <c r="I20" s="242">
        <f t="shared" si="2"/>
      </c>
      <c r="J20" s="242">
        <f t="shared" si="2"/>
      </c>
      <c r="K20" s="242">
        <f t="shared" si="2"/>
      </c>
      <c r="L20" s="239"/>
      <c r="M20" s="239"/>
    </row>
    <row r="21" spans="1:14">
      <c r="A21" s="239" t="s">
        <v>278</v>
      </c>
      <c r="B21" s="244">
        <f>'Profit &amp; Loss'!B4</f>
      </c>
      <c r="C21" s="244">
        <f>'Profit &amp; Loss'!C4</f>
      </c>
      <c r="D21" s="244">
        <f>'Profit &amp; Loss'!D4</f>
      </c>
      <c r="E21" s="244">
        <f>'Profit &amp; Loss'!E4</f>
      </c>
      <c r="F21" s="244">
        <f>'Profit &amp; Loss'!F4</f>
      </c>
      <c r="G21" s="244">
        <f>'Profit &amp; Loss'!G4</f>
      </c>
      <c r="H21" s="244">
        <f>'Profit &amp; Loss'!H4</f>
      </c>
      <c r="I21" s="244">
        <f>'Profit &amp; Loss'!I4</f>
      </c>
      <c r="J21" s="244">
        <f>'Profit &amp; Loss'!J4</f>
      </c>
      <c r="K21" s="244">
        <f>'Profit &amp; Loss'!K4</f>
      </c>
      <c r="L21" s="244">
        <f>'Profit &amp; Loss'!L4</f>
      </c>
      <c r="M21" s="239"/>
    </row>
    <row r="22" spans="1:14">
      <c r="A22" s="239" t="s">
        <v>131</v>
      </c>
      <c r="B22" s="244">
        <f>'Profit &amp; Loss'!B19</f>
      </c>
      <c r="C22" s="244">
        <f>'Profit &amp; Loss'!C19</f>
      </c>
      <c r="D22" s="244">
        <f>'Profit &amp; Loss'!D19</f>
      </c>
      <c r="E22" s="244">
        <f>'Profit &amp; Loss'!E19</f>
      </c>
      <c r="F22" s="244">
        <f>'Profit &amp; Loss'!F19</f>
      </c>
      <c r="G22" s="244">
        <f>'Profit &amp; Loss'!G19</f>
      </c>
      <c r="H22" s="244">
        <f>'Profit &amp; Loss'!H19</f>
      </c>
      <c r="I22" s="244">
        <f>'Profit &amp; Loss'!I19</f>
      </c>
      <c r="J22" s="244">
        <f>'Profit &amp; Loss'!J19</f>
      </c>
      <c r="K22" s="244">
        <f>'Profit &amp; Loss'!K19</f>
      </c>
      <c r="L22" s="244">
        <f>'Profit &amp; Loss'!L19</f>
      </c>
      <c r="M22" s="239"/>
    </row>
    <row r="23" spans="1:14">
      <c r="A23" s="239" t="s">
        <v>172</v>
      </c>
      <c r="B23" s="244">
        <f>'Profit &amp; Loss'!B24</f>
      </c>
      <c r="C23" s="244">
        <f>'Profit &amp; Loss'!C24</f>
      </c>
      <c r="D23" s="244">
        <f>'Profit &amp; Loss'!D24</f>
      </c>
      <c r="E23" s="244">
        <f>'Profit &amp; Loss'!E24</f>
      </c>
      <c r="F23" s="244">
        <f>'Profit &amp; Loss'!F24</f>
      </c>
      <c r="G23" s="244">
        <f>'Profit &amp; Loss'!G24</f>
      </c>
      <c r="H23" s="244">
        <f>'Profit &amp; Loss'!H24</f>
      </c>
      <c r="I23" s="244">
        <f>'Profit &amp; Loss'!I24</f>
      </c>
      <c r="J23" s="244">
        <f>'Profit &amp; Loss'!J24</f>
      </c>
      <c r="K23" s="244">
        <f>'Profit &amp; Loss'!K24</f>
      </c>
      <c r="L23" s="244">
        <f>'Profit &amp; Loss'!L24</f>
      </c>
      <c r="M23" s="239"/>
    </row>
    <row r="24" spans="1:14">
      <c r="A24" s="239" t="s">
        <v>619</v>
      </c>
      <c r="B24" s="239">
        <f ca="1">VMAnalysis!B35</f>
      </c>
      <c r="C24" s="239">
        <f ca="1">VMAnalysis!C35</f>
      </c>
      <c r="D24" s="239">
        <f ca="1">VMAnalysis!D35</f>
      </c>
      <c r="E24" s="239">
        <f ca="1">VMAnalysis!E35</f>
      </c>
      <c r="F24" s="239">
        <f ca="1">VMAnalysis!F35</f>
      </c>
      <c r="G24" s="239">
        <f ca="1">VMAnalysis!G35</f>
      </c>
      <c r="H24" s="239">
        <f ca="1">VMAnalysis!H35</f>
      </c>
      <c r="I24" s="239">
        <f ca="1">VMAnalysis!I35</f>
      </c>
      <c r="J24" s="239">
        <f ca="1">VMAnalysis!J35</f>
      </c>
      <c r="K24" s="239">
        <f ca="1">VMAnalysis!K35</f>
      </c>
      <c r="L24" s="239"/>
      <c r="M24" s="239"/>
      <c r="N24" s="239"/>
    </row>
    <row r="25" spans="1:14">
      <c r="A25" s="240" t="s">
        <v>282</v>
      </c>
      <c r="B25" s="241"/>
      <c r="C25" s="241"/>
      <c r="D25" s="241"/>
      <c r="E25" s="241"/>
      <c r="F25" s="241"/>
      <c r="G25" s="241"/>
      <c r="H25" s="241"/>
      <c r="I25" s="241"/>
      <c r="J25" s="241"/>
      <c r="K25" s="241"/>
      <c r="L25" s="239"/>
      <c r="M25" s="239"/>
    </row>
    <row r="26" spans="1:14">
      <c r="A26" s="239"/>
      <c r="B26" s="242">
        <f>B20</f>
      </c>
      <c r="C26" s="242">
        <f t="shared" ref="C26:K26" si="3">C20</f>
      </c>
      <c r="D26" s="242">
        <f t="shared" si="3"/>
      </c>
      <c r="E26" s="242">
        <f t="shared" si="3"/>
      </c>
      <c r="F26" s="242">
        <f t="shared" si="3"/>
      </c>
      <c r="G26" s="242">
        <f t="shared" si="3"/>
      </c>
      <c r="H26" s="242">
        <f t="shared" si="3"/>
      </c>
      <c r="I26" s="242">
        <f t="shared" si="3"/>
      </c>
      <c r="J26" s="242">
        <f t="shared" si="3"/>
      </c>
      <c r="K26" s="242">
        <f t="shared" si="3"/>
      </c>
      <c r="L26" s="239"/>
      <c r="M26" s="239"/>
    </row>
    <row r="27" spans="1:14">
      <c r="A27" s="239" t="s">
        <v>730</v>
      </c>
      <c r="B27" s="244">
        <f>'Cash Flow'!B4</f>
      </c>
      <c r="C27" s="244">
        <f>'Cash Flow'!C4</f>
      </c>
      <c r="D27" s="244">
        <f>'Cash Flow'!D4</f>
      </c>
      <c r="E27" s="244">
        <f>'Cash Flow'!E4</f>
      </c>
      <c r="F27" s="244">
        <f>'Cash Flow'!F4</f>
      </c>
      <c r="G27" s="244">
        <f>'Cash Flow'!G4</f>
      </c>
      <c r="H27" s="244">
        <f>'Cash Flow'!H4</f>
      </c>
      <c r="I27" s="244">
        <f>'Cash Flow'!I4</f>
      </c>
      <c r="J27" s="244">
        <f>'Cash Flow'!J4</f>
      </c>
      <c r="K27" s="244">
        <f>'Cash Flow'!K4</f>
      </c>
      <c r="L27" s="244"/>
      <c r="M27" s="239"/>
    </row>
    <row r="28" spans="1:14">
      <c r="A28" s="239" t="s">
        <v>129</v>
      </c>
      <c r="B28" s="244">
        <f>'Cash Flow'!B12</f>
      </c>
      <c r="C28" s="244">
        <f ca="1">'Cash Flow'!C12</f>
      </c>
      <c r="D28" s="244">
        <f ca="1">'Cash Flow'!D12</f>
      </c>
      <c r="E28" s="244">
        <f ca="1">'Cash Flow'!E12</f>
      </c>
      <c r="F28" s="244">
        <f ca="1">'Cash Flow'!F12</f>
      </c>
      <c r="G28" s="244">
        <f ca="1">'Cash Flow'!G12</f>
      </c>
      <c r="H28" s="244">
        <f ca="1">'Cash Flow'!H12</f>
      </c>
      <c r="I28" s="244">
        <f ca="1">'Cash Flow'!I12</f>
      </c>
      <c r="J28" s="244">
        <f ca="1">'Cash Flow'!J12</f>
      </c>
      <c r="K28" s="244">
        <f ca="1">'Cash Flow'!K12</f>
      </c>
      <c r="L28" s="244"/>
      <c r="M28" s="239"/>
    </row>
    <row r="29" spans="1:14">
      <c r="A29" s="239" t="s">
        <v>723</v>
      </c>
      <c r="B29" s="244">
        <f>'Data Sheet'!B82+'Data Sheet'!B83</f>
      </c>
      <c r="C29" s="244">
        <f>'Data Sheet'!C82+'Data Sheet'!C83</f>
      </c>
      <c r="D29" s="244">
        <f>'Data Sheet'!D82+'Data Sheet'!D83</f>
      </c>
      <c r="E29" s="244">
        <f>'Data Sheet'!E82+'Data Sheet'!E83</f>
      </c>
      <c r="F29" s="244">
        <f>'Data Sheet'!F82+'Data Sheet'!F83</f>
      </c>
      <c r="G29" s="244">
        <f>'Data Sheet'!G82+'Data Sheet'!G83</f>
      </c>
      <c r="H29" s="244">
        <f>'Data Sheet'!H82+'Data Sheet'!H83</f>
      </c>
      <c r="I29" s="244">
        <f>'Data Sheet'!I82+'Data Sheet'!I83</f>
      </c>
      <c r="J29" s="244">
        <f>'Data Sheet'!J82+'Data Sheet'!J83</f>
      </c>
      <c r="K29" s="244">
        <f>'Data Sheet'!K82+'Data Sheet'!K83</f>
      </c>
      <c r="L29" s="244"/>
      <c r="M29" s="239"/>
    </row>
    <row r="30" spans="1:14">
      <c r="A30" s="239"/>
      <c r="B30" s="244"/>
      <c r="C30" s="244"/>
      <c r="D30" s="244"/>
      <c r="E30" s="244"/>
      <c r="F30" s="244"/>
      <c r="G30" s="244"/>
      <c r="H30" s="244"/>
      <c r="I30" s="244"/>
      <c r="J30" s="244"/>
      <c r="K30" s="244"/>
      <c r="L30" s="239"/>
      <c r="M30" s="239"/>
    </row>
    <row r="31" spans="1:14">
      <c r="A31" s="240" t="s">
        <v>508</v>
      </c>
      <c r="B31" s="242">
        <f>B20</f>
      </c>
      <c r="C31" s="242">
        <f t="shared" ref="C31:K31" si="4">C20</f>
      </c>
      <c r="D31" s="242">
        <f t="shared" si="4"/>
      </c>
      <c r="E31" s="242">
        <f t="shared" si="4"/>
      </c>
      <c r="F31" s="242">
        <f t="shared" si="4"/>
      </c>
      <c r="G31" s="242">
        <f t="shared" si="4"/>
      </c>
      <c r="H31" s="242">
        <f t="shared" si="4"/>
      </c>
      <c r="I31" s="242">
        <f t="shared" si="4"/>
      </c>
      <c r="J31" s="242">
        <f t="shared" si="4"/>
      </c>
      <c r="K31" s="242">
        <f t="shared" si="4"/>
      </c>
      <c r="L31" s="239"/>
      <c r="M31" s="239"/>
    </row>
    <row r="32" spans="1:14">
      <c r="A32" s="239" t="s">
        <v>296</v>
      </c>
      <c r="B32" s="239">
        <f ca="1">VMAnalysis!B41</f>
      </c>
      <c r="C32" s="239">
        <f ca="1">VMAnalysis!C41</f>
      </c>
      <c r="D32" s="239">
        <f ca="1">VMAnalysis!D41</f>
      </c>
      <c r="E32" s="239">
        <f ca="1">VMAnalysis!E41</f>
      </c>
      <c r="F32" s="239">
        <f ca="1">VMAnalysis!F41</f>
      </c>
      <c r="G32" s="239">
        <f ca="1">VMAnalysis!G41</f>
      </c>
      <c r="H32" s="239">
        <f ca="1">VMAnalysis!H41</f>
      </c>
      <c r="I32" s="239">
        <f ca="1">VMAnalysis!I41</f>
      </c>
      <c r="J32" s="239">
        <f ca="1">VMAnalysis!J41</f>
      </c>
      <c r="K32" s="239">
        <f ca="1">VMAnalysis!K41</f>
      </c>
      <c r="L32" s="239">
        <f>VMAnalysis!L41</f>
      </c>
      <c r="M32" s="239"/>
    </row>
    <row r="33" spans="1:13">
      <c r="A33" s="239" t="s">
        <v>506</v>
      </c>
      <c r="B33" s="239">
        <f ca="1">VMAnalysis!B42</f>
      </c>
      <c r="C33" s="239">
        <f ca="1">VMAnalysis!C42</f>
      </c>
      <c r="D33" s="239">
        <f ca="1">VMAnalysis!D42</f>
      </c>
      <c r="E33" s="239">
        <f ca="1">VMAnalysis!E42</f>
      </c>
      <c r="F33" s="239">
        <f ca="1">VMAnalysis!F42</f>
      </c>
      <c r="G33" s="239">
        <f ca="1">VMAnalysis!G42</f>
      </c>
      <c r="H33" s="239">
        <f ca="1">VMAnalysis!H42</f>
      </c>
      <c r="I33" s="239">
        <f ca="1">VMAnalysis!I42</f>
      </c>
      <c r="J33" s="239">
        <f ca="1">VMAnalysis!J42</f>
      </c>
      <c r="K33" s="239">
        <f ca="1">VMAnalysis!K42</f>
      </c>
      <c r="L33" s="239"/>
      <c r="M33" s="239"/>
    </row>
    <row r="34" spans="1:13">
      <c r="A34" s="239" t="s">
        <v>507</v>
      </c>
      <c r="B34" s="243">
        <f ca="1">VMAnalysis!B43</f>
      </c>
      <c r="C34" s="243">
        <f ca="1">VMAnalysis!C43</f>
      </c>
      <c r="D34" s="243">
        <f ca="1">VMAnalysis!D43</f>
      </c>
      <c r="E34" s="243">
        <f ca="1">VMAnalysis!E43</f>
      </c>
      <c r="F34" s="243">
        <f ca="1">VMAnalysis!F43</f>
      </c>
      <c r="G34" s="243">
        <f ca="1">VMAnalysis!G43</f>
      </c>
      <c r="H34" s="243">
        <f ca="1">VMAnalysis!H43</f>
      </c>
      <c r="I34" s="243">
        <f ca="1">VMAnalysis!I43</f>
      </c>
      <c r="J34" s="243">
        <f ca="1">VMAnalysis!J43</f>
      </c>
      <c r="K34" s="243">
        <f ca="1">VMAnalysis!K43</f>
      </c>
    </row>
    <row r="36" spans="1:13">
      <c r="A36" s="240" t="s">
        <v>509</v>
      </c>
      <c r="B36" s="242">
        <f>B20</f>
      </c>
      <c r="C36" s="242">
        <f t="shared" ref="C36:K36" si="5">C20</f>
      </c>
      <c r="D36" s="242">
        <f t="shared" si="5"/>
      </c>
      <c r="E36" s="242">
        <f t="shared" si="5"/>
      </c>
      <c r="F36" s="242">
        <f t="shared" si="5"/>
      </c>
      <c r="G36" s="242">
        <f t="shared" si="5"/>
      </c>
      <c r="H36" s="242">
        <f t="shared" si="5"/>
      </c>
      <c r="I36" s="242">
        <f t="shared" si="5"/>
      </c>
      <c r="J36" s="242">
        <f t="shared" si="5"/>
      </c>
      <c r="K36" s="242">
        <f t="shared" si="5"/>
      </c>
      <c r="L36" s="500" t="s">
        <v>732</v>
      </c>
    </row>
    <row r="37" spans="1:13">
      <c r="A37" s="239" t="str">
        <f>'Screener Output'!A69</f>
      </c>
      <c r="B37" s="474">
        <f>'Profit &amp; Loss'!B27</f>
      </c>
      <c r="C37" s="474">
        <f>'Profit &amp; Loss'!C27</f>
      </c>
      <c r="D37" s="474">
        <f>'Profit &amp; Loss'!D27</f>
      </c>
      <c r="E37" s="474">
        <f>'Profit &amp; Loss'!E27</f>
      </c>
      <c r="F37" s="474">
        <f>'Profit &amp; Loss'!F27</f>
      </c>
      <c r="G37" s="474">
        <f>'Profit &amp; Loss'!G27</f>
      </c>
      <c r="H37" s="474">
        <f>'Profit &amp; Loss'!H27</f>
      </c>
      <c r="I37" s="474">
        <f>'Profit &amp; Loss'!I27</f>
      </c>
      <c r="J37" s="474">
        <f>'Profit &amp; Loss'!J27</f>
      </c>
      <c r="K37" s="474">
        <f>'Profit &amp; Loss'!K27</f>
      </c>
      <c r="L37" s="474">
        <f>'Profit &amp; Loss'!L27</f>
      </c>
    </row>
    <row r="38" spans="1:13">
      <c r="A38" s="239" t="str">
        <f>'Screener Output'!A70</f>
      </c>
      <c r="B38" s="321">
        <f>'Screener Output'!C70</f>
      </c>
      <c r="C38" s="321">
        <f>(C37-B37)/B37</f>
      </c>
      <c r="D38" s="321">
        <f t="shared" ref="D38:L38" si="6">(D37-C37)/C37</f>
      </c>
      <c r="E38" s="321">
        <f t="shared" si="6"/>
      </c>
      <c r="F38" s="321">
        <f t="shared" si="6"/>
      </c>
      <c r="G38" s="321">
        <f t="shared" si="6"/>
      </c>
      <c r="H38" s="321">
        <f t="shared" si="6"/>
      </c>
      <c r="I38" s="321">
        <f t="shared" si="6"/>
      </c>
      <c r="J38" s="321">
        <f t="shared" si="6"/>
      </c>
      <c r="K38" s="321">
        <f t="shared" si="6"/>
      </c>
      <c r="L38" s="321">
        <f t="shared" si="6"/>
      </c>
    </row>
    <row r="39" spans="1:13">
      <c r="A39" s="239" t="s">
        <v>510</v>
      </c>
      <c r="B39" s="321">
        <f>'Screener Output'!C79</f>
      </c>
      <c r="C39" s="321">
        <f>'Screener Output'!D79</f>
      </c>
      <c r="D39" s="321">
        <f>'Screener Output'!E79</f>
      </c>
      <c r="E39" s="321">
        <f ca="1">'Screener Output'!F79</f>
      </c>
      <c r="F39" s="321">
        <f ca="1">'Screener Output'!G79</f>
      </c>
      <c r="G39" s="321">
        <f ca="1">'Screener Output'!H79</f>
      </c>
      <c r="H39" s="321">
        <f ca="1">'Screener Output'!I79</f>
      </c>
      <c r="I39" s="321">
        <f ca="1">'Screener Output'!J79</f>
      </c>
      <c r="J39" s="321">
        <f ca="1">'Screener Output'!K79</f>
      </c>
      <c r="K39" s="321">
        <f ca="1">'Screener Output'!L79</f>
      </c>
    </row>
    <row r="40" spans="1:13">
      <c r="A40" s="239" t="s">
        <v>311</v>
      </c>
      <c r="B40" s="321">
        <f>'Screener Output'!C68</f>
      </c>
      <c r="C40" s="321">
        <f ca="1">'Screener Output'!D68</f>
      </c>
      <c r="D40" s="321">
        <f ca="1">'Screener Output'!E68</f>
      </c>
      <c r="E40" s="321">
        <f ca="1">'Screener Output'!F68</f>
      </c>
      <c r="F40" s="321">
        <f ca="1">'Screener Output'!G68</f>
      </c>
      <c r="G40" s="321">
        <f ca="1">'Screener Output'!H68</f>
      </c>
      <c r="H40" s="321">
        <f ca="1">'Screener Output'!I68</f>
      </c>
      <c r="I40" s="321">
        <f ca="1">'Screener Output'!J68</f>
      </c>
      <c r="J40" s="321">
        <f ca="1">'Screener Output'!K68</f>
      </c>
      <c r="K40" s="321">
        <f ca="1">'Screener Output'!L68</f>
      </c>
    </row>
    <row r="41" spans="1:13">
      <c r="A41" s="321" t="s">
        <v>731</v>
      </c>
      <c r="B41" s="499">
        <f>'Profit &amp; Loss'!B29</f>
      </c>
      <c r="C41" s="499">
        <f>'Profit &amp; Loss'!C29</f>
      </c>
      <c r="D41" s="499">
        <f>'Profit &amp; Loss'!D29</f>
      </c>
      <c r="E41" s="499">
        <f>'Profit &amp; Loss'!E29</f>
      </c>
      <c r="F41" s="499">
        <f>'Profit &amp; Loss'!F29</f>
      </c>
      <c r="G41" s="499">
        <f>'Profit &amp; Loss'!G29</f>
      </c>
      <c r="H41" s="499">
        <f>'Profit &amp; Loss'!H29</f>
      </c>
      <c r="I41" s="499">
        <f>'Profit &amp; Loss'!I29</f>
      </c>
      <c r="J41" s="499">
        <f>'Profit &amp; Loss'!J29</f>
      </c>
      <c r="K41" s="499">
        <f>'Profit &amp; Loss'!K29</f>
      </c>
      <c r="L41" s="499">
        <f>'Profit &amp; Loss'!L29</f>
      </c>
    </row>
    <row r="42" spans="1:13">
      <c r="A42" s="239"/>
      <c r="C42" s="321"/>
      <c r="D42" s="321"/>
      <c r="E42" s="321"/>
      <c r="F42" s="321"/>
      <c r="G42" s="321"/>
      <c r="H42" s="321"/>
      <c r="I42" s="321"/>
      <c r="J42" s="321"/>
      <c r="K42" s="321"/>
      <c r="L42" s="321"/>
    </row>
    <row r="43" spans="1:13">
      <c r="A43" s="493" t="s">
        <v>711</v>
      </c>
    </row>
    <row r="44" spans="1:13">
      <c r="A44" s="239" t="s">
        <v>704</v>
      </c>
      <c r="B44">
        <f>SUM('Data Sheet'!B26:B28)</f>
      </c>
      <c r="C44">
        <f>SUM('Data Sheet'!C26:C28)</f>
      </c>
      <c r="D44">
        <f>SUM('Data Sheet'!D26:D28)</f>
      </c>
      <c r="E44">
        <f>SUM('Data Sheet'!E26:E28)</f>
      </c>
      <c r="F44">
        <f>SUM('Data Sheet'!F26:F28)</f>
      </c>
      <c r="G44">
        <f>SUM('Data Sheet'!G26:G28)</f>
      </c>
      <c r="H44">
        <f>SUM('Data Sheet'!H26:H28)</f>
      </c>
      <c r="I44">
        <f>SUM('Data Sheet'!I26:I28)</f>
      </c>
      <c r="J44">
        <f>SUM('Data Sheet'!J26:J28)</f>
      </c>
      <c r="K44">
        <f>SUM('Data Sheet'!K26:K28)</f>
      </c>
    </row>
    <row r="45" spans="1:13">
      <c r="A45" s="239" t="s">
        <v>705</v>
      </c>
      <c r="B45" s="321">
        <f t="shared" ref="B45:K45" si="7">B27/B44</f>
      </c>
      <c r="C45" s="321">
        <f t="shared" si="7"/>
      </c>
      <c r="D45" s="321">
        <f t="shared" si="7"/>
      </c>
      <c r="E45" s="321">
        <f t="shared" si="7"/>
      </c>
      <c r="F45" s="321">
        <f t="shared" si="7"/>
      </c>
      <c r="G45" s="321">
        <f t="shared" si="7"/>
      </c>
      <c r="H45" s="321">
        <f t="shared" si="7"/>
      </c>
      <c r="I45" s="321">
        <f t="shared" si="7"/>
      </c>
      <c r="J45" s="321">
        <f t="shared" si="7"/>
      </c>
      <c r="K45" s="321">
        <f t="shared" si="7"/>
      </c>
    </row>
    <row r="47" spans="1:13">
      <c r="A47" s="493" t="s">
        <v>706</v>
      </c>
      <c r="J47" s="498">
        <v>16</v>
      </c>
      <c r="K47" s="498">
        <v>30</v>
      </c>
    </row>
    <row r="50" spans="1:19">
      <c r="A50" t="s">
        <v>707</v>
      </c>
    </row>
    <row r="51" spans="1:19">
      <c r="A51" t="s">
        <v>708</v>
      </c>
      <c r="B51" s="319">
        <f ca="1">'Screener Output'!C13</f>
      </c>
      <c r="C51" s="319">
        <f ca="1">'Screener Output'!D13</f>
      </c>
      <c r="D51" s="319">
        <f ca="1">'Screener Output'!E13</f>
      </c>
      <c r="E51" s="319">
        <f ca="1">'Screener Output'!F13</f>
      </c>
      <c r="F51" s="319">
        <f ca="1">'Screener Output'!G13</f>
      </c>
      <c r="G51" s="319">
        <f ca="1">'Screener Output'!H13</f>
      </c>
      <c r="H51" s="319">
        <f ca="1">'Screener Output'!I13</f>
      </c>
      <c r="I51" s="319">
        <f ca="1">'Screener Output'!J13</f>
      </c>
      <c r="J51" s="319">
        <f ca="1">'Screener Output'!K13</f>
      </c>
      <c r="K51" s="319">
        <v>10</v>
      </c>
    </row>
    <row r="52" spans="1:19">
      <c r="A52" t="str">
        <f>'Balance Sheet'!A19</f>
      </c>
      <c r="B52" s="319">
        <f ca="1">'Screener Output'!C47</f>
      </c>
      <c r="C52" s="319">
        <f ca="1">'Screener Output'!D47</f>
      </c>
      <c r="D52" s="319">
        <f ca="1">'Screener Output'!E47</f>
      </c>
      <c r="E52" s="319">
        <f ca="1">'Screener Output'!F47</f>
      </c>
      <c r="F52" s="319">
        <f ca="1">'Screener Output'!G47</f>
      </c>
      <c r="G52" s="319">
        <f ca="1">'Screener Output'!H47</f>
      </c>
      <c r="H52" s="319">
        <f ca="1">'Screener Output'!I47</f>
      </c>
      <c r="I52" s="319">
        <f ca="1">'Screener Output'!J47</f>
      </c>
      <c r="J52" s="319">
        <f ca="1">'Screener Output'!K47</f>
      </c>
      <c r="K52" s="319">
        <f ca="1">'Screener Output'!L47</f>
      </c>
    </row>
    <row r="53" spans="1:19">
      <c r="A53" t="s">
        <v>707</v>
      </c>
      <c r="B53" s="321">
        <f ca="1">B51/B52</f>
      </c>
      <c r="C53" s="321">
        <f t="shared" ref="C53:K53" ca="1" si="8">C51/C52</f>
      </c>
      <c r="D53" s="321">
        <f t="shared" ca="1" si="8"/>
      </c>
      <c r="E53" s="321">
        <f t="shared" ca="1" si="8"/>
      </c>
      <c r="F53" s="321">
        <f t="shared" ca="1" si="8"/>
      </c>
      <c r="G53" s="321">
        <f t="shared" ca="1" si="8"/>
      </c>
      <c r="H53" s="321">
        <f t="shared" ca="1" si="8"/>
      </c>
      <c r="I53" s="321">
        <f t="shared" ca="1" si="8"/>
      </c>
      <c r="J53" s="321">
        <f t="shared" ca="1" si="8"/>
      </c>
      <c r="K53" s="321">
        <f t="shared" ca="1" si="8"/>
      </c>
    </row>
    <row r="56" spans="1:19">
      <c r="A56" t="s">
        <v>709</v>
      </c>
    </row>
    <row r="59" spans="1:19">
      <c r="A59" t="s">
        <v>727</v>
      </c>
    </row>
    <row r="60" spans="1:19">
      <c r="A60" t="str">
        <f>VMAnalysis!A32</f>
      </c>
      <c r="B60">
        <f ca="1">VMAnalysis!B32</f>
      </c>
      <c r="C60">
        <f ca="1">VMAnalysis!C32</f>
      </c>
      <c r="D60">
        <f ca="1">VMAnalysis!D32</f>
      </c>
      <c r="E60">
        <f ca="1">VMAnalysis!E32</f>
      </c>
      <c r="F60">
        <f ca="1">VMAnalysis!F32</f>
      </c>
      <c r="G60">
        <f ca="1">VMAnalysis!G32</f>
      </c>
      <c r="H60">
        <f ca="1">VMAnalysis!H32</f>
      </c>
      <c r="I60">
        <f ca="1">VMAnalysis!I32</f>
      </c>
      <c r="J60">
        <f ca="1">VMAnalysis!J32</f>
      </c>
      <c r="K60">
        <f ca="1">VMAnalysis!K32</f>
      </c>
    </row>
    <row r="61" spans="1:19">
      <c r="A61" t="str">
        <f>VMAnalysis!A33</f>
      </c>
      <c r="B61">
        <f ca="1">VMAnalysis!B33</f>
      </c>
      <c r="C61">
        <f ca="1">VMAnalysis!C33</f>
      </c>
      <c r="D61">
        <f ca="1">VMAnalysis!D33</f>
      </c>
      <c r="E61">
        <f ca="1">VMAnalysis!E33</f>
      </c>
      <c r="F61">
        <f ca="1">VMAnalysis!F33</f>
      </c>
      <c r="G61">
        <f ca="1">VMAnalysis!G33</f>
      </c>
      <c r="H61">
        <f ca="1">VMAnalysis!H33</f>
      </c>
      <c r="I61">
        <f ca="1">VMAnalysis!I33</f>
      </c>
      <c r="J61">
        <f ca="1">VMAnalysis!J33</f>
      </c>
      <c r="K61">
        <f ca="1">VMAnalysis!K33</f>
      </c>
    </row>
    <row r="62" spans="1:19">
      <c r="A62" t="s">
        <v>726</v>
      </c>
      <c r="B62" s="321">
        <f ca="1">B61/B60</f>
      </c>
      <c r="C62" s="321">
        <f t="shared" ref="C62:K62" ca="1" si="9">C61/C60</f>
      </c>
      <c r="D62" s="321">
        <f t="shared" ca="1" si="9"/>
      </c>
      <c r="E62" s="321">
        <f t="shared" ca="1" si="9"/>
      </c>
      <c r="F62" s="321">
        <f t="shared" ca="1" si="9"/>
      </c>
      <c r="G62" s="321">
        <f t="shared" ca="1" si="9"/>
      </c>
      <c r="H62" s="321">
        <f t="shared" ca="1" si="9"/>
      </c>
      <c r="I62" s="321">
        <f t="shared" ca="1" si="9"/>
      </c>
      <c r="J62" s="321">
        <f t="shared" ca="1" si="9"/>
      </c>
      <c r="K62" s="321">
        <f t="shared" ca="1" si="9"/>
      </c>
    </row>
    <row r="63" spans="1:19" ht="17.25" customHeight="1">
      <c r="A63" s="651" t="s">
        <v>725</v>
      </c>
      <c r="B63" s="651"/>
      <c r="C63" s="651"/>
      <c r="D63" s="651"/>
      <c r="E63" s="651"/>
      <c r="F63" s="651"/>
      <c r="G63" s="651"/>
      <c r="H63" s="651"/>
      <c r="I63" s="651"/>
      <c r="J63" s="651"/>
      <c r="K63" s="651"/>
      <c r="L63" s="651"/>
      <c r="M63" s="651"/>
      <c r="N63" s="651"/>
      <c r="O63" s="651"/>
      <c r="P63" s="651"/>
      <c r="Q63" s="651"/>
      <c r="R63" s="651"/>
      <c r="S63" s="651"/>
    </row>
    <row r="64" spans="1:19" ht="15" customHeight="1">
      <c r="A64" s="651"/>
      <c r="B64" s="651"/>
      <c r="C64" s="651"/>
      <c r="D64" s="651"/>
      <c r="E64" s="651"/>
      <c r="F64" s="651"/>
      <c r="G64" s="651"/>
      <c r="H64" s="651"/>
      <c r="I64" s="651"/>
      <c r="J64" s="651"/>
      <c r="K64" s="651"/>
      <c r="L64" s="651"/>
      <c r="M64" s="651"/>
      <c r="N64" s="651"/>
      <c r="O64" s="651"/>
      <c r="P64" s="651"/>
      <c r="Q64" s="651"/>
      <c r="R64" s="651"/>
      <c r="S64" s="651"/>
    </row>
    <row r="65" spans="1:19" ht="17.25" customHeight="1">
      <c r="A65" s="651"/>
      <c r="B65" s="651"/>
      <c r="C65" s="651"/>
      <c r="D65" s="651"/>
      <c r="E65" s="651"/>
      <c r="F65" s="651"/>
      <c r="G65" s="651"/>
      <c r="H65" s="651"/>
      <c r="I65" s="651"/>
      <c r="J65" s="651"/>
      <c r="K65" s="651"/>
      <c r="L65" s="651"/>
      <c r="M65" s="651"/>
      <c r="N65" s="651"/>
      <c r="O65" s="651"/>
      <c r="P65" s="651"/>
      <c r="Q65" s="651"/>
      <c r="R65" s="651"/>
      <c r="S65" s="651"/>
    </row>
    <row r="66" spans="1:19" ht="15" customHeight="1">
      <c r="A66" s="651"/>
      <c r="B66" s="651"/>
      <c r="C66" s="651"/>
      <c r="D66" s="651"/>
      <c r="E66" s="651"/>
      <c r="F66" s="651"/>
      <c r="G66" s="651"/>
      <c r="H66" s="651"/>
      <c r="I66" s="651"/>
      <c r="J66" s="651"/>
      <c r="K66" s="651"/>
      <c r="L66" s="651"/>
      <c r="M66" s="651"/>
      <c r="N66" s="651"/>
      <c r="O66" s="651"/>
      <c r="P66" s="651"/>
      <c r="Q66" s="651"/>
      <c r="R66" s="651"/>
      <c r="S66" s="651"/>
    </row>
    <row r="67" spans="1:19" ht="15" customHeight="1">
      <c r="A67" s="651"/>
      <c r="B67" s="651"/>
      <c r="C67" s="651"/>
      <c r="D67" s="651"/>
      <c r="E67" s="651"/>
      <c r="F67" s="651"/>
      <c r="G67" s="651"/>
      <c r="H67" s="651"/>
      <c r="I67" s="651"/>
      <c r="J67" s="651"/>
      <c r="K67" s="651"/>
      <c r="L67" s="651"/>
      <c r="M67" s="651"/>
      <c r="N67" s="651"/>
      <c r="O67" s="651"/>
      <c r="P67" s="651"/>
      <c r="Q67" s="651"/>
      <c r="R67" s="651"/>
      <c r="S67" s="651"/>
    </row>
    <row r="68" spans="1:19" ht="17.25" customHeight="1">
      <c r="A68" s="651"/>
      <c r="B68" s="651"/>
      <c r="C68" s="651"/>
      <c r="D68" s="651"/>
      <c r="E68" s="651"/>
      <c r="F68" s="651"/>
      <c r="G68" s="651"/>
      <c r="H68" s="651"/>
      <c r="I68" s="651"/>
      <c r="J68" s="651"/>
      <c r="K68" s="651"/>
      <c r="L68" s="651"/>
      <c r="M68" s="651"/>
      <c r="N68" s="651"/>
      <c r="O68" s="651"/>
      <c r="P68" s="651"/>
      <c r="Q68" s="651"/>
      <c r="R68" s="651"/>
      <c r="S68" s="651"/>
    </row>
    <row r="69" spans="1:19" ht="17.25" customHeight="1">
      <c r="A69" s="651"/>
      <c r="B69" s="651"/>
      <c r="C69" s="651"/>
      <c r="D69" s="651"/>
      <c r="E69" s="651"/>
      <c r="F69" s="651"/>
      <c r="G69" s="651"/>
      <c r="H69" s="651"/>
      <c r="I69" s="651"/>
      <c r="J69" s="651"/>
      <c r="K69" s="651"/>
      <c r="L69" s="651"/>
      <c r="M69" s="651"/>
      <c r="N69" s="651"/>
      <c r="O69" s="651"/>
      <c r="P69" s="651"/>
      <c r="Q69" s="651"/>
      <c r="R69" s="651"/>
      <c r="S69" s="651"/>
    </row>
    <row r="70" spans="1:19">
      <c r="A70" t="s">
        <v>710</v>
      </c>
    </row>
    <row r="74" spans="1:19">
      <c r="A74" t="s">
        <v>713</v>
      </c>
    </row>
    <row r="75" spans="1:19">
      <c r="A75" s="473" t="s">
        <v>714</v>
      </c>
      <c r="J75" s="498">
        <v>5</v>
      </c>
      <c r="K75" s="498">
        <v>6</v>
      </c>
    </row>
    <row r="76" spans="1:19">
      <c r="A76" t="s">
        <v>715</v>
      </c>
      <c r="B76" s="474">
        <f ca="1">VMAnalysis!B12</f>
      </c>
      <c r="C76" s="474">
        <f ca="1">VMAnalysis!C12</f>
      </c>
      <c r="D76" s="474">
        <f ca="1">VMAnalysis!D12</f>
      </c>
      <c r="E76" s="474">
        <f ca="1">VMAnalysis!E12</f>
      </c>
      <c r="F76" s="474">
        <f ca="1">VMAnalysis!F12</f>
      </c>
      <c r="G76" s="474">
        <f ca="1">VMAnalysis!G12</f>
      </c>
      <c r="H76" s="474">
        <f ca="1">VMAnalysis!H12</f>
      </c>
      <c r="I76" s="474">
        <f ca="1">VMAnalysis!I12</f>
      </c>
      <c r="J76" s="474">
        <f ca="1">VMAnalysis!J12</f>
      </c>
      <c r="K76" s="474">
        <f ca="1">VMAnalysis!K12</f>
      </c>
    </row>
    <row r="77" spans="1:19">
      <c r="A77" t="s">
        <v>716</v>
      </c>
      <c r="B77" s="321">
        <f ca="1">B75/B76</f>
      </c>
      <c r="C77" s="321">
        <f t="shared" ref="C77:K77" ca="1" si="10">C75/C76</f>
      </c>
      <c r="D77" s="321">
        <f t="shared" ca="1" si="10"/>
      </c>
      <c r="E77" s="321">
        <f t="shared" ca="1" si="10"/>
      </c>
      <c r="F77" s="321">
        <f t="shared" ca="1" si="10"/>
      </c>
      <c r="G77" s="321">
        <f t="shared" ca="1" si="10"/>
      </c>
      <c r="H77" s="321">
        <f t="shared" ca="1" si="10"/>
      </c>
      <c r="I77" s="321">
        <f t="shared" ca="1" si="10"/>
      </c>
      <c r="J77" s="321">
        <f t="shared" ca="1" si="10"/>
      </c>
      <c r="K77" s="321">
        <f t="shared" ca="1" si="10"/>
      </c>
    </row>
    <row r="78" spans="1:19">
      <c r="B78" s="321"/>
      <c r="C78" s="321"/>
      <c r="D78" s="321"/>
      <c r="E78" s="321"/>
      <c r="F78" s="321"/>
      <c r="G78" s="321"/>
      <c r="H78" s="321"/>
      <c r="I78" s="321"/>
      <c r="J78" s="321"/>
      <c r="K78" s="321"/>
    </row>
    <row r="79" spans="1:19">
      <c r="A79" t="s">
        <v>724</v>
      </c>
      <c r="B79" s="321"/>
      <c r="C79" s="321"/>
      <c r="D79" s="321"/>
      <c r="E79" s="321"/>
      <c r="F79" s="321"/>
      <c r="G79" s="321"/>
      <c r="H79" s="321"/>
      <c r="I79" s="321"/>
      <c r="J79" s="321"/>
      <c r="K79" s="321"/>
    </row>
    <row r="80" spans="1:19" ht="17.25">
      <c r="A80" s="497" t="s">
        <v>719</v>
      </c>
    </row>
    <row r="81" spans="1:16">
      <c r="A81" t="s">
        <v>717</v>
      </c>
      <c r="B81">
        <f ca="1">VMAnalysis!B48+VMAnalysis!B49</f>
      </c>
      <c r="C81">
        <f ca="1">VMAnalysis!C48+VMAnalysis!C49</f>
      </c>
      <c r="D81">
        <f ca="1">VMAnalysis!D48+VMAnalysis!D49</f>
      </c>
      <c r="E81">
        <f ca="1">VMAnalysis!E48+VMAnalysis!E49</f>
      </c>
      <c r="F81">
        <f ca="1">VMAnalysis!F48+VMAnalysis!F49</f>
      </c>
      <c r="G81">
        <f ca="1">VMAnalysis!G48+VMAnalysis!G49</f>
      </c>
      <c r="H81">
        <f ca="1">VMAnalysis!H48+VMAnalysis!H49</f>
      </c>
      <c r="I81">
        <f ca="1">VMAnalysis!I48+VMAnalysis!I49</f>
      </c>
      <c r="J81">
        <f ca="1">VMAnalysis!J48+VMAnalysis!J49</f>
      </c>
      <c r="K81">
        <f ca="1">VMAnalysis!K48+VMAnalysis!K49</f>
      </c>
    </row>
    <row r="82" spans="1:16">
      <c r="A82" t="s">
        <v>718</v>
      </c>
      <c r="D82" s="496">
        <f t="shared" ref="D82:K82" si="11">MEDIAN(B21:D21)</f>
      </c>
      <c r="E82" s="496">
        <f t="shared" si="11"/>
      </c>
      <c r="F82" s="496">
        <f t="shared" si="11"/>
      </c>
      <c r="G82" s="496">
        <f t="shared" si="11"/>
      </c>
      <c r="H82" s="496">
        <f t="shared" si="11"/>
      </c>
      <c r="I82" s="496">
        <f t="shared" si="11"/>
      </c>
      <c r="J82" s="496">
        <f t="shared" si="11"/>
      </c>
      <c r="K82" s="496">
        <f t="shared" si="11"/>
      </c>
    </row>
    <row r="83" spans="1:16">
      <c r="A83" t="s">
        <v>720</v>
      </c>
      <c r="B83" s="321" t="e">
        <f ca="1">B81/B82</f>
      </c>
      <c r="C83" s="321" t="e">
        <f t="shared" ref="C83:K83" ca="1" si="12">C81/C82</f>
      </c>
      <c r="D83" s="321">
        <f t="shared" ca="1" si="12"/>
      </c>
      <c r="E83" s="321">
        <f t="shared" ca="1" si="12"/>
      </c>
      <c r="F83" s="321">
        <f t="shared" ca="1" si="12"/>
      </c>
      <c r="G83" s="321">
        <f t="shared" ca="1" si="12"/>
      </c>
      <c r="H83" s="321">
        <f t="shared" ca="1" si="12"/>
      </c>
      <c r="I83" s="321">
        <f t="shared" ca="1" si="12"/>
      </c>
      <c r="J83" s="321">
        <f t="shared" ca="1" si="12"/>
      </c>
      <c r="K83" s="321">
        <f t="shared" ca="1" si="12"/>
      </c>
    </row>
    <row r="84" spans="1:16">
      <c r="A84" t="s">
        <v>721</v>
      </c>
      <c r="B84" s="321">
        <f t="shared" ref="B84:K84" ca="1" si="13">B81/B21</f>
      </c>
      <c r="C84" s="321">
        <f t="shared" ca="1" si="13"/>
      </c>
      <c r="D84" s="321">
        <f t="shared" ca="1" si="13"/>
      </c>
      <c r="E84" s="321">
        <f t="shared" ca="1" si="13"/>
      </c>
      <c r="F84" s="321">
        <f t="shared" ca="1" si="13"/>
      </c>
      <c r="G84" s="321">
        <f t="shared" ca="1" si="13"/>
      </c>
      <c r="H84" s="321">
        <f t="shared" ca="1" si="13"/>
      </c>
      <c r="I84" s="321">
        <f t="shared" ca="1" si="13"/>
      </c>
      <c r="J84" s="321">
        <f t="shared" ca="1" si="13"/>
      </c>
      <c r="K84" s="321">
        <f t="shared" ca="1" si="13"/>
      </c>
    </row>
    <row r="85" spans="1:16">
      <c r="A85" t="s">
        <v>729</v>
      </c>
      <c r="B85" s="321">
        <f>B27/B21</f>
      </c>
      <c r="C85" s="321">
        <f t="shared" ref="C85:K85" si="14">C27/C21</f>
      </c>
      <c r="D85" s="321">
        <f t="shared" si="14"/>
      </c>
      <c r="E85" s="321">
        <f t="shared" si="14"/>
      </c>
      <c r="F85" s="321">
        <f t="shared" si="14"/>
      </c>
      <c r="G85" s="321">
        <f t="shared" si="14"/>
      </c>
      <c r="H85" s="321">
        <f t="shared" si="14"/>
      </c>
      <c r="I85" s="321">
        <f t="shared" si="14"/>
      </c>
      <c r="J85" s="321">
        <f t="shared" si="14"/>
      </c>
      <c r="K85" s="321">
        <f t="shared" si="14"/>
      </c>
    </row>
    <row r="86" spans="1:16" ht="17.25" customHeight="1">
      <c r="A86" s="650" t="s">
        <v>722</v>
      </c>
      <c r="B86" s="650"/>
      <c r="C86" s="650"/>
      <c r="D86" s="650"/>
      <c r="E86" s="650"/>
      <c r="F86" s="650"/>
      <c r="G86" s="650"/>
      <c r="H86" s="650"/>
      <c r="I86" s="650"/>
      <c r="J86" s="650"/>
      <c r="K86" s="650"/>
      <c r="L86" s="650"/>
      <c r="M86" s="650"/>
      <c r="N86" s="650"/>
      <c r="O86" s="650"/>
      <c r="P86" s="650"/>
    </row>
    <row r="87" spans="1:16">
      <c r="A87" s="650"/>
      <c r="B87" s="650"/>
      <c r="C87" s="650"/>
      <c r="D87" s="650"/>
      <c r="E87" s="650"/>
      <c r="F87" s="650"/>
      <c r="G87" s="650"/>
      <c r="H87" s="650"/>
      <c r="I87" s="650"/>
      <c r="J87" s="650"/>
      <c r="K87" s="650"/>
      <c r="L87" s="650"/>
      <c r="M87" s="650"/>
      <c r="N87" s="650"/>
      <c r="O87" s="650"/>
      <c r="P87" s="650"/>
    </row>
    <row r="88" spans="1:16">
      <c r="A88" s="650"/>
      <c r="B88" s="650"/>
      <c r="C88" s="650"/>
      <c r="D88" s="650"/>
      <c r="E88" s="650"/>
      <c r="F88" s="650"/>
      <c r="G88" s="650"/>
      <c r="H88" s="650"/>
      <c r="I88" s="650"/>
      <c r="J88" s="650"/>
      <c r="K88" s="650"/>
      <c r="L88" s="650"/>
      <c r="M88" s="650"/>
      <c r="N88" s="650"/>
      <c r="O88" s="650"/>
      <c r="P88" s="650"/>
    </row>
    <row r="89" spans="1:16">
      <c r="A89" s="650"/>
      <c r="B89" s="650"/>
      <c r="C89" s="650"/>
      <c r="D89" s="650"/>
      <c r="E89" s="650"/>
      <c r="F89" s="650"/>
      <c r="G89" s="650"/>
      <c r="H89" s="650"/>
      <c r="I89" s="650"/>
      <c r="J89" s="650"/>
      <c r="K89" s="650"/>
      <c r="L89" s="650"/>
      <c r="M89" s="650"/>
      <c r="N89" s="650"/>
      <c r="O89" s="650"/>
      <c r="P89" s="650"/>
    </row>
    <row r="90" spans="1:16">
      <c r="A90" s="650"/>
      <c r="B90" s="650"/>
      <c r="C90" s="650"/>
      <c r="D90" s="650"/>
      <c r="E90" s="650"/>
      <c r="F90" s="650"/>
      <c r="G90" s="650"/>
      <c r="H90" s="650"/>
      <c r="I90" s="650"/>
      <c r="J90" s="650"/>
      <c r="K90" s="650"/>
      <c r="L90" s="650"/>
      <c r="M90" s="650"/>
      <c r="N90" s="650"/>
      <c r="O90" s="650"/>
      <c r="P90" s="650"/>
    </row>
  </sheetData>
  <mergeCells count="3">
    <mergeCell ref="A1:K1"/>
    <mergeCell ref="A86:P90"/>
    <mergeCell ref="A63:S69"/>
  </mergeCells>
  <pageMargins left="0.7" right="0.7" top="0.75" bottom="0.75" header="0.3" footer="0.3"/>
  <pageSetup orientation="portrait" r:id="rId1"/>
  <ignoredErrors>
    <ignoredError sqref="B44:K44" formulaRange="1"/>
  </ignoredErrors>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3">
    <tabColor rgb="FF00B0F0"/>
  </sheetPr>
  <dimension ref="A1:AM132"/>
  <sheetViews>
    <sheetView tabSelected="1" zoomScale="72" zoomScaleNormal="72" workbookViewId="0">
      <selection activeCell="B30" sqref="B30"/>
    </sheetView>
  </sheetViews>
  <sheetFormatPr defaultRowHeight="15"/>
  <cols>
    <col min="1" max="1" width="37.28515625" customWidth="1"/>
    <col min="2" max="2" width="12.140625" customWidth="1"/>
    <col min="30" max="30" width="1.7109375" customWidth="1"/>
  </cols>
  <sheetData>
    <row r="1" spans="1:39" ht="15.75">
      <c r="A1" s="481" t="s">
        <v>679</v>
      </c>
      <c r="B1" s="509"/>
      <c r="C1" s="492"/>
      <c r="D1" s="492"/>
      <c r="E1" s="492"/>
      <c r="F1" s="492"/>
      <c r="G1" s="492"/>
      <c r="H1" s="492"/>
      <c r="I1" s="492"/>
      <c r="J1" s="492"/>
      <c r="K1" s="492"/>
      <c r="L1" s="492"/>
      <c r="M1" s="492"/>
      <c r="N1" s="492"/>
      <c r="O1" s="492"/>
      <c r="P1" s="492"/>
      <c r="Q1" s="492"/>
      <c r="R1" s="492"/>
      <c r="S1" s="492"/>
      <c r="T1" s="492"/>
      <c r="U1" s="492"/>
      <c r="V1" s="492"/>
      <c r="W1" s="492"/>
      <c r="X1" s="492"/>
      <c r="Y1" s="492"/>
      <c r="Z1" s="492"/>
      <c r="AA1" s="492"/>
      <c r="AB1" s="492"/>
      <c r="AC1" s="492"/>
      <c r="AD1" s="492"/>
      <c r="AE1" s="492"/>
      <c r="AF1" s="492"/>
      <c r="AG1" s="492"/>
      <c r="AH1" s="492"/>
      <c r="AI1" s="492"/>
      <c r="AJ1" s="492"/>
      <c r="AK1" s="492"/>
      <c r="AL1" s="492"/>
      <c r="AM1" s="492"/>
    </row>
    <row r="2" spans="1:39" ht="17.100000000000001" customHeight="1">
      <c r="A2" s="483" t="s">
        <v>680</v>
      </c>
      <c r="B2" s="510">
        <f ca="1">VMAnalysis!K14</f>
      </c>
      <c r="C2" s="492"/>
      <c r="D2" s="492"/>
      <c r="E2" s="492"/>
      <c r="F2" s="492"/>
      <c r="G2" s="492"/>
      <c r="H2" s="492"/>
      <c r="I2" s="492"/>
      <c r="J2" s="492"/>
      <c r="K2" s="492"/>
      <c r="L2" s="492"/>
      <c r="M2" s="492"/>
      <c r="N2" s="492"/>
      <c r="O2" s="492"/>
      <c r="P2" s="492"/>
      <c r="Q2" s="492"/>
      <c r="R2" s="492"/>
      <c r="S2" s="492"/>
      <c r="T2" s="492"/>
      <c r="U2" s="492"/>
      <c r="V2" s="492"/>
      <c r="W2" s="492"/>
      <c r="X2" s="492"/>
      <c r="Y2" s="492"/>
      <c r="Z2" s="492"/>
      <c r="AA2" s="492"/>
      <c r="AB2" s="492"/>
      <c r="AC2" s="492"/>
      <c r="AD2" s="492"/>
      <c r="AM2" s="492"/>
    </row>
    <row r="3" spans="1:39" ht="15.75">
      <c r="A3" s="483" t="s">
        <v>681</v>
      </c>
      <c r="B3" s="510">
        <f ca="1">VMAnalysis!K11</f>
      </c>
      <c r="C3" s="492"/>
      <c r="D3" s="492"/>
      <c r="E3" s="492"/>
      <c r="F3" s="492"/>
      <c r="G3" s="492"/>
      <c r="H3" s="492"/>
      <c r="I3" s="492"/>
      <c r="J3" s="492"/>
      <c r="K3" s="492"/>
      <c r="L3" s="492"/>
      <c r="M3" s="492"/>
      <c r="N3" s="492"/>
      <c r="O3" s="492"/>
      <c r="P3" s="492"/>
      <c r="Q3" s="492"/>
      <c r="R3" s="492"/>
      <c r="S3" s="492"/>
      <c r="T3" s="492"/>
      <c r="U3" s="492"/>
      <c r="V3" s="492"/>
      <c r="W3" s="492"/>
      <c r="X3" s="492"/>
      <c r="Y3" s="492"/>
      <c r="Z3" s="492"/>
      <c r="AA3" s="492"/>
      <c r="AB3" s="492"/>
      <c r="AC3" s="492"/>
      <c r="AD3" s="492"/>
      <c r="AM3" s="492"/>
    </row>
    <row r="4" spans="1:39" ht="15.75">
      <c r="A4" s="483" t="s">
        <v>696</v>
      </c>
      <c r="B4" s="511">
        <f ca="1">VMAnalysis!K46</f>
      </c>
      <c r="C4" s="492"/>
      <c r="D4" s="492"/>
      <c r="E4" s="492"/>
      <c r="F4" s="492"/>
      <c r="G4" s="492"/>
      <c r="H4" s="492"/>
      <c r="I4" s="492"/>
      <c r="J4" s="492"/>
      <c r="K4" s="492"/>
      <c r="L4" s="492"/>
      <c r="M4" s="492"/>
      <c r="N4" s="492"/>
      <c r="O4" s="492"/>
      <c r="P4" s="492"/>
      <c r="Q4" s="492"/>
      <c r="R4" s="492"/>
      <c r="S4" s="492"/>
      <c r="T4" s="492"/>
      <c r="U4" s="492"/>
      <c r="V4" s="492"/>
      <c r="W4" s="492"/>
      <c r="X4" s="492"/>
      <c r="Y4" s="492"/>
      <c r="Z4" s="492"/>
      <c r="AA4" s="492"/>
      <c r="AB4" s="492"/>
      <c r="AC4" s="492"/>
      <c r="AD4" s="492"/>
      <c r="AM4" s="492"/>
    </row>
    <row r="5" spans="1:39" ht="15.75">
      <c r="A5" s="483" t="s">
        <v>682</v>
      </c>
      <c r="B5" s="510">
        <f ca="1">VMAnalysis!K43</f>
      </c>
      <c r="C5" s="492"/>
      <c r="D5" s="492"/>
      <c r="E5" s="492"/>
      <c r="F5" s="492"/>
      <c r="G5" s="492"/>
      <c r="H5" s="492"/>
      <c r="I5" s="492"/>
      <c r="J5" s="492"/>
      <c r="K5" s="492"/>
      <c r="L5" s="492"/>
      <c r="M5" s="492"/>
      <c r="N5" s="492"/>
      <c r="O5" s="492"/>
      <c r="P5" s="492"/>
      <c r="Q5" s="492"/>
      <c r="R5" s="492"/>
      <c r="S5" s="492"/>
      <c r="T5" s="492"/>
      <c r="U5" s="492"/>
      <c r="V5" s="492"/>
      <c r="W5" s="492"/>
      <c r="X5" s="492"/>
      <c r="Y5" s="492"/>
      <c r="Z5" s="492"/>
      <c r="AA5" s="492"/>
      <c r="AB5" s="492"/>
      <c r="AC5" s="492"/>
      <c r="AD5" s="492"/>
      <c r="AM5" s="492"/>
    </row>
    <row r="6" spans="1:39" ht="16.5" thickBot="1">
      <c r="A6" s="512" t="s">
        <v>684</v>
      </c>
      <c r="B6" s="513">
        <f ca="1">VMAnalysis!K48</f>
      </c>
      <c r="C6" s="492"/>
      <c r="D6" s="492"/>
      <c r="E6" s="492"/>
      <c r="F6" s="492"/>
      <c r="G6" s="492"/>
      <c r="H6" s="492"/>
      <c r="I6" s="492"/>
      <c r="J6" s="492"/>
      <c r="K6" s="492"/>
      <c r="L6" s="492"/>
      <c r="M6" s="492"/>
      <c r="N6" s="492"/>
      <c r="O6" s="492"/>
      <c r="P6" s="492"/>
      <c r="Q6" s="492"/>
      <c r="R6" s="492"/>
      <c r="S6" s="492"/>
      <c r="T6" s="492"/>
      <c r="U6" s="492"/>
      <c r="V6" s="492"/>
      <c r="W6" s="492"/>
      <c r="X6" s="492"/>
      <c r="Y6" s="492"/>
      <c r="Z6" s="492"/>
      <c r="AA6" s="492"/>
      <c r="AB6" s="492"/>
      <c r="AC6" s="492"/>
      <c r="AD6" s="492"/>
      <c r="AM6" s="492"/>
    </row>
    <row r="7" spans="1:39" ht="15.75">
      <c r="A7" s="514" t="s">
        <v>694</v>
      </c>
      <c r="B7" s="516">
        <f ca="1">VMAnalysis!B61</f>
      </c>
      <c r="C7" s="492"/>
      <c r="D7" s="492"/>
      <c r="E7" s="492"/>
      <c r="F7" s="492"/>
      <c r="G7" s="492"/>
      <c r="H7" s="492"/>
      <c r="I7" s="492"/>
      <c r="J7" s="492"/>
      <c r="K7" s="492"/>
      <c r="L7" s="492"/>
      <c r="M7" s="492"/>
      <c r="N7" s="492"/>
      <c r="O7" s="492"/>
      <c r="P7" s="492"/>
      <c r="Q7" s="492"/>
      <c r="R7" s="492"/>
      <c r="S7" s="492"/>
      <c r="T7" s="492"/>
      <c r="U7" s="492"/>
      <c r="V7" s="492"/>
      <c r="W7" s="492"/>
      <c r="X7" s="492"/>
      <c r="Y7" s="492"/>
      <c r="Z7" s="492"/>
      <c r="AA7" s="492"/>
      <c r="AB7" s="492"/>
      <c r="AC7" s="492"/>
      <c r="AD7" s="492"/>
      <c r="AM7" s="492"/>
    </row>
    <row r="8" spans="1:39" ht="15.75">
      <c r="A8" s="515" t="s">
        <v>695</v>
      </c>
      <c r="B8" s="516">
        <f ca="1">VMAnalysis!Q51</f>
      </c>
      <c r="C8" s="492"/>
      <c r="D8" s="492"/>
      <c r="E8" s="492"/>
      <c r="F8" s="492"/>
      <c r="G8" s="492"/>
      <c r="H8" s="492"/>
      <c r="I8" s="492"/>
      <c r="J8" s="492"/>
      <c r="K8" s="492"/>
      <c r="L8" s="492"/>
      <c r="M8" s="492"/>
      <c r="N8" s="492"/>
      <c r="O8" s="492"/>
      <c r="P8" s="492"/>
      <c r="Q8" s="492"/>
      <c r="R8" s="492"/>
      <c r="S8" s="492"/>
      <c r="T8" s="492"/>
      <c r="U8" s="492"/>
      <c r="V8" s="492"/>
      <c r="W8" s="492"/>
      <c r="X8" s="492"/>
      <c r="Y8" s="492"/>
      <c r="Z8" s="492"/>
      <c r="AA8" s="492"/>
      <c r="AB8" s="492"/>
      <c r="AC8" s="492"/>
      <c r="AD8" s="492"/>
      <c r="AM8" s="492"/>
    </row>
    <row r="9" spans="1:39" ht="15.75">
      <c r="A9" s="515" t="s">
        <v>739</v>
      </c>
      <c r="B9" s="516">
        <f ca="1">VMAnalysis!Q52</f>
      </c>
      <c r="C9" s="492"/>
      <c r="D9" s="492"/>
      <c r="E9" s="492"/>
      <c r="F9" s="492"/>
      <c r="G9" s="492"/>
      <c r="H9" s="492"/>
      <c r="I9" s="492"/>
      <c r="J9" s="492"/>
      <c r="K9" s="492"/>
      <c r="L9" s="492"/>
      <c r="M9" s="492"/>
      <c r="N9" s="492"/>
      <c r="O9" s="492"/>
      <c r="P9" s="492"/>
      <c r="Q9" s="492"/>
      <c r="R9" s="492"/>
      <c r="S9" s="492"/>
      <c r="T9" s="492"/>
      <c r="U9" s="492"/>
      <c r="V9" s="492"/>
      <c r="W9" s="492"/>
      <c r="X9" s="492"/>
      <c r="Y9" s="492"/>
      <c r="Z9" s="492"/>
      <c r="AA9" s="492"/>
      <c r="AB9" s="492"/>
      <c r="AC9" s="492"/>
      <c r="AD9" s="492"/>
      <c r="AM9" s="492"/>
    </row>
    <row r="10" spans="1:39" ht="16.5" thickBot="1">
      <c r="A10" s="517" t="s">
        <v>742</v>
      </c>
      <c r="B10" s="516">
        <f ca="1">VMAnalysis!Q53</f>
      </c>
      <c r="C10" s="492"/>
      <c r="D10" s="492"/>
      <c r="E10" s="492"/>
      <c r="F10" s="492"/>
      <c r="G10" s="492"/>
      <c r="H10" s="492"/>
      <c r="I10" s="492"/>
      <c r="J10" s="492"/>
      <c r="K10" s="492"/>
      <c r="L10" s="492"/>
      <c r="M10" s="492"/>
      <c r="N10" s="492"/>
      <c r="O10" s="492"/>
      <c r="P10" s="492"/>
      <c r="Q10" s="492"/>
      <c r="R10" s="492"/>
      <c r="S10" s="492"/>
      <c r="T10" s="492"/>
      <c r="U10" s="492"/>
      <c r="V10" s="492"/>
      <c r="W10" s="492"/>
      <c r="X10" s="492"/>
      <c r="Y10" s="492"/>
      <c r="Z10" s="492"/>
      <c r="AA10" s="492"/>
      <c r="AB10" s="492"/>
      <c r="AC10" s="492"/>
      <c r="AD10" s="492"/>
      <c r="AM10" s="492"/>
    </row>
    <row r="11" spans="1:39" ht="15.6" customHeight="1">
      <c r="A11" s="483" t="s">
        <v>674</v>
      </c>
      <c r="B11" s="781">
        <f ca="1">ChartsData!K28/VMAnalysis!K17</f>
      </c>
      <c r="C11" s="492"/>
      <c r="D11" s="492"/>
      <c r="E11" s="492"/>
      <c r="F11" s="492"/>
      <c r="G11" s="492"/>
      <c r="H11" s="492"/>
      <c r="I11" s="492"/>
      <c r="J11" s="492"/>
      <c r="K11" s="492"/>
      <c r="L11" s="492"/>
      <c r="M11" s="492"/>
      <c r="N11" s="492"/>
      <c r="O11" s="492"/>
      <c r="P11" s="492"/>
      <c r="Q11" s="492"/>
      <c r="R11" s="492"/>
      <c r="S11" s="492"/>
      <c r="T11" s="492"/>
      <c r="U11" s="492"/>
      <c r="V11" s="492"/>
      <c r="W11" s="492"/>
      <c r="X11" s="492"/>
      <c r="Y11" s="492"/>
      <c r="Z11" s="492"/>
      <c r="AA11" s="492"/>
      <c r="AB11" s="492"/>
      <c r="AC11" s="492"/>
      <c r="AD11" s="492"/>
      <c r="AM11" s="492"/>
    </row>
    <row r="12" spans="1:39" ht="15.75">
      <c r="A12" s="483" t="s">
        <v>703</v>
      </c>
      <c r="B12" s="510">
        <f ca="1">'Screener Output'!L81</f>
      </c>
      <c r="C12" s="492"/>
      <c r="D12" s="492"/>
      <c r="E12" s="492"/>
      <c r="F12" s="492"/>
      <c r="G12" s="492"/>
      <c r="H12" s="492"/>
      <c r="I12" s="492"/>
      <c r="J12" s="492"/>
      <c r="K12" s="492"/>
      <c r="L12" s="492"/>
      <c r="M12" s="492"/>
      <c r="N12" s="492"/>
      <c r="O12" s="492"/>
      <c r="P12" s="492"/>
      <c r="Q12" s="492"/>
      <c r="R12" s="492"/>
      <c r="S12" s="492"/>
      <c r="T12" s="492"/>
      <c r="U12" s="492"/>
      <c r="V12" s="492"/>
      <c r="W12" s="492"/>
      <c r="X12" s="492"/>
      <c r="Y12" s="492"/>
      <c r="Z12" s="492"/>
      <c r="AA12" s="492"/>
      <c r="AB12" s="492"/>
      <c r="AC12" s="492"/>
      <c r="AD12" s="492"/>
      <c r="AM12" s="492"/>
    </row>
    <row r="13" spans="1:39" ht="15.75">
      <c r="A13" s="483" t="s">
        <v>743</v>
      </c>
      <c r="B13" s="524">
        <f ca="1">VMAnalysis!K24</f>
      </c>
      <c r="C13" s="492"/>
      <c r="D13" s="492"/>
      <c r="E13" s="492"/>
      <c r="F13" s="492"/>
      <c r="G13" s="492"/>
      <c r="H13" s="492"/>
      <c r="I13" s="492"/>
      <c r="J13" s="492"/>
      <c r="K13" s="492"/>
      <c r="L13" s="492"/>
      <c r="M13" s="492"/>
      <c r="N13" s="492"/>
      <c r="O13" s="492"/>
      <c r="P13" s="492"/>
      <c r="Q13" s="492"/>
      <c r="R13" s="492"/>
      <c r="S13" s="492"/>
      <c r="T13" s="492"/>
      <c r="U13" s="492"/>
      <c r="V13" s="492"/>
      <c r="W13" s="492"/>
      <c r="X13" s="492"/>
      <c r="Y13" s="492"/>
      <c r="Z13" s="492"/>
      <c r="AA13" s="492"/>
      <c r="AB13" s="492"/>
      <c r="AC13" s="492"/>
      <c r="AD13" s="492"/>
      <c r="AM13" s="492"/>
    </row>
    <row r="14" spans="1:39" ht="16.5" thickBot="1">
      <c r="A14" s="518" t="s">
        <v>744</v>
      </c>
      <c r="B14" s="783">
        <f ca="1">VMAnalysis!K25</f>
      </c>
      <c r="C14" s="492"/>
      <c r="D14" s="492"/>
      <c r="E14" s="492"/>
      <c r="F14" s="492"/>
      <c r="G14" s="492"/>
      <c r="H14" s="492"/>
      <c r="I14" s="492"/>
      <c r="J14" s="492"/>
      <c r="K14" s="492"/>
      <c r="L14" s="492"/>
      <c r="M14" s="492"/>
      <c r="N14" s="492"/>
      <c r="O14" s="492"/>
      <c r="P14" s="492"/>
      <c r="Q14" s="492"/>
      <c r="R14" s="492"/>
      <c r="S14" s="492"/>
      <c r="T14" s="492"/>
      <c r="U14" s="492"/>
      <c r="V14" s="492"/>
      <c r="W14" s="492"/>
      <c r="X14" s="492"/>
      <c r="Y14" s="492"/>
      <c r="Z14" s="492"/>
      <c r="AA14" s="492"/>
      <c r="AB14" s="492"/>
      <c r="AC14" s="492"/>
      <c r="AD14" s="492"/>
      <c r="AM14" s="492"/>
    </row>
    <row r="15" spans="1:39" ht="15.75">
      <c r="A15" s="519" t="s">
        <v>697</v>
      </c>
      <c r="B15" s="520">
        <f ca="1">VMAnalysis!B63</f>
      </c>
      <c r="C15" s="492"/>
      <c r="D15" s="492"/>
      <c r="E15" s="492"/>
      <c r="F15" s="492"/>
      <c r="G15" s="492"/>
      <c r="H15" s="492"/>
      <c r="I15" s="492"/>
      <c r="J15" s="492"/>
      <c r="K15" s="492"/>
      <c r="L15" s="492"/>
      <c r="M15" s="492"/>
      <c r="N15" s="492"/>
      <c r="O15" s="492"/>
      <c r="P15" s="492"/>
      <c r="Q15" s="492"/>
      <c r="R15" s="492"/>
      <c r="S15" s="492"/>
      <c r="T15" s="492"/>
      <c r="U15" s="492"/>
      <c r="V15" s="492"/>
      <c r="W15" s="492"/>
      <c r="X15" s="492"/>
      <c r="Y15" s="492"/>
      <c r="Z15" s="492"/>
      <c r="AA15" s="492"/>
      <c r="AB15" s="492"/>
      <c r="AC15" s="492"/>
      <c r="AD15" s="492"/>
      <c r="AM15" s="492"/>
    </row>
    <row r="16" spans="1:39" ht="15.75">
      <c r="A16" s="521" t="s">
        <v>698</v>
      </c>
      <c r="B16" s="522">
        <f ca="1">VMAnalysis!B64</f>
      </c>
      <c r="C16" s="492"/>
      <c r="D16" s="492"/>
      <c r="E16" s="492"/>
      <c r="F16" s="492"/>
      <c r="G16" s="492"/>
      <c r="H16" s="492"/>
      <c r="I16" s="492"/>
      <c r="J16" s="492"/>
      <c r="K16" s="492"/>
      <c r="L16" s="492"/>
      <c r="M16" s="492"/>
      <c r="N16" s="492"/>
      <c r="O16" s="492"/>
      <c r="P16" s="492"/>
      <c r="Q16" s="492"/>
      <c r="R16" s="492"/>
      <c r="S16" s="492"/>
      <c r="T16" s="492"/>
      <c r="U16" s="492"/>
      <c r="V16" s="492"/>
      <c r="W16" s="492"/>
      <c r="X16" s="492"/>
      <c r="Y16" s="492"/>
      <c r="Z16" s="492"/>
      <c r="AA16" s="492"/>
      <c r="AB16" s="492"/>
      <c r="AC16" s="492"/>
      <c r="AD16" s="492"/>
      <c r="AM16" s="492"/>
    </row>
    <row r="17" spans="1:39" ht="16.5" thickBot="1">
      <c r="A17" s="521" t="s">
        <v>653</v>
      </c>
      <c r="B17" s="784"/>
      <c r="C17" s="492"/>
      <c r="D17" s="492"/>
      <c r="E17" s="492"/>
      <c r="F17" s="492"/>
      <c r="G17" s="492"/>
      <c r="H17" s="492"/>
      <c r="I17" s="492"/>
      <c r="J17" s="492"/>
      <c r="K17" s="492"/>
      <c r="L17" s="492"/>
      <c r="M17" s="492"/>
      <c r="N17" s="492"/>
      <c r="O17" s="492"/>
      <c r="P17" s="492"/>
      <c r="Q17" s="492"/>
      <c r="R17" s="492"/>
      <c r="S17" s="492"/>
      <c r="T17" s="492"/>
      <c r="U17" s="492"/>
      <c r="V17" s="492"/>
      <c r="W17" s="492"/>
      <c r="X17" s="492"/>
      <c r="Y17" s="492"/>
      <c r="Z17" s="492"/>
      <c r="AA17" s="492"/>
      <c r="AB17" s="492"/>
      <c r="AC17" s="492"/>
      <c r="AD17" s="492"/>
      <c r="AM17" s="492"/>
    </row>
    <row r="18" spans="1:39" ht="15.75">
      <c r="A18" s="785" t="s">
        <v>17</v>
      </c>
      <c r="B18" s="786">
        <f ca="1">VMAnalysis!K4</f>
      </c>
      <c r="C18" s="492"/>
      <c r="D18" s="492"/>
      <c r="E18" s="492"/>
      <c r="F18" s="492"/>
      <c r="G18" s="492"/>
      <c r="H18" s="492"/>
      <c r="I18" s="492"/>
      <c r="J18" s="492"/>
      <c r="K18" s="492"/>
      <c r="L18" s="492"/>
      <c r="M18" s="492"/>
      <c r="N18" s="492"/>
      <c r="O18" s="492"/>
      <c r="P18" s="492"/>
      <c r="Q18" s="492"/>
      <c r="R18" s="492"/>
      <c r="S18" s="492"/>
      <c r="T18" s="492"/>
      <c r="U18" s="492"/>
      <c r="V18" s="492"/>
      <c r="W18" s="492"/>
      <c r="X18" s="492"/>
      <c r="Y18" s="492"/>
      <c r="Z18" s="492"/>
      <c r="AA18" s="492"/>
      <c r="AB18" s="492"/>
      <c r="AC18" s="492"/>
      <c r="AD18" s="492"/>
      <c r="AM18" s="492"/>
    </row>
    <row r="19" spans="1:39" ht="15.75">
      <c r="A19" s="787" t="s">
        <v>769</v>
      </c>
      <c r="B19" s="788">
        <f ca="1">VMAnalysis!K13</f>
      </c>
      <c r="C19" s="492"/>
      <c r="D19" s="492"/>
      <c r="E19" s="492"/>
      <c r="F19" s="492"/>
      <c r="G19" s="492"/>
      <c r="H19" s="492"/>
      <c r="I19" s="492"/>
      <c r="J19" s="492"/>
      <c r="K19" s="492"/>
      <c r="L19" s="492"/>
      <c r="M19" s="492"/>
      <c r="N19" s="492"/>
      <c r="O19" s="492"/>
      <c r="P19" s="492"/>
      <c r="Q19" s="492"/>
      <c r="R19" s="492"/>
      <c r="S19" s="492"/>
      <c r="T19" s="492"/>
      <c r="U19" s="492"/>
      <c r="V19" s="492"/>
      <c r="W19" s="492"/>
      <c r="X19" s="492"/>
      <c r="Y19" s="492"/>
      <c r="Z19" s="492"/>
      <c r="AA19" s="492"/>
      <c r="AB19" s="492"/>
      <c r="AC19" s="492"/>
      <c r="AD19" s="492"/>
      <c r="AM19" s="492"/>
    </row>
    <row r="20" spans="1:39" ht="16.5" thickBot="1">
      <c r="A20" s="789" t="s">
        <v>775</v>
      </c>
      <c r="B20" s="790"/>
      <c r="C20" s="492"/>
      <c r="D20" s="492"/>
      <c r="E20" s="492"/>
      <c r="F20" s="492"/>
      <c r="G20" s="492"/>
      <c r="H20" s="492"/>
      <c r="I20" s="492"/>
      <c r="J20" s="492"/>
      <c r="K20" s="492"/>
      <c r="L20" s="492"/>
      <c r="M20" s="492"/>
      <c r="N20" s="492"/>
      <c r="O20" s="492"/>
      <c r="P20" s="492"/>
      <c r="Q20" s="492"/>
      <c r="R20" s="492"/>
      <c r="S20" s="492"/>
      <c r="T20" s="492"/>
      <c r="U20" s="492"/>
      <c r="V20" s="492"/>
      <c r="W20" s="492"/>
      <c r="X20" s="492"/>
      <c r="Y20" s="492"/>
      <c r="Z20" s="492"/>
      <c r="AA20" s="492"/>
      <c r="AB20" s="492"/>
      <c r="AC20" s="492"/>
      <c r="AD20" s="492"/>
      <c r="AE20" s="492"/>
      <c r="AF20" s="492"/>
      <c r="AG20" s="492"/>
      <c r="AH20" s="492"/>
      <c r="AI20" s="492"/>
      <c r="AJ20" s="492"/>
      <c r="AK20" s="492"/>
      <c r="AL20" s="492"/>
      <c r="AM20" s="492"/>
    </row>
    <row r="21" spans="1:39" ht="15.75">
      <c r="A21" s="523" t="s">
        <v>693</v>
      </c>
      <c r="B21" s="524">
        <f ca="1">VMAnalysis!K22</f>
      </c>
      <c r="C21" s="492"/>
      <c r="D21" s="492"/>
      <c r="E21" s="492"/>
      <c r="F21" s="492"/>
      <c r="G21" s="492"/>
      <c r="H21" s="492"/>
      <c r="I21" s="492"/>
      <c r="J21" s="492"/>
      <c r="K21" s="492"/>
      <c r="L21" s="492"/>
      <c r="M21" s="492"/>
      <c r="N21" s="492"/>
      <c r="O21" s="492"/>
      <c r="P21" s="492"/>
      <c r="Q21" s="492"/>
      <c r="R21" s="492"/>
      <c r="S21" s="492"/>
      <c r="T21" s="492"/>
      <c r="U21" s="492"/>
      <c r="V21" s="492"/>
      <c r="W21" s="492"/>
      <c r="X21" s="492"/>
      <c r="Y21" s="492"/>
      <c r="Z21" s="492"/>
      <c r="AA21" s="492"/>
      <c r="AB21" s="492"/>
      <c r="AC21" s="492"/>
      <c r="AD21" s="492"/>
      <c r="AM21" s="492"/>
    </row>
    <row r="22" spans="1:39" ht="30.95" customHeight="1">
      <c r="A22" s="483" t="s">
        <v>700</v>
      </c>
      <c r="B22" s="782">
        <f ca="1">VMAnalysis!K30</f>
      </c>
      <c r="C22" s="492"/>
      <c r="D22" s="492"/>
      <c r="E22" s="492"/>
      <c r="F22" s="492"/>
      <c r="G22" s="492"/>
      <c r="H22" s="492"/>
      <c r="I22" s="492"/>
      <c r="J22" s="492"/>
      <c r="K22" s="492"/>
      <c r="L22" s="492"/>
      <c r="M22" s="492"/>
      <c r="N22" s="492"/>
      <c r="O22" s="492"/>
      <c r="P22" s="492"/>
      <c r="Q22" s="492"/>
      <c r="R22" s="492"/>
      <c r="S22" s="492"/>
      <c r="T22" s="492"/>
      <c r="U22" s="492"/>
      <c r="V22" s="492"/>
      <c r="W22" s="492"/>
      <c r="X22" s="492"/>
      <c r="Y22" s="492"/>
      <c r="Z22" s="492"/>
      <c r="AA22" s="492"/>
      <c r="AB22" s="492"/>
      <c r="AC22" s="492"/>
      <c r="AD22" s="492"/>
      <c r="AM22" s="492"/>
    </row>
    <row r="23" spans="1:39" ht="16.5" thickBot="1">
      <c r="A23" s="483" t="s">
        <v>564</v>
      </c>
      <c r="B23" s="511">
        <f ca="1">'Screener Output'!M94/'Screener Output'!L69</f>
      </c>
      <c r="C23" s="492"/>
      <c r="D23" s="492"/>
      <c r="E23" s="492"/>
      <c r="F23" s="492"/>
      <c r="G23" s="492"/>
      <c r="H23" s="492"/>
      <c r="I23" s="492"/>
      <c r="J23" s="492"/>
      <c r="K23" s="492"/>
      <c r="L23" s="492"/>
      <c r="M23" s="492"/>
      <c r="N23" s="492"/>
      <c r="O23" s="492"/>
      <c r="P23" s="492"/>
      <c r="Q23" s="492"/>
      <c r="R23" s="492"/>
      <c r="S23" s="492"/>
      <c r="T23" s="492"/>
      <c r="U23" s="492"/>
      <c r="V23" s="492"/>
      <c r="W23" s="492"/>
      <c r="X23" s="492"/>
      <c r="Y23" s="492"/>
      <c r="Z23" s="492"/>
      <c r="AA23" s="492"/>
      <c r="AB23" s="492"/>
      <c r="AC23" s="492"/>
      <c r="AD23" s="492"/>
      <c r="AM23" s="492"/>
    </row>
    <row r="24" spans="1:39" ht="15.75">
      <c r="A24" s="775" t="s">
        <v>567</v>
      </c>
      <c r="B24" s="780">
        <f ca="1">ChartReport!B23/('Profit &amp; Loss'!N25*100)</f>
      </c>
      <c r="C24" s="492"/>
      <c r="D24" s="492"/>
      <c r="E24" s="492"/>
      <c r="F24" s="492"/>
      <c r="G24" s="492"/>
      <c r="H24" s="492"/>
      <c r="I24" s="492"/>
      <c r="J24" s="492"/>
      <c r="K24" s="492"/>
      <c r="L24" s="492"/>
      <c r="M24" s="492"/>
      <c r="N24" s="492"/>
      <c r="O24" s="492"/>
      <c r="P24" s="492"/>
      <c r="Q24" s="492"/>
      <c r="R24" s="492"/>
      <c r="S24" s="492"/>
      <c r="T24" s="492"/>
      <c r="U24" s="492"/>
      <c r="V24" s="492"/>
      <c r="W24" s="492"/>
      <c r="X24" s="492"/>
      <c r="Y24" s="492"/>
      <c r="Z24" s="492"/>
      <c r="AA24" s="492"/>
      <c r="AB24" s="492"/>
      <c r="AC24" s="492"/>
      <c r="AD24" s="492"/>
      <c r="AM24" s="492"/>
    </row>
    <row r="25" spans="1:39" ht="16.5" thickBot="1">
      <c r="A25" s="776" t="s">
        <v>685</v>
      </c>
      <c r="B25" s="777">
        <f ca="1">'Screener Output'!L69/'Screener Output'!M94</f>
      </c>
      <c r="C25" s="492"/>
      <c r="D25" s="492"/>
      <c r="E25" s="492"/>
      <c r="F25" s="492"/>
      <c r="G25" s="492"/>
      <c r="H25" s="492"/>
      <c r="I25" s="492"/>
      <c r="J25" s="492"/>
      <c r="K25" s="492"/>
      <c r="L25" s="492"/>
      <c r="M25" s="492"/>
      <c r="N25" s="492"/>
      <c r="O25" s="492"/>
      <c r="P25" s="492"/>
      <c r="Q25" s="492"/>
      <c r="R25" s="492"/>
      <c r="S25" s="492"/>
      <c r="T25" s="492"/>
      <c r="U25" s="492"/>
      <c r="V25" s="492"/>
      <c r="W25" s="492"/>
      <c r="X25" s="492"/>
      <c r="Y25" s="492"/>
      <c r="Z25" s="492"/>
      <c r="AA25" s="492"/>
      <c r="AB25" s="492"/>
      <c r="AC25" s="492"/>
      <c r="AD25" s="492"/>
      <c r="AM25" s="492"/>
    </row>
    <row r="26" spans="1:39" ht="15.75">
      <c r="A26" s="476" t="s">
        <v>686</v>
      </c>
      <c r="B26" s="525"/>
      <c r="C26" s="492"/>
      <c r="D26" s="492"/>
      <c r="E26" s="492"/>
      <c r="F26" s="492"/>
      <c r="G26" s="492"/>
      <c r="H26" s="492"/>
      <c r="I26" s="492"/>
      <c r="J26" s="492"/>
      <c r="K26" s="492"/>
      <c r="L26" s="492"/>
      <c r="M26" s="492"/>
      <c r="N26" s="492"/>
      <c r="O26" s="492"/>
      <c r="P26" s="492"/>
      <c r="Q26" s="492"/>
      <c r="R26" s="492"/>
      <c r="S26" s="492"/>
      <c r="T26" s="492"/>
      <c r="U26" s="492"/>
      <c r="V26" s="492"/>
      <c r="W26" s="492"/>
      <c r="X26" s="492"/>
      <c r="Y26" s="492"/>
      <c r="Z26" s="492"/>
      <c r="AA26" s="492"/>
      <c r="AB26" s="492"/>
      <c r="AC26" s="492"/>
      <c r="AD26" s="492"/>
      <c r="AM26" s="492"/>
    </row>
    <row r="27" spans="1:39" ht="30.75">
      <c r="A27" s="476" t="s">
        <v>687</v>
      </c>
      <c r="B27" s="525"/>
      <c r="C27" s="492"/>
      <c r="D27" s="492"/>
      <c r="E27" s="492"/>
      <c r="F27" s="492"/>
      <c r="G27" s="492"/>
      <c r="H27" s="492"/>
      <c r="I27" s="492"/>
      <c r="J27" s="492"/>
      <c r="K27" s="492"/>
      <c r="L27" s="492"/>
      <c r="M27" s="492"/>
      <c r="N27" s="492"/>
      <c r="O27" s="492"/>
      <c r="P27" s="492"/>
      <c r="Q27" s="492"/>
      <c r="R27" s="492"/>
      <c r="S27" s="492"/>
      <c r="T27" s="492"/>
      <c r="U27" s="492"/>
      <c r="V27" s="492"/>
      <c r="W27" s="492"/>
      <c r="X27" s="492"/>
      <c r="Y27" s="492"/>
      <c r="Z27" s="492"/>
      <c r="AA27" s="492"/>
      <c r="AB27" s="492"/>
      <c r="AC27" s="492"/>
      <c r="AD27" s="492"/>
      <c r="AM27" s="492"/>
    </row>
    <row r="28" spans="1:39" ht="15.75">
      <c r="A28" s="476" t="s">
        <v>701</v>
      </c>
      <c r="B28" s="526"/>
      <c r="C28" s="492"/>
      <c r="D28" s="492"/>
      <c r="E28" s="492"/>
      <c r="F28" s="492"/>
      <c r="G28" s="492"/>
      <c r="H28" s="492"/>
      <c r="I28" s="492"/>
      <c r="J28" s="492"/>
      <c r="K28" s="492"/>
      <c r="L28" s="492"/>
      <c r="M28" s="492"/>
      <c r="N28" s="492"/>
      <c r="O28" s="492"/>
      <c r="P28" s="492"/>
      <c r="Q28" s="492"/>
      <c r="R28" s="492"/>
      <c r="S28" s="492"/>
      <c r="T28" s="492"/>
      <c r="U28" s="492"/>
      <c r="V28" s="492"/>
      <c r="W28" s="492"/>
      <c r="X28" s="492"/>
      <c r="Y28" s="492"/>
      <c r="Z28" s="492"/>
      <c r="AA28" s="492"/>
      <c r="AB28" s="492"/>
      <c r="AC28" s="492"/>
      <c r="AD28" s="492"/>
      <c r="AM28" s="492"/>
    </row>
    <row r="29" spans="1:39" ht="15.75">
      <c r="A29" s="476" t="s">
        <v>647</v>
      </c>
      <c r="B29" s="526"/>
      <c r="C29" s="492"/>
      <c r="D29" s="492"/>
      <c r="E29" s="492"/>
      <c r="F29" s="492"/>
      <c r="G29" s="492"/>
      <c r="H29" s="492"/>
      <c r="I29" s="492"/>
      <c r="J29" s="492"/>
      <c r="K29" s="492"/>
      <c r="L29" s="492"/>
      <c r="M29" s="492"/>
      <c r="N29" s="492"/>
      <c r="O29" s="492"/>
      <c r="P29" s="492"/>
      <c r="Q29" s="492"/>
      <c r="R29" s="492"/>
      <c r="S29" s="492"/>
      <c r="T29" s="492"/>
      <c r="U29" s="492"/>
      <c r="V29" s="492"/>
      <c r="W29" s="492"/>
      <c r="X29" s="492"/>
      <c r="Y29" s="492"/>
      <c r="Z29" s="492"/>
      <c r="AA29" s="492"/>
      <c r="AB29" s="492"/>
      <c r="AC29" s="492"/>
      <c r="AD29" s="492"/>
      <c r="AM29" s="492"/>
    </row>
    <row r="30" spans="1:39" ht="30.75">
      <c r="A30" s="476" t="s">
        <v>649</v>
      </c>
      <c r="B30" s="526"/>
      <c r="C30" s="492"/>
      <c r="D30" s="492"/>
      <c r="E30" s="492"/>
      <c r="F30" s="492"/>
      <c r="G30" s="492"/>
      <c r="H30" s="492"/>
      <c r="I30" s="492"/>
      <c r="J30" s="492"/>
      <c r="K30" s="492"/>
      <c r="L30" s="492"/>
      <c r="M30" s="492"/>
      <c r="N30" s="492"/>
      <c r="O30" s="492"/>
      <c r="P30" s="492"/>
      <c r="Q30" s="492"/>
      <c r="R30" s="492"/>
      <c r="S30" s="492"/>
      <c r="T30" s="492"/>
      <c r="U30" s="492"/>
      <c r="V30" s="492"/>
      <c r="W30" s="492"/>
      <c r="X30" s="492"/>
      <c r="Y30" s="492"/>
      <c r="Z30" s="492"/>
      <c r="AA30" s="492"/>
      <c r="AB30" s="492"/>
      <c r="AC30" s="492"/>
      <c r="AD30" s="492"/>
      <c r="AM30" s="492"/>
    </row>
    <row r="31" spans="1:39" ht="15.75">
      <c r="A31" s="476" t="s">
        <v>688</v>
      </c>
      <c r="B31" s="526"/>
      <c r="C31" s="492"/>
      <c r="D31" s="492"/>
      <c r="E31" s="492"/>
      <c r="F31" s="492"/>
      <c r="G31" s="492"/>
      <c r="H31" s="492"/>
      <c r="I31" s="492"/>
      <c r="J31" s="492"/>
      <c r="K31" s="492"/>
      <c r="L31" s="492"/>
      <c r="M31" s="492"/>
      <c r="N31" s="492"/>
      <c r="O31" s="492"/>
      <c r="P31" s="492"/>
      <c r="Q31" s="492"/>
      <c r="R31" s="492"/>
      <c r="S31" s="492"/>
      <c r="T31" s="492"/>
      <c r="U31" s="492"/>
      <c r="V31" s="492"/>
      <c r="W31" s="492"/>
      <c r="X31" s="492"/>
      <c r="Y31" s="492"/>
      <c r="Z31" s="492"/>
      <c r="AA31" s="492"/>
      <c r="AB31" s="492"/>
      <c r="AC31" s="492"/>
      <c r="AD31" s="492"/>
      <c r="AM31" s="492"/>
    </row>
    <row r="32" spans="1:39" ht="15.75">
      <c r="A32" s="476" t="s">
        <v>689</v>
      </c>
      <c r="B32" s="526"/>
      <c r="C32" s="492"/>
      <c r="D32" s="492"/>
      <c r="E32" s="492"/>
      <c r="F32" s="492"/>
      <c r="G32" s="492"/>
      <c r="H32" s="492"/>
      <c r="I32" s="492"/>
      <c r="J32" s="492"/>
      <c r="K32" s="492"/>
      <c r="L32" s="492"/>
      <c r="M32" s="492"/>
      <c r="N32" s="492"/>
      <c r="O32" s="492"/>
      <c r="P32" s="492"/>
      <c r="Q32" s="492"/>
      <c r="R32" s="492"/>
      <c r="S32" s="492"/>
      <c r="T32" s="492"/>
      <c r="U32" s="492"/>
      <c r="V32" s="492"/>
      <c r="W32" s="492"/>
      <c r="X32" s="492"/>
      <c r="Y32" s="492"/>
      <c r="Z32" s="492"/>
      <c r="AA32" s="492"/>
      <c r="AB32" s="492"/>
      <c r="AC32" s="492"/>
      <c r="AD32" s="492"/>
      <c r="AM32" s="492"/>
    </row>
    <row r="33" spans="1:39" ht="15.75">
      <c r="A33" s="476" t="s">
        <v>690</v>
      </c>
      <c r="B33" s="526"/>
      <c r="C33" s="492"/>
      <c r="D33" s="492"/>
      <c r="E33" s="492"/>
      <c r="F33" s="492"/>
      <c r="G33" s="492"/>
      <c r="H33" s="492"/>
      <c r="I33" s="492"/>
      <c r="J33" s="492"/>
      <c r="K33" s="492"/>
      <c r="L33" s="492"/>
      <c r="M33" s="492"/>
      <c r="N33" s="492"/>
      <c r="O33" s="492"/>
      <c r="P33" s="492"/>
      <c r="Q33" s="492"/>
      <c r="R33" s="492"/>
      <c r="S33" s="492"/>
      <c r="T33" s="492"/>
      <c r="U33" s="492"/>
      <c r="V33" s="492"/>
      <c r="W33" s="492"/>
      <c r="X33" s="492"/>
      <c r="Y33" s="492"/>
      <c r="Z33" s="492"/>
      <c r="AA33" s="492"/>
      <c r="AB33" s="492"/>
      <c r="AC33" s="492"/>
      <c r="AD33" s="492"/>
      <c r="AM33" s="492"/>
    </row>
    <row r="34" spans="1:39" ht="15.75">
      <c r="A34" s="476" t="s">
        <v>691</v>
      </c>
      <c r="B34" s="526"/>
      <c r="C34" s="492"/>
      <c r="D34" s="492"/>
      <c r="E34" s="492"/>
      <c r="F34" s="492"/>
      <c r="G34" s="492"/>
      <c r="H34" s="492"/>
      <c r="I34" s="492"/>
      <c r="J34" s="492"/>
      <c r="K34" s="492"/>
      <c r="L34" s="492"/>
      <c r="M34" s="492"/>
      <c r="N34" s="492"/>
      <c r="O34" s="492"/>
      <c r="P34" s="492"/>
      <c r="Q34" s="492"/>
      <c r="R34" s="492"/>
      <c r="S34" s="492"/>
      <c r="T34" s="492"/>
      <c r="U34" s="492"/>
      <c r="V34" s="492"/>
      <c r="W34" s="492"/>
      <c r="X34" s="492"/>
      <c r="Y34" s="492"/>
      <c r="Z34" s="492"/>
      <c r="AA34" s="492"/>
      <c r="AB34" s="492"/>
      <c r="AC34" s="492"/>
      <c r="AD34" s="492"/>
      <c r="AM34" s="492"/>
    </row>
    <row r="35" spans="1:39" ht="30.75">
      <c r="A35" s="476" t="s">
        <v>692</v>
      </c>
      <c r="B35" s="526"/>
      <c r="C35" s="492"/>
      <c r="D35" s="492"/>
      <c r="E35" s="492"/>
      <c r="F35" s="492"/>
      <c r="G35" s="492"/>
      <c r="H35" s="492"/>
      <c r="I35" s="492"/>
      <c r="J35" s="492"/>
      <c r="K35" s="492"/>
      <c r="L35" s="492"/>
      <c r="M35" s="492"/>
      <c r="N35" s="492"/>
      <c r="O35" s="492"/>
      <c r="P35" s="492"/>
      <c r="Q35" s="492"/>
      <c r="R35" s="492"/>
      <c r="S35" s="492"/>
      <c r="T35" s="492"/>
      <c r="U35" s="492"/>
      <c r="V35" s="492"/>
      <c r="W35" s="492"/>
      <c r="X35" s="492"/>
      <c r="Y35" s="492"/>
      <c r="Z35" s="492"/>
      <c r="AA35" s="492"/>
      <c r="AB35" s="492"/>
      <c r="AC35" s="492"/>
      <c r="AD35" s="492"/>
      <c r="AM35" s="492"/>
    </row>
    <row r="36" spans="1:39" ht="15.75">
      <c r="A36" s="476" t="s">
        <v>702</v>
      </c>
      <c r="B36" s="526"/>
      <c r="C36" s="492"/>
      <c r="D36" s="492"/>
      <c r="E36" s="492"/>
      <c r="F36" s="492"/>
      <c r="G36" s="492"/>
      <c r="H36" s="492"/>
      <c r="I36" s="492"/>
      <c r="J36" s="492"/>
      <c r="K36" s="492"/>
      <c r="L36" s="492"/>
      <c r="M36" s="492"/>
      <c r="N36" s="492"/>
      <c r="O36" s="492"/>
      <c r="P36" s="492"/>
      <c r="Q36" s="492"/>
      <c r="R36" s="492"/>
      <c r="S36" s="492"/>
      <c r="T36" s="492"/>
      <c r="U36" s="492"/>
      <c r="V36" s="492"/>
      <c r="W36" s="492"/>
      <c r="X36" s="492"/>
      <c r="Y36" s="492"/>
      <c r="Z36" s="492"/>
      <c r="AA36" s="492"/>
      <c r="AB36" s="492"/>
      <c r="AC36" s="492"/>
      <c r="AD36" s="492"/>
      <c r="AM36" s="495"/>
    </row>
    <row r="37" spans="1:39" ht="15.75">
      <c r="A37" s="476" t="s">
        <v>598</v>
      </c>
      <c r="B37" s="526"/>
      <c r="C37" s="492"/>
      <c r="D37" s="492"/>
      <c r="E37" s="492"/>
      <c r="F37" s="492"/>
      <c r="G37" s="492"/>
      <c r="H37" s="492"/>
      <c r="I37" s="492"/>
      <c r="J37" s="492"/>
      <c r="K37" s="492"/>
      <c r="L37" s="492"/>
      <c r="M37" s="492"/>
      <c r="N37" s="492"/>
      <c r="O37" s="492"/>
      <c r="P37" s="492"/>
      <c r="Q37" s="492"/>
      <c r="R37" s="492"/>
      <c r="S37" s="492"/>
      <c r="T37" s="492"/>
      <c r="U37" s="492"/>
      <c r="V37" s="492"/>
      <c r="W37" s="492"/>
      <c r="X37" s="492"/>
      <c r="Y37" s="492"/>
      <c r="Z37" s="492"/>
      <c r="AA37" s="492"/>
      <c r="AB37" s="492"/>
      <c r="AC37" s="492"/>
      <c r="AD37" s="492"/>
      <c r="AE37" s="492"/>
      <c r="AF37" s="492"/>
      <c r="AG37" s="492"/>
      <c r="AH37" s="492"/>
      <c r="AI37" s="492"/>
      <c r="AJ37" s="492"/>
      <c r="AK37" s="492"/>
      <c r="AL37" s="492"/>
      <c r="AM37" s="495"/>
    </row>
    <row r="38" spans="1:39" ht="31.5" thickBot="1">
      <c r="A38" s="479" t="s">
        <v>582</v>
      </c>
      <c r="B38" s="527"/>
      <c r="C38" s="492"/>
      <c r="D38" s="492"/>
      <c r="E38" s="492"/>
      <c r="F38" s="492"/>
      <c r="G38" s="492"/>
      <c r="H38" s="492"/>
      <c r="I38" s="492"/>
      <c r="J38" s="492"/>
      <c r="K38" s="492"/>
      <c r="L38" s="492"/>
      <c r="M38" s="492"/>
      <c r="N38" s="492"/>
      <c r="O38" s="492"/>
      <c r="P38" s="492"/>
      <c r="Q38" s="492"/>
      <c r="R38" s="492"/>
      <c r="S38" s="492"/>
      <c r="T38" s="492"/>
      <c r="U38" s="492"/>
      <c r="V38" s="492"/>
      <c r="W38" s="492"/>
      <c r="X38" s="492"/>
      <c r="Y38" s="492"/>
      <c r="Z38" s="492"/>
      <c r="AA38" s="492"/>
      <c r="AB38" s="492"/>
      <c r="AC38" s="492"/>
      <c r="AD38" s="492"/>
      <c r="AM38" s="495"/>
    </row>
    <row r="39" spans="1:39" ht="15.75">
      <c r="A39" s="528" t="s">
        <v>745</v>
      </c>
      <c r="B39" s="529"/>
      <c r="C39" s="492"/>
      <c r="D39" s="492"/>
      <c r="E39" s="492"/>
      <c r="F39" s="492"/>
      <c r="G39" s="492"/>
      <c r="H39" s="492"/>
      <c r="I39" s="492"/>
      <c r="J39" s="492"/>
      <c r="K39" s="492"/>
      <c r="L39" s="492"/>
      <c r="M39" s="492"/>
      <c r="N39" s="492"/>
      <c r="O39" s="492"/>
      <c r="P39" s="492"/>
      <c r="Q39" s="492"/>
      <c r="R39" s="492"/>
      <c r="S39" s="492"/>
      <c r="T39" s="492"/>
      <c r="U39" s="492"/>
      <c r="V39" s="492"/>
      <c r="W39" s="492"/>
      <c r="X39" s="492"/>
      <c r="Y39" s="492"/>
      <c r="Z39" s="492"/>
      <c r="AA39" s="492"/>
      <c r="AB39" s="492"/>
      <c r="AC39" s="492"/>
      <c r="AD39" s="492"/>
      <c r="AM39" s="495"/>
    </row>
    <row r="40" spans="1:39" ht="15.75">
      <c r="A40" s="528" t="s">
        <v>746</v>
      </c>
      <c r="B40" s="529"/>
      <c r="C40" s="492"/>
      <c r="D40" s="492"/>
      <c r="E40" s="492"/>
      <c r="F40" s="492"/>
      <c r="G40" s="492"/>
      <c r="H40" s="492"/>
      <c r="I40" s="492"/>
      <c r="J40" s="492"/>
      <c r="K40" s="492"/>
      <c r="L40" s="492"/>
      <c r="M40" s="492"/>
      <c r="N40" s="492"/>
      <c r="O40" s="492"/>
      <c r="P40" s="492"/>
      <c r="Q40" s="492"/>
      <c r="R40" s="492"/>
      <c r="S40" s="492"/>
      <c r="T40" s="492"/>
      <c r="U40" s="492"/>
      <c r="V40" s="492"/>
      <c r="W40" s="492"/>
      <c r="X40" s="492"/>
      <c r="Y40" s="492"/>
      <c r="Z40" s="492"/>
      <c r="AA40" s="492"/>
      <c r="AB40" s="492"/>
      <c r="AC40" s="492"/>
      <c r="AD40" s="492"/>
      <c r="AM40" s="495"/>
    </row>
    <row r="41" spans="1:39">
      <c r="C41" s="492"/>
      <c r="D41" s="492"/>
      <c r="E41" s="492"/>
      <c r="F41" s="492"/>
      <c r="G41" s="492"/>
      <c r="H41" s="492"/>
      <c r="I41" s="492"/>
      <c r="J41" s="492"/>
      <c r="K41" s="492"/>
      <c r="L41" s="492"/>
      <c r="M41" s="492"/>
      <c r="N41" s="492"/>
      <c r="O41" s="492"/>
      <c r="P41" s="492"/>
      <c r="Q41" s="492"/>
      <c r="R41" s="492"/>
      <c r="S41" s="492"/>
      <c r="T41" s="492"/>
      <c r="U41" s="492"/>
      <c r="V41" s="492"/>
      <c r="W41" s="492"/>
      <c r="X41" s="492"/>
      <c r="Y41" s="492"/>
      <c r="Z41" s="492"/>
      <c r="AA41" s="492"/>
      <c r="AB41" s="492"/>
      <c r="AC41" s="492"/>
      <c r="AD41" s="492"/>
      <c r="AM41" s="495"/>
    </row>
    <row r="42" spans="1:39">
      <c r="C42" s="492"/>
      <c r="D42" s="492"/>
      <c r="E42" s="492"/>
      <c r="F42" s="492"/>
      <c r="G42" s="492"/>
      <c r="H42" s="492"/>
      <c r="I42" s="492"/>
      <c r="J42" s="492"/>
      <c r="K42" s="492"/>
      <c r="L42" s="492"/>
      <c r="M42" s="492"/>
      <c r="N42" s="492"/>
      <c r="O42" s="492"/>
      <c r="P42" s="492"/>
      <c r="Q42" s="492"/>
      <c r="R42" s="492"/>
      <c r="S42" s="492"/>
      <c r="T42" s="492"/>
      <c r="U42" s="492"/>
      <c r="V42" s="492"/>
      <c r="W42" s="492"/>
      <c r="X42" s="492"/>
      <c r="Y42" s="492"/>
      <c r="Z42" s="492"/>
      <c r="AA42" s="492"/>
      <c r="AB42" s="492"/>
      <c r="AC42" s="492"/>
      <c r="AD42" s="492"/>
      <c r="AM42" s="495"/>
    </row>
    <row r="43" spans="1:39">
      <c r="C43" s="492"/>
      <c r="D43" s="492"/>
      <c r="E43" s="492"/>
      <c r="F43" s="492"/>
      <c r="G43" s="492"/>
      <c r="H43" s="492"/>
      <c r="I43" s="492"/>
      <c r="J43" s="492"/>
      <c r="K43" s="492"/>
      <c r="L43" s="492"/>
      <c r="M43" s="492"/>
      <c r="N43" s="492"/>
      <c r="O43" s="492"/>
      <c r="P43" s="492"/>
      <c r="Q43" s="492"/>
      <c r="R43" s="492"/>
      <c r="S43" s="492"/>
      <c r="T43" s="492"/>
      <c r="U43" s="492"/>
      <c r="V43" s="492"/>
      <c r="W43" s="492"/>
      <c r="X43" s="492"/>
      <c r="Y43" s="492"/>
      <c r="Z43" s="492"/>
      <c r="AA43" s="492"/>
      <c r="AB43" s="492"/>
      <c r="AC43" s="492"/>
      <c r="AD43" s="492"/>
      <c r="AM43" s="495"/>
    </row>
    <row r="44" spans="1:39">
      <c r="C44" s="492"/>
      <c r="D44" s="492"/>
      <c r="E44" s="492"/>
      <c r="F44" s="492"/>
      <c r="G44" s="492"/>
      <c r="H44" s="492"/>
      <c r="I44" s="492"/>
      <c r="J44" s="492"/>
      <c r="K44" s="492"/>
      <c r="L44" s="492"/>
      <c r="M44" s="492"/>
      <c r="N44" s="492"/>
      <c r="O44" s="492"/>
      <c r="P44" s="492"/>
      <c r="Q44" s="492"/>
      <c r="R44" s="492"/>
      <c r="S44" s="492"/>
      <c r="T44" s="492"/>
      <c r="U44" s="492"/>
      <c r="V44" s="492"/>
      <c r="W44" s="492"/>
      <c r="X44" s="492"/>
      <c r="Y44" s="492"/>
      <c r="Z44" s="492"/>
      <c r="AA44" s="492"/>
      <c r="AB44" s="492"/>
      <c r="AC44" s="492"/>
      <c r="AD44" s="492"/>
      <c r="AM44" s="495"/>
    </row>
    <row r="45" spans="1:39">
      <c r="C45" s="492"/>
      <c r="D45" s="492"/>
      <c r="E45" s="492"/>
      <c r="F45" s="492"/>
      <c r="G45" s="492"/>
      <c r="H45" s="492"/>
      <c r="I45" s="492"/>
      <c r="J45" s="492"/>
      <c r="K45" s="492"/>
      <c r="L45" s="492"/>
      <c r="M45" s="492"/>
      <c r="N45" s="492"/>
      <c r="O45" s="492"/>
      <c r="P45" s="492"/>
      <c r="Q45" s="492"/>
      <c r="R45" s="492"/>
      <c r="S45" s="492"/>
      <c r="T45" s="492"/>
      <c r="U45" s="492"/>
      <c r="V45" s="492"/>
      <c r="W45" s="492"/>
      <c r="X45" s="492"/>
      <c r="Y45" s="492"/>
      <c r="Z45" s="492"/>
      <c r="AA45" s="492"/>
      <c r="AB45" s="492"/>
      <c r="AC45" s="492"/>
      <c r="AD45" s="492"/>
      <c r="AM45" s="495"/>
    </row>
    <row r="46" spans="1:39">
      <c r="C46" s="492"/>
      <c r="D46" s="492"/>
      <c r="E46" s="492"/>
      <c r="F46" s="492"/>
      <c r="G46" s="492"/>
      <c r="H46" s="492"/>
      <c r="I46" s="492"/>
      <c r="J46" s="492"/>
      <c r="K46" s="492"/>
      <c r="L46" s="492"/>
      <c r="M46" s="492"/>
      <c r="N46" s="492"/>
      <c r="O46" s="492"/>
      <c r="P46" s="492"/>
      <c r="Q46" s="492"/>
      <c r="R46" s="492"/>
      <c r="S46" s="492"/>
      <c r="T46" s="492"/>
      <c r="U46" s="492"/>
      <c r="V46" s="492"/>
      <c r="W46" s="492"/>
      <c r="X46" s="492"/>
      <c r="Y46" s="492"/>
      <c r="Z46" s="492"/>
      <c r="AA46" s="492"/>
      <c r="AB46" s="492"/>
      <c r="AC46" s="492"/>
      <c r="AD46" s="492"/>
      <c r="AM46" s="495"/>
    </row>
    <row r="47" spans="1:39">
      <c r="C47" s="492"/>
      <c r="D47" s="492"/>
      <c r="E47" s="492"/>
      <c r="F47" s="492"/>
      <c r="G47" s="492"/>
      <c r="H47" s="492"/>
      <c r="I47" s="492"/>
      <c r="J47" s="492"/>
      <c r="K47" s="492"/>
      <c r="L47" s="492"/>
      <c r="M47" s="492"/>
      <c r="N47" s="492"/>
      <c r="O47" s="492"/>
      <c r="P47" s="492"/>
      <c r="Q47" s="492"/>
      <c r="R47" s="492"/>
      <c r="S47" s="492"/>
      <c r="T47" s="492"/>
      <c r="U47" s="492"/>
      <c r="V47" s="492"/>
      <c r="W47" s="492"/>
      <c r="X47" s="492"/>
      <c r="Y47" s="492"/>
      <c r="Z47" s="492"/>
      <c r="AA47" s="492"/>
      <c r="AB47" s="492"/>
      <c r="AC47" s="492"/>
      <c r="AD47" s="492"/>
      <c r="AM47" s="495"/>
    </row>
    <row r="48" spans="1:39">
      <c r="C48" s="492"/>
      <c r="D48" s="492"/>
      <c r="E48" s="492"/>
      <c r="F48" s="492"/>
      <c r="G48" s="492"/>
      <c r="H48" s="492"/>
      <c r="I48" s="492"/>
      <c r="J48" s="492"/>
      <c r="K48" s="492"/>
      <c r="L48" s="492"/>
      <c r="M48" s="492"/>
      <c r="N48" s="492"/>
      <c r="O48" s="492"/>
      <c r="P48" s="492"/>
      <c r="Q48" s="492"/>
      <c r="R48" s="492"/>
      <c r="S48" s="492"/>
      <c r="T48" s="492"/>
      <c r="U48" s="492"/>
      <c r="V48" s="492"/>
      <c r="W48" s="492"/>
      <c r="X48" s="492"/>
      <c r="Y48" s="492"/>
      <c r="Z48" s="492"/>
      <c r="AA48" s="492"/>
      <c r="AB48" s="492"/>
      <c r="AC48" s="492"/>
      <c r="AD48" s="492"/>
      <c r="AM48" s="495"/>
    </row>
    <row r="49" spans="3:39">
      <c r="C49" s="492"/>
      <c r="D49" s="492"/>
      <c r="E49" s="492"/>
      <c r="F49" s="492"/>
      <c r="G49" s="492"/>
      <c r="H49" s="492"/>
      <c r="I49" s="492"/>
      <c r="J49" s="492"/>
      <c r="K49" s="492"/>
      <c r="L49" s="492"/>
      <c r="M49" s="492"/>
      <c r="N49" s="492"/>
      <c r="O49" s="492"/>
      <c r="P49" s="492"/>
      <c r="Q49" s="492"/>
      <c r="R49" s="492"/>
      <c r="S49" s="492"/>
      <c r="T49" s="492"/>
      <c r="U49" s="492"/>
      <c r="V49" s="492"/>
      <c r="W49" s="492"/>
      <c r="X49" s="492"/>
      <c r="Y49" s="492"/>
      <c r="Z49" s="492"/>
      <c r="AA49" s="492"/>
      <c r="AB49" s="492"/>
      <c r="AC49" s="492"/>
      <c r="AD49" s="492"/>
      <c r="AM49" s="495"/>
    </row>
    <row r="50" spans="3:39">
      <c r="C50" s="492"/>
      <c r="D50" s="492"/>
      <c r="E50" s="492"/>
      <c r="F50" s="492"/>
      <c r="G50" s="492"/>
      <c r="H50" s="492"/>
      <c r="I50" s="492"/>
      <c r="J50" s="492"/>
      <c r="K50" s="492"/>
      <c r="L50" s="492"/>
      <c r="M50" s="492"/>
      <c r="N50" s="492"/>
      <c r="O50" s="492"/>
      <c r="P50" s="492"/>
      <c r="Q50" s="492"/>
      <c r="R50" s="492"/>
      <c r="S50" s="492"/>
      <c r="T50" s="492"/>
      <c r="U50" s="492"/>
      <c r="V50" s="492"/>
      <c r="W50" s="492"/>
      <c r="X50" s="492"/>
      <c r="Y50" s="492"/>
      <c r="Z50" s="492"/>
      <c r="AA50" s="492"/>
      <c r="AB50" s="492"/>
      <c r="AC50" s="492"/>
      <c r="AD50" s="492"/>
      <c r="AM50" s="495"/>
    </row>
    <row r="51" spans="3:39">
      <c r="C51" s="492"/>
      <c r="D51" s="492"/>
      <c r="E51" s="492"/>
      <c r="F51" s="492"/>
      <c r="G51" s="492"/>
      <c r="H51" s="492"/>
      <c r="I51" s="492"/>
      <c r="J51" s="492"/>
      <c r="K51" s="492"/>
      <c r="L51" s="492"/>
      <c r="M51" s="492"/>
      <c r="N51" s="492"/>
      <c r="O51" s="492"/>
      <c r="P51" s="492"/>
      <c r="Q51" s="492"/>
      <c r="R51" s="492"/>
      <c r="S51" s="492"/>
      <c r="T51" s="492"/>
      <c r="U51" s="492"/>
      <c r="V51" s="492"/>
      <c r="W51" s="492"/>
      <c r="X51" s="492"/>
      <c r="Y51" s="492"/>
      <c r="Z51" s="492"/>
      <c r="AA51" s="492"/>
      <c r="AB51" s="492"/>
      <c r="AC51" s="492"/>
      <c r="AD51" s="492"/>
      <c r="AM51" s="495"/>
    </row>
    <row r="52" spans="3:39">
      <c r="C52" s="492"/>
      <c r="D52" s="492"/>
      <c r="E52" s="492"/>
      <c r="F52" s="492"/>
      <c r="G52" s="492"/>
      <c r="H52" s="492"/>
      <c r="I52" s="492"/>
      <c r="J52" s="492"/>
      <c r="K52" s="492"/>
      <c r="L52" s="492"/>
      <c r="M52" s="492"/>
      <c r="N52" s="492"/>
      <c r="O52" s="492"/>
      <c r="P52" s="492"/>
      <c r="Q52" s="492"/>
      <c r="R52" s="492"/>
      <c r="S52" s="492"/>
      <c r="T52" s="492"/>
      <c r="U52" s="492"/>
      <c r="V52" s="492"/>
      <c r="W52" s="492"/>
      <c r="X52" s="492"/>
      <c r="Y52" s="492"/>
      <c r="Z52" s="492"/>
      <c r="AA52" s="492"/>
      <c r="AB52" s="492"/>
      <c r="AC52" s="492"/>
      <c r="AD52" s="492"/>
      <c r="AM52" s="495"/>
    </row>
    <row r="53" spans="3:39">
      <c r="C53" s="492"/>
      <c r="D53" s="492"/>
      <c r="E53" s="492"/>
      <c r="F53" s="492"/>
      <c r="G53" s="492"/>
      <c r="H53" s="492"/>
      <c r="I53" s="492"/>
      <c r="J53" s="492"/>
      <c r="K53" s="492"/>
      <c r="L53" s="492"/>
      <c r="M53" s="492"/>
      <c r="N53" s="492"/>
      <c r="O53" s="492"/>
      <c r="P53" s="492"/>
      <c r="Q53" s="492"/>
      <c r="R53" s="492"/>
      <c r="S53" s="492"/>
      <c r="T53" s="492"/>
      <c r="U53" s="492"/>
      <c r="V53" s="492"/>
      <c r="W53" s="492"/>
      <c r="X53" s="492"/>
      <c r="Y53" s="492"/>
      <c r="Z53" s="492"/>
      <c r="AA53" s="492"/>
      <c r="AB53" s="492"/>
      <c r="AC53" s="492"/>
      <c r="AD53" s="492"/>
      <c r="AM53" s="495"/>
    </row>
    <row r="54" spans="3:39">
      <c r="C54" s="492"/>
      <c r="D54" s="492"/>
      <c r="E54" s="492"/>
      <c r="F54" s="492"/>
      <c r="G54" s="492"/>
      <c r="H54" s="492"/>
      <c r="I54" s="492"/>
      <c r="J54" s="492"/>
      <c r="K54" s="492"/>
      <c r="L54" s="492"/>
      <c r="M54" s="492"/>
      <c r="N54" s="492"/>
      <c r="O54" s="492"/>
      <c r="P54" s="492"/>
      <c r="Q54" s="492"/>
      <c r="R54" s="492"/>
      <c r="S54" s="492"/>
      <c r="T54" s="492"/>
      <c r="U54" s="492"/>
      <c r="V54" s="492"/>
      <c r="W54" s="492"/>
      <c r="X54" s="492"/>
      <c r="Y54" s="492"/>
      <c r="Z54" s="492"/>
      <c r="AA54" s="492"/>
      <c r="AB54" s="492"/>
      <c r="AC54" s="492"/>
      <c r="AD54" s="492"/>
      <c r="AM54" s="495"/>
    </row>
    <row r="55" spans="3:39">
      <c r="C55" s="492"/>
      <c r="D55" s="492"/>
      <c r="E55" s="492"/>
      <c r="F55" s="492"/>
      <c r="G55" s="492"/>
      <c r="H55" s="492"/>
      <c r="I55" s="492"/>
      <c r="J55" s="492"/>
      <c r="K55" s="492"/>
      <c r="L55" s="492"/>
      <c r="M55" s="492"/>
      <c r="N55" s="492"/>
      <c r="O55" s="492"/>
      <c r="P55" s="492"/>
      <c r="Q55" s="492"/>
      <c r="R55" s="492"/>
      <c r="S55" s="492"/>
      <c r="T55" s="492"/>
      <c r="U55" s="492"/>
      <c r="V55" s="492"/>
      <c r="W55" s="492"/>
      <c r="X55" s="492"/>
      <c r="Y55" s="492"/>
      <c r="Z55" s="492"/>
      <c r="AA55" s="492"/>
      <c r="AB55" s="492"/>
      <c r="AC55" s="492"/>
      <c r="AD55" s="492"/>
      <c r="AM55" s="495"/>
    </row>
    <row r="56" spans="3:39">
      <c r="C56" s="492"/>
      <c r="D56" s="492"/>
      <c r="E56" s="492"/>
      <c r="F56" s="492"/>
      <c r="G56" s="492"/>
      <c r="H56" s="492"/>
      <c r="I56" s="492"/>
      <c r="J56" s="492"/>
      <c r="K56" s="492"/>
      <c r="L56" s="492"/>
      <c r="M56" s="492"/>
      <c r="N56" s="492"/>
      <c r="O56" s="492"/>
      <c r="P56" s="492"/>
      <c r="Q56" s="492"/>
      <c r="R56" s="492"/>
      <c r="S56" s="492"/>
      <c r="T56" s="492"/>
      <c r="U56" s="492"/>
      <c r="V56" s="492"/>
      <c r="W56" s="492"/>
      <c r="X56" s="492"/>
      <c r="Y56" s="492"/>
      <c r="Z56" s="492"/>
      <c r="AA56" s="492"/>
      <c r="AB56" s="492"/>
      <c r="AC56" s="492"/>
      <c r="AD56" s="492"/>
      <c r="AM56" s="495"/>
    </row>
    <row r="57" spans="3:39">
      <c r="C57" s="492"/>
      <c r="D57" s="492"/>
      <c r="E57" s="492"/>
      <c r="F57" s="492"/>
      <c r="G57" s="492"/>
      <c r="H57" s="492"/>
      <c r="I57" s="492"/>
      <c r="J57" s="492"/>
      <c r="K57" s="492"/>
      <c r="L57" s="492"/>
      <c r="M57" s="492"/>
      <c r="N57" s="492"/>
      <c r="O57" s="492"/>
      <c r="P57" s="492"/>
      <c r="Q57" s="492"/>
      <c r="R57" s="492"/>
      <c r="S57" s="492"/>
      <c r="T57" s="492"/>
      <c r="U57" s="492"/>
      <c r="V57" s="492"/>
      <c r="W57" s="492"/>
      <c r="X57" s="492"/>
      <c r="Y57" s="492"/>
      <c r="Z57" s="492"/>
      <c r="AA57" s="492"/>
      <c r="AB57" s="492"/>
      <c r="AC57" s="492"/>
      <c r="AD57" s="492"/>
      <c r="AM57" s="495"/>
    </row>
    <row r="58" spans="3:39">
      <c r="C58" s="492"/>
      <c r="D58" s="492"/>
      <c r="E58" s="492"/>
      <c r="F58" s="492"/>
      <c r="G58" s="492"/>
      <c r="H58" s="492"/>
      <c r="I58" s="492"/>
      <c r="J58" s="492"/>
      <c r="K58" s="492"/>
      <c r="L58" s="492"/>
      <c r="M58" s="492"/>
      <c r="N58" s="492"/>
      <c r="O58" s="492"/>
      <c r="P58" s="492"/>
      <c r="Q58" s="492"/>
      <c r="R58" s="492"/>
      <c r="S58" s="492"/>
      <c r="T58" s="492"/>
      <c r="U58" s="492"/>
      <c r="V58" s="492"/>
      <c r="W58" s="492"/>
      <c r="X58" s="492"/>
      <c r="Y58" s="492"/>
      <c r="Z58" s="492"/>
      <c r="AA58" s="492"/>
      <c r="AB58" s="492"/>
      <c r="AC58" s="492"/>
      <c r="AD58" s="492"/>
      <c r="AM58" s="495"/>
    </row>
    <row r="59" spans="3:39">
      <c r="C59" s="492"/>
      <c r="D59" s="492"/>
      <c r="E59" s="492"/>
      <c r="F59" s="492"/>
      <c r="G59" s="492"/>
      <c r="H59" s="492"/>
      <c r="I59" s="492"/>
      <c r="J59" s="492"/>
      <c r="K59" s="492"/>
      <c r="L59" s="492"/>
      <c r="M59" s="492"/>
      <c r="N59" s="492"/>
      <c r="O59" s="492"/>
      <c r="P59" s="492"/>
      <c r="Q59" s="492"/>
      <c r="R59" s="492"/>
      <c r="S59" s="492"/>
      <c r="T59" s="492"/>
      <c r="U59" s="492"/>
      <c r="V59" s="492"/>
      <c r="W59" s="492"/>
      <c r="X59" s="492"/>
      <c r="Y59" s="492"/>
      <c r="Z59" s="492"/>
      <c r="AA59" s="492"/>
      <c r="AB59" s="492"/>
      <c r="AC59" s="492"/>
      <c r="AD59" s="492"/>
      <c r="AM59" s="495"/>
    </row>
    <row r="60" spans="3:39">
      <c r="C60" s="492"/>
      <c r="D60" s="492"/>
      <c r="E60" s="492"/>
      <c r="F60" s="492"/>
      <c r="G60" s="492"/>
      <c r="H60" s="492"/>
      <c r="I60" s="492"/>
      <c r="J60" s="492"/>
      <c r="K60" s="492"/>
      <c r="L60" s="492"/>
      <c r="M60" s="492"/>
      <c r="N60" s="492"/>
      <c r="O60" s="492"/>
      <c r="P60" s="492"/>
      <c r="Q60" s="492"/>
      <c r="R60" s="492"/>
      <c r="S60" s="492"/>
      <c r="T60" s="492"/>
      <c r="U60" s="492"/>
      <c r="V60" s="492"/>
      <c r="W60" s="492"/>
      <c r="X60" s="492"/>
      <c r="Y60" s="492"/>
      <c r="Z60" s="492"/>
      <c r="AA60" s="492"/>
      <c r="AB60" s="492"/>
      <c r="AC60" s="492"/>
      <c r="AD60" s="492"/>
      <c r="AM60" s="495"/>
    </row>
    <row r="61" spans="3:39">
      <c r="C61" s="492"/>
      <c r="D61" s="492"/>
      <c r="E61" s="492"/>
      <c r="F61" s="492"/>
      <c r="G61" s="492"/>
      <c r="H61" s="492"/>
      <c r="I61" s="492"/>
      <c r="J61" s="492"/>
      <c r="K61" s="492"/>
      <c r="L61" s="492"/>
      <c r="M61" s="492"/>
      <c r="N61" s="492"/>
      <c r="O61" s="492"/>
      <c r="P61" s="492"/>
      <c r="Q61" s="492"/>
      <c r="R61" s="492"/>
      <c r="S61" s="492"/>
      <c r="T61" s="492"/>
      <c r="U61" s="492"/>
      <c r="V61" s="492"/>
      <c r="W61" s="492"/>
      <c r="X61" s="492"/>
      <c r="Y61" s="492"/>
      <c r="Z61" s="492"/>
      <c r="AA61" s="492"/>
      <c r="AB61" s="492"/>
      <c r="AC61" s="492"/>
      <c r="AD61" s="492"/>
      <c r="AE61" s="495"/>
      <c r="AF61" s="495"/>
      <c r="AG61" s="495"/>
      <c r="AH61" s="495"/>
      <c r="AI61" s="495"/>
      <c r="AJ61" s="495"/>
      <c r="AK61" s="495"/>
      <c r="AL61" s="495"/>
      <c r="AM61" s="495"/>
    </row>
    <row r="62" spans="3:39">
      <c r="C62" s="492"/>
      <c r="D62" s="492"/>
      <c r="E62" s="492"/>
      <c r="F62" s="492"/>
      <c r="G62" s="492"/>
      <c r="H62" s="492"/>
      <c r="I62" s="492"/>
      <c r="J62" s="492"/>
      <c r="K62" s="492"/>
      <c r="L62" s="492"/>
      <c r="M62" s="492"/>
      <c r="N62" s="492"/>
      <c r="O62" s="492"/>
      <c r="P62" s="492"/>
      <c r="Q62" s="492"/>
      <c r="R62" s="492"/>
      <c r="S62" s="492"/>
      <c r="T62" s="492"/>
      <c r="U62" s="492"/>
      <c r="V62" s="492"/>
      <c r="W62" s="492"/>
      <c r="X62" s="492"/>
      <c r="Y62" s="492"/>
      <c r="Z62" s="492"/>
      <c r="AA62" s="492"/>
      <c r="AB62" s="492"/>
      <c r="AC62" s="492"/>
      <c r="AD62" s="492"/>
    </row>
    <row r="63" spans="3:39">
      <c r="C63" s="492"/>
      <c r="D63" s="492"/>
      <c r="E63" s="492"/>
      <c r="F63" s="492"/>
      <c r="G63" s="492"/>
      <c r="H63" s="492"/>
      <c r="I63" s="492"/>
      <c r="J63" s="492"/>
      <c r="K63" s="492"/>
      <c r="L63" s="492"/>
      <c r="M63" s="492"/>
      <c r="N63" s="492"/>
      <c r="O63" s="492"/>
      <c r="P63" s="492"/>
      <c r="Q63" s="492"/>
      <c r="R63" s="492"/>
      <c r="S63" s="492"/>
      <c r="T63" s="492"/>
      <c r="U63" s="492"/>
      <c r="V63" s="492"/>
      <c r="W63" s="492"/>
      <c r="X63" s="492"/>
      <c r="Y63" s="492"/>
      <c r="Z63" s="492"/>
      <c r="AA63" s="492"/>
      <c r="AB63" s="492"/>
      <c r="AC63" s="492"/>
      <c r="AD63" s="492"/>
    </row>
    <row r="64" spans="3:39">
      <c r="C64" s="492"/>
      <c r="D64" s="492"/>
      <c r="E64" s="492"/>
      <c r="F64" s="492"/>
      <c r="G64" s="492"/>
      <c r="H64" s="492"/>
      <c r="I64" s="492"/>
      <c r="J64" s="492"/>
      <c r="K64" s="492"/>
      <c r="L64" s="492"/>
      <c r="M64" s="492"/>
      <c r="N64" s="492"/>
      <c r="O64" s="492"/>
      <c r="P64" s="492"/>
      <c r="Q64" s="492"/>
      <c r="R64" s="492"/>
      <c r="S64" s="492"/>
      <c r="T64" s="492"/>
      <c r="U64" s="492"/>
      <c r="V64" s="492"/>
      <c r="W64" s="492"/>
      <c r="X64" s="492"/>
      <c r="Y64" s="492"/>
      <c r="Z64" s="492"/>
      <c r="AA64" s="492"/>
      <c r="AB64" s="492"/>
      <c r="AC64" s="492"/>
      <c r="AD64" s="492"/>
    </row>
    <row r="65" spans="3:33">
      <c r="C65" s="492"/>
      <c r="D65" s="492"/>
      <c r="E65" s="492"/>
      <c r="F65" s="492"/>
      <c r="G65" s="492"/>
      <c r="H65" s="492"/>
      <c r="I65" s="492"/>
      <c r="J65" s="492"/>
      <c r="K65" s="492"/>
      <c r="L65" s="492"/>
      <c r="M65" s="492"/>
      <c r="N65" s="492"/>
      <c r="O65" s="492"/>
      <c r="P65" s="492"/>
      <c r="Q65" s="492"/>
      <c r="R65" s="492"/>
      <c r="S65" s="492"/>
      <c r="T65" s="492"/>
      <c r="U65" s="492"/>
      <c r="V65" s="492"/>
      <c r="W65" s="492"/>
      <c r="X65" s="492"/>
      <c r="Y65" s="492"/>
      <c r="Z65" s="492"/>
      <c r="AA65" s="492"/>
      <c r="AB65" s="492"/>
      <c r="AC65" s="492"/>
      <c r="AD65" s="492"/>
    </row>
    <row r="66" spans="3:33">
      <c r="C66" s="492"/>
      <c r="D66" s="492"/>
      <c r="E66" s="492"/>
      <c r="F66" s="492"/>
      <c r="G66" s="492"/>
      <c r="H66" s="492"/>
      <c r="I66" s="492"/>
      <c r="J66" s="492"/>
      <c r="K66" s="492"/>
      <c r="L66" s="492"/>
      <c r="M66" s="492"/>
      <c r="N66" s="492"/>
      <c r="O66" s="492"/>
      <c r="P66" s="492"/>
      <c r="Q66" s="492"/>
      <c r="R66" s="492"/>
      <c r="S66" s="492"/>
      <c r="T66" s="492"/>
      <c r="U66" s="492"/>
      <c r="V66" s="492"/>
      <c r="W66" s="492"/>
      <c r="X66" s="492"/>
      <c r="Y66" s="492"/>
      <c r="Z66" s="492"/>
      <c r="AA66" s="492"/>
      <c r="AB66" s="492"/>
      <c r="AC66" s="492"/>
      <c r="AD66" s="492"/>
    </row>
    <row r="67" spans="3:33">
      <c r="C67" s="492"/>
      <c r="D67" s="492"/>
      <c r="E67" s="492"/>
      <c r="F67" s="492"/>
      <c r="G67" s="492"/>
      <c r="H67" s="492"/>
      <c r="I67" s="492"/>
      <c r="J67" s="492"/>
      <c r="K67" s="492"/>
      <c r="L67" s="492"/>
      <c r="M67" s="492"/>
      <c r="N67" s="492"/>
      <c r="O67" s="492"/>
      <c r="P67" s="492"/>
      <c r="Q67" s="492"/>
      <c r="R67" s="492"/>
      <c r="S67" s="492"/>
      <c r="T67" s="492"/>
      <c r="U67" s="492"/>
      <c r="V67" s="492"/>
      <c r="W67" s="492"/>
      <c r="X67" s="492"/>
      <c r="Y67" s="492"/>
      <c r="Z67" s="492"/>
      <c r="AA67" s="492"/>
      <c r="AB67" s="492"/>
      <c r="AC67" s="492"/>
      <c r="AD67" s="492"/>
    </row>
    <row r="68" spans="3:33">
      <c r="C68" s="492"/>
      <c r="D68" s="492"/>
      <c r="E68" s="492"/>
      <c r="F68" s="492"/>
      <c r="G68" s="492"/>
      <c r="H68" s="492"/>
      <c r="I68" s="492"/>
      <c r="J68" s="492"/>
      <c r="K68" s="492"/>
      <c r="L68" s="492"/>
      <c r="M68" s="492"/>
      <c r="N68" s="492"/>
      <c r="O68" s="492"/>
      <c r="P68" s="492"/>
      <c r="Q68" s="492"/>
      <c r="R68" s="492"/>
      <c r="S68" s="492"/>
      <c r="T68" s="492"/>
      <c r="U68" s="492"/>
      <c r="V68" s="492"/>
      <c r="W68" s="492"/>
      <c r="X68" s="492"/>
      <c r="Y68" s="492"/>
      <c r="Z68" s="492"/>
      <c r="AA68" s="492"/>
      <c r="AB68" s="492"/>
      <c r="AC68" s="492"/>
      <c r="AD68" s="492"/>
    </row>
    <row r="69" spans="3:33">
      <c r="C69" s="492"/>
      <c r="D69" s="492"/>
      <c r="E69" s="492"/>
      <c r="F69" s="492"/>
      <c r="G69" s="492"/>
      <c r="H69" s="492"/>
      <c r="I69" s="492"/>
      <c r="J69" s="492"/>
      <c r="K69" s="492"/>
      <c r="L69" s="492"/>
      <c r="M69" s="492"/>
      <c r="N69" s="492"/>
      <c r="O69" s="492"/>
      <c r="P69" s="492"/>
      <c r="Q69" s="492"/>
      <c r="R69" s="492"/>
      <c r="S69" s="492"/>
      <c r="T69" s="492"/>
      <c r="U69" s="492"/>
      <c r="V69" s="492"/>
      <c r="W69" s="492"/>
      <c r="X69" s="492"/>
      <c r="Y69" s="492"/>
      <c r="Z69" s="492"/>
      <c r="AA69" s="492"/>
      <c r="AB69" s="492"/>
      <c r="AC69" s="492"/>
      <c r="AD69" s="492"/>
      <c r="AG69" s="494"/>
    </row>
    <row r="70" spans="3:33">
      <c r="C70" s="492"/>
      <c r="D70" s="492"/>
      <c r="E70" s="492"/>
      <c r="F70" s="492"/>
      <c r="G70" s="492"/>
      <c r="H70" s="492"/>
      <c r="I70" s="492"/>
      <c r="J70" s="492"/>
      <c r="K70" s="492"/>
      <c r="L70" s="492"/>
      <c r="M70" s="492"/>
      <c r="N70" s="492"/>
      <c r="O70" s="492"/>
      <c r="P70" s="492"/>
      <c r="Q70" s="492"/>
      <c r="R70" s="492"/>
      <c r="S70" s="492"/>
      <c r="T70" s="492"/>
      <c r="U70" s="492"/>
      <c r="V70" s="492"/>
      <c r="W70" s="492"/>
      <c r="X70" s="492"/>
      <c r="Y70" s="492"/>
      <c r="Z70" s="492"/>
      <c r="AA70" s="492"/>
      <c r="AB70" s="492"/>
      <c r="AC70" s="492"/>
      <c r="AD70" s="492"/>
    </row>
    <row r="71" spans="3:33">
      <c r="C71" s="492"/>
      <c r="D71" s="492"/>
      <c r="E71" s="492"/>
      <c r="F71" s="492"/>
      <c r="G71" s="492"/>
      <c r="H71" s="492"/>
      <c r="I71" s="492"/>
      <c r="J71" s="492"/>
      <c r="K71" s="492"/>
      <c r="L71" s="492"/>
      <c r="M71" s="492"/>
      <c r="N71" s="492"/>
      <c r="O71" s="492"/>
      <c r="P71" s="492"/>
      <c r="Q71" s="492"/>
      <c r="R71" s="492"/>
      <c r="S71" s="492"/>
      <c r="T71" s="492"/>
      <c r="U71" s="492"/>
      <c r="V71" s="492"/>
      <c r="W71" s="492"/>
      <c r="X71" s="492"/>
      <c r="Y71" s="492"/>
      <c r="Z71" s="492"/>
      <c r="AA71" s="492"/>
      <c r="AB71" s="492"/>
      <c r="AC71" s="492"/>
      <c r="AD71" s="492"/>
    </row>
    <row r="72" spans="3:33">
      <c r="C72" s="492"/>
      <c r="D72" s="492"/>
      <c r="E72" s="492"/>
      <c r="F72" s="492"/>
      <c r="G72" s="492"/>
      <c r="H72" s="492"/>
      <c r="I72" s="492"/>
      <c r="J72" s="492"/>
      <c r="K72" s="492"/>
      <c r="L72" s="492"/>
      <c r="M72" s="492"/>
      <c r="N72" s="492"/>
      <c r="O72" s="492"/>
      <c r="P72" s="492"/>
      <c r="Q72" s="492"/>
      <c r="R72" s="492"/>
      <c r="S72" s="492"/>
      <c r="T72" s="492"/>
      <c r="U72" s="492"/>
      <c r="V72" s="492"/>
      <c r="W72" s="492"/>
      <c r="X72" s="492"/>
      <c r="Y72" s="492"/>
      <c r="Z72" s="492"/>
      <c r="AA72" s="492"/>
      <c r="AB72" s="492"/>
      <c r="AC72" s="492"/>
      <c r="AD72" s="492"/>
    </row>
    <row r="73" spans="3:33">
      <c r="C73" s="492"/>
      <c r="D73" s="492"/>
      <c r="E73" s="492"/>
      <c r="F73" s="492"/>
      <c r="G73" s="492"/>
      <c r="H73" s="492"/>
      <c r="I73" s="492"/>
      <c r="J73" s="492"/>
      <c r="K73" s="492"/>
      <c r="L73" s="492"/>
      <c r="M73" s="492"/>
      <c r="N73" s="492"/>
      <c r="O73" s="492"/>
      <c r="P73" s="492"/>
      <c r="Q73" s="492"/>
      <c r="R73" s="492"/>
      <c r="S73" s="492"/>
      <c r="T73" s="492"/>
      <c r="U73" s="492"/>
      <c r="V73" s="492"/>
      <c r="W73" s="492"/>
      <c r="X73" s="492"/>
      <c r="Y73" s="492"/>
      <c r="Z73" s="492"/>
      <c r="AA73" s="492"/>
      <c r="AB73" s="492"/>
      <c r="AC73" s="492"/>
      <c r="AD73" s="492"/>
    </row>
    <row r="74" spans="3:33">
      <c r="C74" s="492"/>
      <c r="D74" s="492"/>
      <c r="E74" s="492"/>
      <c r="F74" s="492"/>
      <c r="G74" s="492"/>
      <c r="H74" s="492"/>
      <c r="I74" s="492"/>
      <c r="J74" s="492"/>
      <c r="K74" s="492"/>
      <c r="L74" s="492"/>
      <c r="M74" s="492"/>
      <c r="N74" s="492"/>
      <c r="O74" s="492"/>
      <c r="P74" s="492"/>
      <c r="Q74" s="492"/>
      <c r="R74" s="492"/>
      <c r="S74" s="492"/>
      <c r="T74" s="492"/>
      <c r="U74" s="492"/>
      <c r="V74" s="492"/>
      <c r="W74" s="492"/>
      <c r="X74" s="492"/>
      <c r="Y74" s="492"/>
      <c r="Z74" s="492"/>
      <c r="AA74" s="492"/>
      <c r="AB74" s="492"/>
      <c r="AC74" s="492"/>
      <c r="AD74" s="492"/>
    </row>
    <row r="75" spans="3:33">
      <c r="C75" s="492"/>
      <c r="D75" s="492"/>
      <c r="E75" s="492"/>
      <c r="F75" s="492"/>
      <c r="G75" s="492"/>
      <c r="H75" s="492"/>
      <c r="I75" s="492"/>
      <c r="J75" s="492"/>
      <c r="K75" s="492"/>
      <c r="L75" s="492"/>
      <c r="M75" s="492"/>
      <c r="N75" s="492"/>
      <c r="O75" s="492"/>
      <c r="P75" s="492"/>
      <c r="Q75" s="492"/>
      <c r="R75" s="492"/>
      <c r="S75" s="492"/>
      <c r="T75" s="492"/>
      <c r="U75" s="492"/>
      <c r="V75" s="492"/>
      <c r="W75" s="492"/>
      <c r="X75" s="492"/>
      <c r="Y75" s="492"/>
      <c r="Z75" s="492"/>
      <c r="AA75" s="492"/>
      <c r="AB75" s="492"/>
      <c r="AC75" s="492"/>
      <c r="AD75" s="492"/>
    </row>
    <row r="76" spans="3:33">
      <c r="C76" s="492"/>
      <c r="D76" s="492"/>
      <c r="E76" s="492"/>
      <c r="F76" s="492"/>
      <c r="G76" s="492"/>
      <c r="H76" s="492"/>
      <c r="I76" s="492"/>
      <c r="J76" s="492"/>
      <c r="K76" s="492"/>
      <c r="L76" s="492"/>
      <c r="M76" s="492"/>
      <c r="N76" s="492"/>
      <c r="O76" s="492"/>
      <c r="P76" s="492"/>
      <c r="Q76" s="492"/>
      <c r="R76" s="492"/>
      <c r="S76" s="492"/>
      <c r="T76" s="492"/>
      <c r="U76" s="492"/>
      <c r="V76" s="492"/>
      <c r="W76" s="492"/>
      <c r="X76" s="492"/>
      <c r="Y76" s="492"/>
      <c r="Z76" s="492"/>
      <c r="AA76" s="492"/>
      <c r="AB76" s="492"/>
      <c r="AC76" s="492"/>
      <c r="AD76" s="492"/>
    </row>
    <row r="77" spans="3:33">
      <c r="C77" s="492"/>
      <c r="D77" s="492"/>
      <c r="E77" s="492"/>
      <c r="F77" s="492"/>
      <c r="G77" s="492"/>
      <c r="H77" s="492"/>
      <c r="I77" s="492"/>
      <c r="J77" s="492"/>
      <c r="K77" s="492"/>
      <c r="L77" s="492"/>
      <c r="M77" s="492"/>
      <c r="N77" s="492"/>
      <c r="O77" s="492"/>
      <c r="P77" s="492"/>
      <c r="Q77" s="492"/>
      <c r="R77" s="492"/>
      <c r="S77" s="492"/>
      <c r="T77" s="492"/>
      <c r="U77" s="492"/>
      <c r="V77" s="492"/>
      <c r="W77" s="492"/>
      <c r="X77" s="492"/>
      <c r="Y77" s="492"/>
      <c r="Z77" s="492"/>
      <c r="AA77" s="492"/>
      <c r="AB77" s="492"/>
      <c r="AC77" s="492"/>
      <c r="AD77" s="492"/>
    </row>
    <row r="78" spans="3:33">
      <c r="C78" s="492"/>
      <c r="D78" s="492"/>
      <c r="E78" s="492"/>
      <c r="F78" s="492"/>
      <c r="G78" s="492"/>
      <c r="H78" s="492"/>
      <c r="I78" s="492"/>
      <c r="J78" s="492"/>
      <c r="K78" s="492"/>
      <c r="L78" s="492"/>
      <c r="M78" s="492"/>
      <c r="N78" s="492"/>
      <c r="O78" s="492"/>
      <c r="P78" s="492"/>
      <c r="Q78" s="492"/>
      <c r="R78" s="492"/>
      <c r="S78" s="492"/>
      <c r="T78" s="492"/>
      <c r="U78" s="492"/>
      <c r="V78" s="492"/>
      <c r="W78" s="492"/>
      <c r="X78" s="492"/>
      <c r="Y78" s="492"/>
      <c r="Z78" s="492"/>
      <c r="AA78" s="492"/>
      <c r="AB78" s="492"/>
      <c r="AC78" s="492"/>
      <c r="AD78" s="492"/>
    </row>
    <row r="79" spans="3:33">
      <c r="C79" s="492"/>
      <c r="D79" s="492"/>
      <c r="E79" s="492"/>
      <c r="F79" s="492"/>
      <c r="G79" s="492"/>
      <c r="H79" s="492"/>
      <c r="I79" s="492"/>
      <c r="J79" s="492"/>
      <c r="K79" s="492"/>
      <c r="L79" s="492"/>
      <c r="M79" s="492"/>
      <c r="N79" s="492"/>
      <c r="O79" s="492"/>
      <c r="P79" s="492"/>
      <c r="Q79" s="492"/>
      <c r="R79" s="492"/>
      <c r="S79" s="492"/>
      <c r="T79" s="492"/>
      <c r="U79" s="492"/>
      <c r="V79" s="492"/>
      <c r="W79" s="492"/>
      <c r="X79" s="492"/>
      <c r="Y79" s="492"/>
      <c r="Z79" s="492"/>
      <c r="AA79" s="492"/>
      <c r="AB79" s="492"/>
      <c r="AC79" s="492"/>
      <c r="AD79" s="492"/>
    </row>
    <row r="80" spans="3:33">
      <c r="C80" s="492"/>
      <c r="D80" s="492"/>
      <c r="E80" s="492"/>
      <c r="F80" s="492"/>
      <c r="G80" s="492"/>
      <c r="H80" s="492"/>
      <c r="I80" s="492"/>
      <c r="J80" s="492"/>
      <c r="K80" s="492"/>
      <c r="L80" s="492"/>
      <c r="M80" s="492"/>
      <c r="N80" s="492"/>
      <c r="O80" s="492"/>
      <c r="P80" s="492"/>
      <c r="Q80" s="492"/>
      <c r="R80" s="492"/>
      <c r="S80" s="492"/>
      <c r="T80" s="492"/>
      <c r="U80" s="492"/>
      <c r="V80" s="492"/>
      <c r="W80" s="492"/>
      <c r="X80" s="492"/>
      <c r="Y80" s="492"/>
      <c r="Z80" s="492"/>
      <c r="AA80" s="492"/>
      <c r="AB80" s="492"/>
      <c r="AC80" s="492"/>
      <c r="AD80" s="492"/>
    </row>
    <row r="81" spans="3:30">
      <c r="C81" s="492"/>
      <c r="D81" s="492"/>
      <c r="E81" s="492"/>
      <c r="F81" s="492"/>
      <c r="G81" s="492"/>
      <c r="H81" s="492"/>
      <c r="I81" s="492"/>
      <c r="J81" s="492"/>
      <c r="K81" s="492"/>
      <c r="L81" s="492"/>
      <c r="M81" s="492"/>
      <c r="N81" s="492"/>
      <c r="O81" s="492"/>
      <c r="P81" s="492"/>
      <c r="Q81" s="492"/>
      <c r="R81" s="492"/>
      <c r="S81" s="492"/>
      <c r="T81" s="492"/>
      <c r="U81" s="492"/>
      <c r="V81" s="492"/>
      <c r="W81" s="492"/>
      <c r="X81" s="492"/>
      <c r="Y81" s="492"/>
      <c r="Z81" s="492"/>
      <c r="AA81" s="492"/>
      <c r="AB81" s="492"/>
      <c r="AC81" s="492"/>
      <c r="AD81" s="492"/>
    </row>
    <row r="82" spans="3:30">
      <c r="C82" s="492"/>
      <c r="D82" s="492"/>
      <c r="E82" s="492"/>
      <c r="F82" s="492"/>
      <c r="G82" s="492"/>
      <c r="H82" s="492"/>
      <c r="I82" s="492"/>
      <c r="J82" s="492"/>
      <c r="K82" s="492"/>
      <c r="L82" s="492"/>
      <c r="M82" s="492"/>
      <c r="N82" s="492"/>
      <c r="O82" s="492"/>
      <c r="P82" s="492"/>
      <c r="Q82" s="492"/>
      <c r="R82" s="492"/>
      <c r="S82" s="492"/>
      <c r="T82" s="492"/>
      <c r="U82" s="492"/>
      <c r="V82" s="492"/>
      <c r="W82" s="492"/>
      <c r="X82" s="492"/>
      <c r="Y82" s="492"/>
      <c r="Z82" s="492"/>
      <c r="AA82" s="492"/>
      <c r="AB82" s="492"/>
      <c r="AC82" s="492"/>
      <c r="AD82" s="492"/>
    </row>
    <row r="83" spans="3:30">
      <c r="C83" s="492"/>
      <c r="D83" s="492"/>
      <c r="E83" s="492"/>
      <c r="F83" s="492"/>
      <c r="G83" s="492"/>
      <c r="H83" s="492"/>
      <c r="I83" s="492"/>
      <c r="J83" s="492"/>
      <c r="K83" s="492"/>
      <c r="L83" s="492"/>
      <c r="M83" s="492"/>
      <c r="N83" s="492"/>
      <c r="O83" s="492"/>
      <c r="P83" s="492"/>
      <c r="Q83" s="492"/>
      <c r="R83" s="492"/>
      <c r="S83" s="492"/>
      <c r="T83" s="492"/>
      <c r="U83" s="492"/>
      <c r="V83" s="492"/>
      <c r="W83" s="492"/>
      <c r="X83" s="492"/>
      <c r="Y83" s="492"/>
      <c r="Z83" s="492"/>
      <c r="AA83" s="492"/>
      <c r="AB83" s="492"/>
      <c r="AC83" s="492"/>
      <c r="AD83" s="492"/>
    </row>
    <row r="84" spans="3:30">
      <c r="C84" s="492"/>
      <c r="D84" s="492"/>
      <c r="E84" s="492"/>
      <c r="F84" s="492"/>
      <c r="G84" s="492"/>
      <c r="H84" s="492"/>
      <c r="I84" s="492"/>
      <c r="J84" s="492"/>
      <c r="K84" s="492"/>
      <c r="L84" s="492"/>
      <c r="M84" s="492"/>
      <c r="N84" s="492"/>
      <c r="O84" s="492"/>
      <c r="P84" s="492"/>
      <c r="Q84" s="492"/>
      <c r="R84" s="492"/>
      <c r="S84" s="492"/>
      <c r="T84" s="492"/>
      <c r="U84" s="492"/>
      <c r="V84" s="492"/>
      <c r="W84" s="492"/>
      <c r="X84" s="492"/>
      <c r="Y84" s="492"/>
      <c r="Z84" s="492"/>
      <c r="AA84" s="492"/>
      <c r="AB84" s="492"/>
      <c r="AC84" s="492"/>
      <c r="AD84" s="492"/>
    </row>
    <row r="85" spans="3:30">
      <c r="C85" s="492"/>
      <c r="D85" s="492"/>
      <c r="E85" s="492"/>
      <c r="F85" s="492"/>
      <c r="G85" s="492"/>
      <c r="H85" s="492"/>
      <c r="I85" s="492"/>
      <c r="J85" s="492"/>
      <c r="K85" s="492"/>
      <c r="L85" s="492"/>
      <c r="M85" s="492"/>
      <c r="N85" s="492"/>
      <c r="O85" s="492"/>
      <c r="P85" s="492"/>
      <c r="Q85" s="492"/>
      <c r="R85" s="492"/>
      <c r="S85" s="492"/>
      <c r="T85" s="492"/>
      <c r="U85" s="492"/>
      <c r="V85" s="492"/>
      <c r="W85" s="492"/>
      <c r="X85" s="492"/>
      <c r="Y85" s="492"/>
      <c r="Z85" s="492"/>
      <c r="AA85" s="492"/>
      <c r="AB85" s="492"/>
      <c r="AC85" s="492"/>
      <c r="AD85" s="492"/>
    </row>
    <row r="86" spans="3:30" ht="14.45" customHeight="1">
      <c r="C86" s="492"/>
      <c r="D86" s="492"/>
      <c r="E86" s="492"/>
      <c r="F86" s="492"/>
      <c r="G86" s="492"/>
      <c r="H86" s="492"/>
      <c r="I86" s="492"/>
      <c r="J86" s="492"/>
      <c r="K86" s="492"/>
      <c r="L86" s="492"/>
      <c r="M86" s="492"/>
      <c r="N86" s="492"/>
      <c r="O86" s="492"/>
      <c r="P86" s="492"/>
      <c r="Q86" s="492"/>
      <c r="R86" s="492"/>
      <c r="S86" s="492"/>
      <c r="T86" s="492"/>
      <c r="U86" s="492"/>
      <c r="V86" s="492"/>
      <c r="W86" s="492"/>
      <c r="X86" s="492"/>
      <c r="Y86" s="492"/>
      <c r="Z86" s="492"/>
      <c r="AA86" s="492"/>
      <c r="AB86" s="492"/>
      <c r="AC86" s="492"/>
      <c r="AD86" s="492"/>
    </row>
    <row r="87" spans="3:30" ht="14.45" customHeight="1">
      <c r="C87" s="492"/>
      <c r="D87" s="492"/>
      <c r="E87" s="492"/>
      <c r="F87" s="492"/>
      <c r="G87" s="492"/>
      <c r="H87" s="492"/>
      <c r="I87" s="492"/>
      <c r="J87" s="492"/>
      <c r="K87" s="492"/>
      <c r="L87" s="492"/>
      <c r="M87" s="492"/>
      <c r="N87" s="492"/>
      <c r="O87" s="492"/>
      <c r="P87" s="492"/>
      <c r="Q87" s="492"/>
      <c r="R87" s="492"/>
      <c r="S87" s="492"/>
      <c r="T87" s="492"/>
      <c r="U87" s="492"/>
      <c r="V87" s="492"/>
      <c r="W87" s="492"/>
      <c r="X87" s="492"/>
      <c r="Y87" s="492"/>
      <c r="Z87" s="492"/>
      <c r="AA87" s="492"/>
      <c r="AB87" s="492"/>
      <c r="AC87" s="492"/>
      <c r="AD87" s="492"/>
    </row>
    <row r="88" spans="3:30" ht="14.45" customHeight="1">
      <c r="C88" s="492"/>
      <c r="D88" s="492"/>
      <c r="E88" s="492"/>
      <c r="F88" s="492"/>
      <c r="G88" s="492"/>
      <c r="H88" s="492"/>
      <c r="I88" s="492"/>
      <c r="J88" s="492"/>
      <c r="K88" s="492"/>
      <c r="L88" s="492"/>
      <c r="M88" s="492"/>
      <c r="N88" s="492"/>
      <c r="O88" s="492"/>
      <c r="P88" s="492"/>
      <c r="Q88" s="492"/>
      <c r="R88" s="492"/>
      <c r="S88" s="492"/>
      <c r="T88" s="492"/>
      <c r="U88" s="492"/>
      <c r="V88" s="492"/>
      <c r="W88" s="492"/>
      <c r="X88" s="492"/>
      <c r="Y88" s="492"/>
      <c r="Z88" s="492"/>
      <c r="AA88" s="492"/>
      <c r="AB88" s="492"/>
      <c r="AC88" s="492"/>
      <c r="AD88" s="492"/>
    </row>
    <row r="89" spans="3:30" ht="14.45" customHeight="1">
      <c r="C89" s="492"/>
      <c r="D89" s="492"/>
      <c r="E89" s="492"/>
      <c r="F89" s="492"/>
      <c r="G89" s="492"/>
      <c r="H89" s="492"/>
      <c r="I89" s="492"/>
      <c r="J89" s="492"/>
      <c r="K89" s="492"/>
      <c r="L89" s="492"/>
      <c r="M89" s="492"/>
      <c r="N89" s="492"/>
      <c r="O89" s="492"/>
      <c r="P89" s="492"/>
      <c r="Q89" s="492"/>
      <c r="R89" s="492"/>
      <c r="S89" s="492"/>
      <c r="T89" s="492"/>
      <c r="U89" s="492"/>
      <c r="V89" s="492"/>
      <c r="W89" s="492"/>
      <c r="X89" s="492"/>
      <c r="Y89" s="492"/>
      <c r="Z89" s="492"/>
      <c r="AA89" s="492"/>
      <c r="AB89" s="492"/>
      <c r="AC89" s="492"/>
      <c r="AD89" s="492"/>
    </row>
    <row r="90" spans="3:30" ht="14.45" customHeight="1">
      <c r="C90" s="492"/>
      <c r="D90" s="492"/>
      <c r="E90" s="492"/>
      <c r="F90" s="492"/>
      <c r="G90" s="492"/>
      <c r="H90" s="492"/>
      <c r="I90" s="492"/>
      <c r="J90" s="492"/>
      <c r="K90" s="492"/>
      <c r="L90" s="492"/>
      <c r="M90" s="492"/>
      <c r="N90" s="492"/>
      <c r="O90" s="492"/>
      <c r="P90" s="492"/>
      <c r="Q90" s="492"/>
      <c r="R90" s="492"/>
      <c r="S90" s="492"/>
      <c r="T90" s="492"/>
      <c r="U90" s="492"/>
      <c r="V90" s="492"/>
      <c r="W90" s="492"/>
      <c r="X90" s="492"/>
      <c r="Y90" s="492"/>
      <c r="Z90" s="492"/>
      <c r="AA90" s="492"/>
      <c r="AB90" s="492"/>
      <c r="AC90" s="492"/>
      <c r="AD90" s="492"/>
    </row>
    <row r="91" spans="3:30" ht="14.45" customHeight="1">
      <c r="C91" s="492"/>
      <c r="D91" s="492"/>
      <c r="E91" s="492"/>
      <c r="F91" s="492"/>
      <c r="G91" s="492"/>
      <c r="H91" s="492"/>
      <c r="I91" s="492"/>
      <c r="J91" s="492"/>
      <c r="K91" s="492"/>
      <c r="L91" s="492"/>
      <c r="M91" s="492"/>
      <c r="N91" s="492"/>
      <c r="O91" s="492"/>
      <c r="P91" s="492"/>
      <c r="Q91" s="492"/>
      <c r="R91" s="492"/>
      <c r="S91" s="492"/>
      <c r="T91" s="492"/>
      <c r="U91" s="492"/>
      <c r="V91" s="492"/>
      <c r="W91" s="492"/>
      <c r="X91" s="492"/>
      <c r="Y91" s="492"/>
      <c r="Z91" s="492"/>
      <c r="AA91" s="492"/>
      <c r="AB91" s="492"/>
      <c r="AC91" s="492"/>
      <c r="AD91" s="492"/>
    </row>
    <row r="92" spans="3:30" ht="14.45" customHeight="1">
      <c r="C92" s="492"/>
      <c r="D92" s="492"/>
      <c r="E92" s="492"/>
      <c r="F92" s="492"/>
      <c r="G92" s="492"/>
      <c r="H92" s="492"/>
      <c r="I92" s="492"/>
      <c r="J92" s="492"/>
      <c r="K92" s="492"/>
      <c r="L92" s="492"/>
      <c r="M92" s="492"/>
      <c r="N92" s="492"/>
      <c r="O92" s="492"/>
      <c r="P92" s="492"/>
      <c r="Q92" s="492"/>
      <c r="R92" s="492"/>
      <c r="S92" s="492"/>
      <c r="T92" s="492"/>
      <c r="U92" s="492"/>
      <c r="V92" s="492"/>
      <c r="W92" s="492"/>
      <c r="X92" s="492"/>
      <c r="Y92" s="492"/>
      <c r="Z92" s="492"/>
      <c r="AA92" s="492"/>
      <c r="AB92" s="492"/>
      <c r="AC92" s="492"/>
      <c r="AD92" s="492"/>
    </row>
    <row r="93" spans="3:30" ht="14.45" customHeight="1">
      <c r="C93" s="492"/>
      <c r="D93" s="492"/>
      <c r="E93" s="492"/>
      <c r="F93" s="492"/>
      <c r="G93" s="492"/>
      <c r="H93" s="492"/>
      <c r="I93" s="492"/>
      <c r="J93" s="492"/>
      <c r="K93" s="492"/>
      <c r="L93" s="492"/>
      <c r="M93" s="492"/>
      <c r="N93" s="492"/>
      <c r="O93" s="492"/>
      <c r="P93" s="492"/>
      <c r="Q93" s="492"/>
      <c r="R93" s="492"/>
      <c r="S93" s="492"/>
      <c r="T93" s="492"/>
      <c r="U93" s="492"/>
      <c r="V93" s="492"/>
      <c r="W93" s="492"/>
      <c r="X93" s="492"/>
      <c r="Y93" s="492"/>
      <c r="Z93" s="492"/>
      <c r="AA93" s="492"/>
      <c r="AB93" s="492"/>
      <c r="AC93" s="492"/>
      <c r="AD93" s="492"/>
    </row>
    <row r="94" spans="3:30" ht="14.45" customHeight="1">
      <c r="C94" s="492"/>
      <c r="D94" s="492"/>
      <c r="E94" s="492"/>
      <c r="F94" s="492"/>
      <c r="G94" s="492"/>
      <c r="H94" s="492"/>
      <c r="I94" s="492"/>
      <c r="J94" s="492"/>
      <c r="K94" s="492"/>
      <c r="L94" s="492"/>
      <c r="M94" s="492"/>
      <c r="N94" s="492"/>
      <c r="O94" s="492"/>
      <c r="P94" s="492"/>
      <c r="Q94" s="492"/>
      <c r="R94" s="492"/>
      <c r="S94" s="492"/>
      <c r="T94" s="492"/>
      <c r="U94" s="492"/>
      <c r="V94" s="492"/>
      <c r="W94" s="492"/>
      <c r="X94" s="492"/>
      <c r="Y94" s="492"/>
      <c r="Z94" s="492"/>
      <c r="AA94" s="492"/>
      <c r="AB94" s="492"/>
      <c r="AC94" s="492"/>
      <c r="AD94" s="492"/>
    </row>
    <row r="95" spans="3:30" ht="14.45" customHeight="1">
      <c r="C95" s="492"/>
      <c r="D95" s="492"/>
      <c r="E95" s="492"/>
      <c r="F95" s="492"/>
      <c r="G95" s="492"/>
      <c r="H95" s="492"/>
      <c r="I95" s="492"/>
      <c r="J95" s="492"/>
      <c r="K95" s="492"/>
      <c r="L95" s="492"/>
      <c r="M95" s="492"/>
      <c r="N95" s="492"/>
      <c r="O95" s="492"/>
      <c r="P95" s="492"/>
      <c r="Q95" s="492"/>
      <c r="R95" s="492"/>
      <c r="S95" s="492"/>
      <c r="T95" s="492"/>
      <c r="U95" s="492"/>
      <c r="V95" s="492"/>
      <c r="W95" s="492"/>
      <c r="X95" s="492"/>
      <c r="Y95" s="492"/>
      <c r="Z95" s="492"/>
      <c r="AA95" s="492"/>
      <c r="AB95" s="492"/>
      <c r="AC95" s="492"/>
      <c r="AD95" s="492"/>
    </row>
    <row r="96" spans="3:30" ht="14.45" customHeight="1">
      <c r="C96" s="492"/>
      <c r="D96" s="492"/>
      <c r="E96" s="492"/>
      <c r="F96" s="492"/>
      <c r="G96" s="492"/>
      <c r="H96" s="492"/>
      <c r="I96" s="492"/>
      <c r="J96" s="492"/>
      <c r="K96" s="492"/>
      <c r="L96" s="492"/>
      <c r="M96" s="492"/>
      <c r="N96" s="492"/>
      <c r="O96" s="492"/>
      <c r="P96" s="492"/>
      <c r="Q96" s="492"/>
      <c r="R96" s="492"/>
      <c r="S96" s="492"/>
      <c r="T96" s="492"/>
      <c r="U96" s="492"/>
      <c r="V96" s="492"/>
      <c r="W96" s="492"/>
      <c r="X96" s="492"/>
      <c r="Y96" s="492"/>
      <c r="Z96" s="492"/>
      <c r="AA96" s="492"/>
      <c r="AB96" s="492"/>
      <c r="AC96" s="492"/>
      <c r="AD96" s="492"/>
    </row>
    <row r="97" spans="3:30" ht="14.45" customHeight="1">
      <c r="C97" s="492"/>
      <c r="D97" s="492"/>
      <c r="E97" s="492"/>
      <c r="F97" s="492"/>
      <c r="G97" s="492"/>
      <c r="H97" s="492"/>
      <c r="I97" s="492"/>
      <c r="J97" s="492"/>
      <c r="K97" s="492"/>
      <c r="L97" s="492"/>
      <c r="M97" s="492"/>
      <c r="N97" s="492"/>
      <c r="O97" s="492"/>
      <c r="P97" s="492"/>
      <c r="Q97" s="492"/>
      <c r="R97" s="492"/>
      <c r="S97" s="492"/>
      <c r="T97" s="492"/>
      <c r="U97" s="492"/>
      <c r="V97" s="492"/>
      <c r="W97" s="492"/>
      <c r="X97" s="492"/>
      <c r="Y97" s="492"/>
      <c r="Z97" s="492"/>
      <c r="AA97" s="492"/>
      <c r="AB97" s="492"/>
      <c r="AC97" s="492"/>
      <c r="AD97" s="492"/>
    </row>
    <row r="98" spans="3:30" ht="14.45" customHeight="1">
      <c r="C98" s="492"/>
      <c r="D98" s="492"/>
      <c r="E98" s="492"/>
      <c r="F98" s="492"/>
      <c r="G98" s="492"/>
      <c r="H98" s="492"/>
      <c r="I98" s="492"/>
      <c r="J98" s="492"/>
      <c r="K98" s="492"/>
      <c r="L98" s="492"/>
      <c r="M98" s="492"/>
      <c r="N98" s="492"/>
      <c r="O98" s="492"/>
      <c r="P98" s="492"/>
      <c r="Q98" s="492"/>
      <c r="R98" s="492"/>
      <c r="S98" s="492"/>
      <c r="T98" s="492"/>
      <c r="U98" s="492"/>
      <c r="V98" s="492"/>
      <c r="W98" s="492"/>
      <c r="X98" s="492"/>
      <c r="Y98" s="492"/>
      <c r="Z98" s="492"/>
      <c r="AA98" s="492"/>
      <c r="AB98" s="492"/>
      <c r="AC98" s="492"/>
      <c r="AD98" s="492"/>
    </row>
    <row r="99" spans="3:30" ht="14.45" customHeight="1">
      <c r="C99" s="492"/>
      <c r="D99" s="492"/>
      <c r="E99" s="492"/>
      <c r="F99" s="492"/>
      <c r="G99" s="492"/>
      <c r="H99" s="492"/>
      <c r="I99" s="492"/>
      <c r="J99" s="492"/>
      <c r="K99" s="492"/>
      <c r="L99" s="492"/>
      <c r="M99" s="492"/>
      <c r="N99" s="492"/>
      <c r="O99" s="492"/>
      <c r="P99" s="492"/>
      <c r="Q99" s="492"/>
      <c r="R99" s="492"/>
      <c r="S99" s="492"/>
      <c r="T99" s="492"/>
      <c r="U99" s="492"/>
      <c r="V99" s="492"/>
      <c r="W99" s="492"/>
      <c r="X99" s="492"/>
      <c r="Y99" s="492"/>
      <c r="Z99" s="492"/>
      <c r="AA99" s="492"/>
      <c r="AB99" s="492"/>
      <c r="AC99" s="492"/>
      <c r="AD99" s="492"/>
    </row>
    <row r="100" spans="3:30" ht="14.45" customHeight="1">
      <c r="C100" s="492"/>
      <c r="D100" s="492"/>
      <c r="E100" s="492"/>
      <c r="F100" s="492"/>
      <c r="G100" s="492"/>
      <c r="H100" s="492"/>
      <c r="I100" s="492"/>
      <c r="J100" s="492"/>
      <c r="K100" s="492"/>
      <c r="L100" s="492"/>
      <c r="M100" s="492"/>
      <c r="N100" s="492"/>
      <c r="O100" s="492"/>
      <c r="P100" s="492"/>
      <c r="Q100" s="492"/>
      <c r="R100" s="492"/>
      <c r="S100" s="492"/>
      <c r="T100" s="492"/>
      <c r="U100" s="492"/>
      <c r="V100" s="492"/>
      <c r="W100" s="492"/>
      <c r="X100" s="492"/>
      <c r="Y100" s="492"/>
      <c r="Z100" s="492"/>
      <c r="AA100" s="492"/>
      <c r="AB100" s="492"/>
      <c r="AC100" s="492"/>
      <c r="AD100" s="492"/>
    </row>
    <row r="101" spans="3:30" ht="14.45" customHeight="1">
      <c r="C101" s="492"/>
      <c r="D101" s="492"/>
      <c r="E101" s="492"/>
      <c r="F101" s="492"/>
      <c r="G101" s="492"/>
      <c r="H101" s="492"/>
      <c r="I101" s="492"/>
      <c r="J101" s="492"/>
      <c r="K101" s="492"/>
      <c r="L101" s="492"/>
      <c r="M101" s="492"/>
      <c r="N101" s="492"/>
      <c r="O101" s="492"/>
      <c r="P101" s="492"/>
      <c r="Q101" s="492"/>
      <c r="R101" s="492"/>
      <c r="S101" s="492"/>
      <c r="T101" s="492"/>
      <c r="U101" s="492"/>
      <c r="V101" s="492"/>
      <c r="W101" s="492"/>
      <c r="X101" s="492"/>
      <c r="Y101" s="492"/>
      <c r="Z101" s="492"/>
      <c r="AA101" s="492"/>
      <c r="AB101" s="492"/>
      <c r="AC101" s="492"/>
      <c r="AD101" s="492"/>
    </row>
    <row r="102" spans="3:30" ht="14.45" customHeight="1">
      <c r="C102" s="492"/>
      <c r="D102" s="492"/>
      <c r="E102" s="492"/>
      <c r="F102" s="492"/>
      <c r="G102" s="492"/>
      <c r="H102" s="492"/>
      <c r="I102" s="492"/>
      <c r="J102" s="492"/>
      <c r="K102" s="492"/>
      <c r="L102" s="492"/>
      <c r="M102" s="492"/>
      <c r="N102" s="492"/>
      <c r="O102" s="492"/>
      <c r="P102" s="492"/>
      <c r="Q102" s="492"/>
      <c r="R102" s="492"/>
      <c r="S102" s="492"/>
      <c r="T102" s="492"/>
      <c r="U102" s="492"/>
      <c r="V102" s="492"/>
      <c r="W102" s="492"/>
      <c r="X102" s="492"/>
      <c r="Y102" s="492"/>
      <c r="Z102" s="492"/>
      <c r="AA102" s="492"/>
      <c r="AB102" s="492"/>
      <c r="AC102" s="492"/>
      <c r="AD102" s="492"/>
    </row>
    <row r="103" spans="3:30" ht="14.45" customHeight="1">
      <c r="C103" s="492"/>
      <c r="D103" s="492"/>
      <c r="E103" s="492"/>
      <c r="F103" s="492"/>
      <c r="G103" s="492"/>
      <c r="H103" s="492"/>
      <c r="I103" s="492"/>
      <c r="J103" s="492"/>
      <c r="K103" s="492"/>
      <c r="L103" s="492"/>
      <c r="M103" s="492"/>
      <c r="N103" s="492"/>
      <c r="O103" s="492"/>
      <c r="P103" s="492"/>
      <c r="Q103" s="492"/>
      <c r="R103" s="492"/>
      <c r="S103" s="492"/>
      <c r="T103" s="492"/>
      <c r="U103" s="492"/>
      <c r="V103" s="492"/>
      <c r="W103" s="492"/>
      <c r="X103" s="492"/>
      <c r="Y103" s="492"/>
      <c r="Z103" s="492"/>
      <c r="AA103" s="492"/>
      <c r="AB103" s="492"/>
      <c r="AC103" s="492"/>
      <c r="AD103" s="492"/>
    </row>
    <row r="104" spans="3:30" ht="14.45" customHeight="1">
      <c r="C104" s="492"/>
      <c r="D104" s="492"/>
      <c r="E104" s="492"/>
      <c r="F104" s="492"/>
      <c r="G104" s="492"/>
      <c r="H104" s="492"/>
      <c r="I104" s="492"/>
      <c r="J104" s="492"/>
      <c r="K104" s="492"/>
      <c r="L104" s="492"/>
      <c r="M104" s="492"/>
      <c r="N104" s="492"/>
      <c r="O104" s="492"/>
      <c r="P104" s="492"/>
      <c r="Q104" s="492"/>
      <c r="R104" s="492"/>
      <c r="S104" s="492"/>
      <c r="T104" s="492"/>
      <c r="U104" s="492"/>
      <c r="V104" s="492"/>
      <c r="W104" s="492"/>
      <c r="X104" s="492"/>
      <c r="Y104" s="492"/>
      <c r="Z104" s="492"/>
      <c r="AA104" s="492"/>
      <c r="AB104" s="492"/>
      <c r="AC104" s="492"/>
      <c r="AD104" s="492"/>
    </row>
    <row r="105" spans="3:30" ht="14.45" customHeight="1">
      <c r="C105" s="492"/>
      <c r="D105" s="492"/>
      <c r="E105" s="492"/>
      <c r="F105" s="492"/>
      <c r="G105" s="492"/>
      <c r="H105" s="492"/>
      <c r="I105" s="492"/>
      <c r="J105" s="492"/>
      <c r="K105" s="492"/>
      <c r="L105" s="492"/>
      <c r="M105" s="492"/>
      <c r="N105" s="492"/>
      <c r="O105" s="492"/>
      <c r="P105" s="492"/>
      <c r="Q105" s="492"/>
      <c r="R105" s="492"/>
      <c r="S105" s="492"/>
      <c r="T105" s="492"/>
      <c r="U105" s="492"/>
      <c r="V105" s="492"/>
      <c r="W105" s="492"/>
      <c r="X105" s="492"/>
      <c r="Y105" s="492"/>
      <c r="Z105" s="492"/>
      <c r="AA105" s="492"/>
      <c r="AB105" s="492"/>
      <c r="AC105" s="492"/>
      <c r="AD105" s="492"/>
    </row>
    <row r="106" spans="3:30" ht="14.45" customHeight="1">
      <c r="C106" s="492"/>
      <c r="D106" s="492"/>
      <c r="E106" s="492"/>
      <c r="F106" s="492"/>
      <c r="G106" s="492"/>
      <c r="H106" s="492"/>
      <c r="I106" s="492"/>
      <c r="J106" s="492"/>
      <c r="K106" s="492"/>
      <c r="L106" s="492"/>
      <c r="M106" s="492"/>
      <c r="N106" s="492"/>
      <c r="O106" s="492"/>
      <c r="P106" s="492"/>
      <c r="Q106" s="492"/>
      <c r="R106" s="492"/>
      <c r="S106" s="492"/>
      <c r="T106" s="492"/>
      <c r="U106" s="492"/>
      <c r="V106" s="492"/>
      <c r="W106" s="492"/>
      <c r="X106" s="492"/>
      <c r="Y106" s="492"/>
      <c r="Z106" s="492"/>
      <c r="AA106" s="492"/>
      <c r="AB106" s="492"/>
      <c r="AC106" s="492"/>
      <c r="AD106" s="492"/>
    </row>
    <row r="107" spans="3:30" ht="14.45" customHeight="1">
      <c r="C107" s="492"/>
      <c r="D107" s="492"/>
      <c r="E107" s="492"/>
      <c r="F107" s="492"/>
      <c r="G107" s="492"/>
      <c r="H107" s="492"/>
      <c r="I107" s="492"/>
      <c r="J107" s="492"/>
      <c r="K107" s="492"/>
      <c r="L107" s="492"/>
      <c r="M107" s="492"/>
      <c r="N107" s="492"/>
      <c r="O107" s="492"/>
      <c r="P107" s="492"/>
      <c r="Q107" s="492"/>
      <c r="R107" s="492"/>
      <c r="S107" s="492"/>
      <c r="T107" s="492"/>
      <c r="U107" s="492"/>
      <c r="V107" s="492"/>
      <c r="W107" s="492"/>
      <c r="X107" s="492"/>
      <c r="Y107" s="492"/>
      <c r="Z107" s="492"/>
      <c r="AA107" s="492"/>
      <c r="AB107" s="492"/>
      <c r="AC107" s="492"/>
      <c r="AD107" s="492"/>
    </row>
    <row r="108" spans="3:30" ht="14.45" customHeight="1">
      <c r="C108" s="492"/>
      <c r="D108" s="492"/>
      <c r="E108" s="492"/>
      <c r="F108" s="492"/>
      <c r="G108" s="492"/>
      <c r="H108" s="492"/>
      <c r="I108" s="492"/>
      <c r="J108" s="492"/>
      <c r="K108" s="492"/>
      <c r="L108" s="492"/>
      <c r="M108" s="492"/>
      <c r="N108" s="492"/>
      <c r="O108" s="492"/>
      <c r="P108" s="492"/>
      <c r="Q108" s="492"/>
      <c r="R108" s="492"/>
      <c r="S108" s="492"/>
      <c r="T108" s="492"/>
      <c r="U108" s="492"/>
      <c r="V108" s="492"/>
      <c r="W108" s="492"/>
      <c r="X108" s="492"/>
      <c r="Y108" s="492"/>
      <c r="Z108" s="492"/>
      <c r="AA108" s="492"/>
      <c r="AB108" s="492"/>
      <c r="AC108" s="492"/>
      <c r="AD108" s="492"/>
    </row>
    <row r="109" spans="3:30" ht="14.45" customHeight="1">
      <c r="C109" s="492"/>
      <c r="D109" s="492"/>
      <c r="E109" s="492"/>
      <c r="F109" s="492"/>
      <c r="G109" s="492"/>
      <c r="H109" s="492"/>
      <c r="I109" s="492"/>
      <c r="J109" s="492"/>
      <c r="K109" s="492"/>
      <c r="L109" s="492"/>
      <c r="M109" s="492"/>
      <c r="N109" s="492"/>
      <c r="O109" s="492"/>
      <c r="P109" s="492"/>
      <c r="Q109" s="492"/>
      <c r="R109" s="492"/>
      <c r="S109" s="492"/>
      <c r="T109" s="492"/>
      <c r="U109" s="492"/>
      <c r="V109" s="492"/>
      <c r="W109" s="492"/>
      <c r="X109" s="492"/>
      <c r="Y109" s="492"/>
      <c r="Z109" s="492"/>
      <c r="AA109" s="492"/>
      <c r="AB109" s="492"/>
      <c r="AC109" s="492"/>
      <c r="AD109" s="492"/>
    </row>
    <row r="110" spans="3:30" ht="14.45" customHeight="1">
      <c r="C110" s="492"/>
      <c r="D110" s="492"/>
      <c r="E110" s="492"/>
      <c r="F110" s="492"/>
      <c r="G110" s="492"/>
      <c r="H110" s="492"/>
      <c r="I110" s="492"/>
      <c r="J110" s="492"/>
      <c r="K110" s="492"/>
      <c r="L110" s="492"/>
      <c r="M110" s="492"/>
      <c r="N110" s="492"/>
      <c r="O110" s="492"/>
      <c r="P110" s="492"/>
      <c r="Q110" s="492"/>
      <c r="R110" s="492"/>
      <c r="S110" s="492"/>
      <c r="T110" s="492"/>
      <c r="U110" s="492"/>
      <c r="V110" s="492"/>
      <c r="W110" s="492"/>
      <c r="X110" s="492"/>
      <c r="Y110" s="492"/>
      <c r="Z110" s="492"/>
      <c r="AA110" s="492"/>
      <c r="AB110" s="492"/>
      <c r="AC110" s="492"/>
      <c r="AD110" s="492"/>
    </row>
    <row r="111" spans="3:30" ht="14.45" customHeight="1">
      <c r="C111" s="492"/>
      <c r="D111" s="492"/>
      <c r="E111" s="492"/>
      <c r="F111" s="492"/>
      <c r="G111" s="492"/>
      <c r="H111" s="492"/>
      <c r="I111" s="492"/>
      <c r="J111" s="492"/>
      <c r="K111" s="492"/>
      <c r="L111" s="492"/>
      <c r="M111" s="492"/>
      <c r="N111" s="492"/>
      <c r="O111" s="492"/>
      <c r="P111" s="492"/>
      <c r="Q111" s="492"/>
      <c r="R111" s="492"/>
      <c r="S111" s="492"/>
      <c r="T111" s="492"/>
      <c r="U111" s="492"/>
      <c r="V111" s="492"/>
      <c r="W111" s="492"/>
      <c r="X111" s="492"/>
      <c r="Y111" s="492"/>
      <c r="Z111" s="492"/>
      <c r="AA111" s="492"/>
      <c r="AB111" s="492"/>
      <c r="AC111" s="492"/>
      <c r="AD111" s="492"/>
    </row>
    <row r="112" spans="3:30" ht="14.45" customHeight="1">
      <c r="C112" s="492"/>
      <c r="D112" s="492"/>
      <c r="E112" s="492"/>
      <c r="F112" s="492"/>
      <c r="G112" s="492"/>
      <c r="H112" s="492"/>
      <c r="I112" s="492"/>
      <c r="J112" s="492"/>
      <c r="K112" s="492"/>
      <c r="L112" s="492"/>
      <c r="M112" s="492"/>
      <c r="N112" s="492"/>
      <c r="O112" s="492"/>
      <c r="P112" s="492"/>
      <c r="Q112" s="492"/>
      <c r="R112" s="492"/>
      <c r="S112" s="492"/>
      <c r="T112" s="492"/>
      <c r="U112" s="492"/>
      <c r="V112" s="492"/>
      <c r="W112" s="492"/>
      <c r="X112" s="492"/>
      <c r="Y112" s="492"/>
      <c r="Z112" s="492"/>
      <c r="AA112" s="492"/>
      <c r="AB112" s="492"/>
      <c r="AC112" s="492"/>
      <c r="AD112" s="492"/>
    </row>
    <row r="113" spans="3:30" ht="14.45" customHeight="1">
      <c r="C113" s="492"/>
      <c r="D113" s="492"/>
      <c r="E113" s="492"/>
      <c r="F113" s="492"/>
      <c r="G113" s="492"/>
      <c r="H113" s="492"/>
      <c r="I113" s="492"/>
      <c r="J113" s="492"/>
      <c r="K113" s="492"/>
      <c r="L113" s="492"/>
      <c r="M113" s="492"/>
      <c r="N113" s="492"/>
      <c r="O113" s="492"/>
      <c r="P113" s="492"/>
      <c r="Q113" s="492"/>
      <c r="R113" s="492"/>
      <c r="S113" s="492"/>
      <c r="T113" s="492"/>
      <c r="U113" s="492"/>
      <c r="V113" s="492"/>
      <c r="W113" s="492"/>
      <c r="X113" s="492"/>
      <c r="Y113" s="492"/>
      <c r="Z113" s="492"/>
      <c r="AA113" s="492"/>
      <c r="AB113" s="492"/>
      <c r="AC113" s="492"/>
      <c r="AD113" s="492"/>
    </row>
    <row r="114" spans="3:30" ht="14.45" customHeight="1">
      <c r="C114" s="492"/>
      <c r="D114" s="492"/>
      <c r="E114" s="492"/>
      <c r="F114" s="492"/>
      <c r="G114" s="492"/>
      <c r="H114" s="492"/>
      <c r="I114" s="492"/>
      <c r="J114" s="492"/>
      <c r="K114" s="492"/>
      <c r="L114" s="492"/>
      <c r="M114" s="492"/>
      <c r="N114" s="492"/>
      <c r="O114" s="492"/>
      <c r="P114" s="492"/>
      <c r="Q114" s="492"/>
      <c r="R114" s="492"/>
      <c r="S114" s="492"/>
      <c r="T114" s="492"/>
      <c r="U114" s="492"/>
      <c r="V114" s="492"/>
      <c r="W114" s="492"/>
      <c r="X114" s="492"/>
      <c r="Y114" s="492"/>
      <c r="Z114" s="492"/>
      <c r="AA114" s="492"/>
      <c r="AB114" s="492"/>
      <c r="AC114" s="492"/>
      <c r="AD114" s="492"/>
    </row>
    <row r="115" spans="3:30" ht="14.45" customHeight="1">
      <c r="C115" s="492"/>
      <c r="D115" s="492"/>
      <c r="E115" s="492"/>
      <c r="F115" s="492"/>
      <c r="G115" s="492"/>
      <c r="H115" s="492"/>
      <c r="I115" s="492"/>
      <c r="J115" s="492"/>
      <c r="K115" s="492"/>
      <c r="L115" s="492"/>
      <c r="M115" s="492"/>
      <c r="N115" s="492"/>
      <c r="O115" s="492"/>
      <c r="P115" s="492"/>
      <c r="Q115" s="492"/>
      <c r="R115" s="492"/>
      <c r="S115" s="492"/>
      <c r="T115" s="492"/>
      <c r="U115" s="492"/>
      <c r="V115" s="492"/>
      <c r="W115" s="492"/>
      <c r="X115" s="492"/>
      <c r="Y115" s="492"/>
      <c r="Z115" s="492"/>
      <c r="AA115" s="492"/>
      <c r="AB115" s="492"/>
      <c r="AC115" s="492"/>
      <c r="AD115" s="492"/>
    </row>
    <row r="116" spans="3:30" ht="14.45" customHeight="1">
      <c r="C116" s="492"/>
      <c r="D116" s="492"/>
      <c r="E116" s="492"/>
      <c r="F116" s="492"/>
      <c r="G116" s="492"/>
      <c r="H116" s="492"/>
      <c r="I116" s="492"/>
      <c r="J116" s="492"/>
      <c r="K116" s="492"/>
      <c r="L116" s="492"/>
      <c r="M116" s="492"/>
      <c r="N116" s="492"/>
      <c r="O116" s="492"/>
      <c r="P116" s="492"/>
      <c r="Q116" s="492"/>
      <c r="R116" s="492"/>
      <c r="S116" s="492"/>
      <c r="T116" s="492"/>
      <c r="U116" s="492"/>
      <c r="V116" s="492"/>
      <c r="W116" s="492"/>
      <c r="X116" s="492"/>
      <c r="Y116" s="492"/>
      <c r="Z116" s="492"/>
      <c r="AA116" s="492"/>
      <c r="AB116" s="492"/>
      <c r="AC116" s="492"/>
      <c r="AD116" s="492"/>
    </row>
    <row r="117" spans="3:30" ht="14.45" customHeight="1">
      <c r="C117" s="492"/>
      <c r="D117" s="492"/>
      <c r="E117" s="492"/>
      <c r="F117" s="492"/>
      <c r="G117" s="492"/>
      <c r="H117" s="492"/>
      <c r="I117" s="492"/>
      <c r="J117" s="492"/>
      <c r="K117" s="492"/>
      <c r="L117" s="492"/>
      <c r="M117" s="492"/>
      <c r="N117" s="492"/>
      <c r="O117" s="492"/>
      <c r="P117" s="492"/>
      <c r="Q117" s="492"/>
      <c r="R117" s="492"/>
      <c r="S117" s="492"/>
      <c r="T117" s="492"/>
      <c r="U117" s="492"/>
      <c r="V117" s="492"/>
      <c r="W117" s="492"/>
      <c r="X117" s="492"/>
      <c r="Y117" s="492"/>
      <c r="Z117" s="492"/>
      <c r="AA117" s="492"/>
      <c r="AB117" s="492"/>
      <c r="AC117" s="492"/>
      <c r="AD117" s="492"/>
    </row>
    <row r="118" spans="3:30" ht="14.45" customHeight="1">
      <c r="C118" s="492"/>
      <c r="D118" s="492"/>
      <c r="E118" s="492"/>
      <c r="F118" s="492"/>
      <c r="G118" s="492"/>
      <c r="H118" s="492"/>
      <c r="I118" s="492"/>
      <c r="J118" s="492"/>
      <c r="K118" s="492"/>
      <c r="L118" s="492"/>
      <c r="M118" s="492"/>
      <c r="N118" s="492"/>
      <c r="O118" s="492"/>
      <c r="P118" s="492"/>
      <c r="Q118" s="492"/>
      <c r="R118" s="492"/>
      <c r="S118" s="492"/>
      <c r="T118" s="492"/>
      <c r="U118" s="492"/>
      <c r="V118" s="492"/>
      <c r="W118" s="492"/>
      <c r="X118" s="492"/>
      <c r="Y118" s="492"/>
      <c r="Z118" s="492"/>
      <c r="AA118" s="492"/>
      <c r="AB118" s="492"/>
      <c r="AC118" s="492"/>
      <c r="AD118" s="492"/>
    </row>
    <row r="119" spans="3:30" ht="14.45" customHeight="1">
      <c r="C119" s="492"/>
      <c r="D119" s="492"/>
      <c r="E119" s="492"/>
      <c r="F119" s="492"/>
      <c r="G119" s="492"/>
      <c r="H119" s="492"/>
      <c r="I119" s="492"/>
      <c r="J119" s="492"/>
      <c r="K119" s="492"/>
      <c r="L119" s="492"/>
      <c r="M119" s="492"/>
      <c r="N119" s="492"/>
      <c r="O119" s="492"/>
      <c r="P119" s="492"/>
      <c r="Q119" s="492"/>
      <c r="R119" s="492"/>
      <c r="S119" s="492"/>
      <c r="T119" s="492"/>
      <c r="U119" s="492"/>
      <c r="V119" s="492"/>
      <c r="W119" s="492"/>
      <c r="X119" s="492"/>
      <c r="Y119" s="492"/>
      <c r="Z119" s="492"/>
      <c r="AA119" s="492"/>
      <c r="AB119" s="492"/>
      <c r="AC119" s="492"/>
      <c r="AD119" s="492"/>
    </row>
    <row r="120" spans="3:30">
      <c r="C120" s="492"/>
      <c r="D120" s="492"/>
      <c r="E120" s="492"/>
      <c r="F120" s="492"/>
      <c r="G120" s="492"/>
      <c r="H120" s="492"/>
      <c r="I120" s="492"/>
      <c r="J120" s="492"/>
      <c r="K120" s="492"/>
      <c r="L120" s="492"/>
      <c r="M120" s="492"/>
      <c r="N120" s="492"/>
      <c r="O120" s="492"/>
      <c r="P120" s="492"/>
      <c r="Q120" s="492"/>
      <c r="R120" s="492"/>
      <c r="S120" s="492"/>
      <c r="T120" s="492"/>
      <c r="U120" s="492"/>
      <c r="V120" s="492"/>
      <c r="W120" s="492"/>
      <c r="X120" s="492"/>
      <c r="Y120" s="492"/>
      <c r="Z120" s="492"/>
      <c r="AA120" s="492"/>
      <c r="AB120" s="492"/>
      <c r="AC120" s="492"/>
      <c r="AD120" s="492"/>
    </row>
    <row r="121" spans="3:30">
      <c r="C121" s="492"/>
      <c r="D121" s="492"/>
      <c r="E121" s="492"/>
      <c r="F121" s="492"/>
      <c r="G121" s="492"/>
      <c r="H121" s="492"/>
      <c r="I121" s="492"/>
      <c r="J121" s="492"/>
      <c r="K121" s="492"/>
      <c r="L121" s="492"/>
      <c r="M121" s="492"/>
      <c r="N121" s="492"/>
      <c r="O121" s="492"/>
      <c r="P121" s="492"/>
      <c r="Q121" s="492"/>
      <c r="R121" s="492"/>
      <c r="S121" s="492"/>
      <c r="T121" s="492"/>
      <c r="U121" s="492"/>
      <c r="V121" s="492"/>
      <c r="W121" s="492"/>
      <c r="X121" s="492"/>
      <c r="Y121" s="492"/>
      <c r="Z121" s="492"/>
      <c r="AA121" s="492"/>
      <c r="AB121" s="492"/>
      <c r="AC121" s="492"/>
      <c r="AD121" s="492"/>
    </row>
    <row r="122" spans="3:30">
      <c r="C122" s="492"/>
      <c r="D122" s="492"/>
      <c r="E122" s="492"/>
      <c r="F122" s="492"/>
      <c r="G122" s="492"/>
      <c r="H122" s="492"/>
      <c r="I122" s="492"/>
      <c r="J122" s="492"/>
      <c r="K122" s="492"/>
      <c r="L122" s="492"/>
      <c r="M122" s="492"/>
      <c r="N122" s="492"/>
      <c r="O122" s="492"/>
      <c r="P122" s="492"/>
      <c r="Q122" s="492"/>
      <c r="R122" s="492"/>
      <c r="S122" s="492"/>
      <c r="T122" s="492"/>
      <c r="U122" s="492"/>
      <c r="V122" s="492"/>
      <c r="W122" s="492"/>
      <c r="X122" s="492"/>
      <c r="Y122" s="492"/>
      <c r="Z122" s="492"/>
      <c r="AA122" s="492"/>
      <c r="AB122" s="492"/>
      <c r="AC122" s="492"/>
      <c r="AD122" s="492"/>
    </row>
    <row r="123" spans="3:30">
      <c r="C123" s="492"/>
      <c r="D123" s="492"/>
      <c r="E123" s="492"/>
      <c r="F123" s="492"/>
      <c r="G123" s="492"/>
      <c r="H123" s="492"/>
      <c r="I123" s="492"/>
      <c r="J123" s="492"/>
      <c r="K123" s="492"/>
      <c r="L123" s="492"/>
      <c r="M123" s="492"/>
      <c r="N123" s="492"/>
      <c r="O123" s="492"/>
      <c r="P123" s="492"/>
      <c r="Q123" s="492"/>
      <c r="R123" s="492"/>
      <c r="S123" s="492"/>
      <c r="T123" s="492"/>
      <c r="U123" s="492"/>
      <c r="V123" s="492"/>
      <c r="W123" s="492"/>
      <c r="X123" s="492"/>
      <c r="Y123" s="492"/>
      <c r="Z123" s="492"/>
      <c r="AA123" s="492"/>
      <c r="AB123" s="492"/>
      <c r="AC123" s="492"/>
      <c r="AD123" s="492"/>
    </row>
    <row r="124" spans="3:30">
      <c r="C124" s="492"/>
      <c r="D124" s="492"/>
      <c r="E124" s="492"/>
      <c r="F124" s="492"/>
      <c r="G124" s="492"/>
      <c r="H124" s="492"/>
      <c r="I124" s="492"/>
      <c r="J124" s="492"/>
      <c r="K124" s="492"/>
      <c r="L124" s="492"/>
      <c r="M124" s="492"/>
      <c r="N124" s="492"/>
      <c r="O124" s="492"/>
      <c r="P124" s="492"/>
      <c r="Q124" s="492"/>
      <c r="R124" s="492"/>
      <c r="S124" s="492"/>
      <c r="T124" s="492"/>
      <c r="U124" s="492"/>
      <c r="V124" s="492"/>
      <c r="W124" s="492"/>
      <c r="X124" s="492"/>
      <c r="Y124" s="492"/>
      <c r="Z124" s="492"/>
      <c r="AA124" s="492"/>
      <c r="AB124" s="492"/>
      <c r="AC124" s="492"/>
      <c r="AD124" s="492"/>
    </row>
    <row r="125" spans="3:30">
      <c r="C125" s="492"/>
      <c r="D125" s="492"/>
      <c r="E125" s="492"/>
      <c r="F125" s="492"/>
      <c r="G125" s="492"/>
      <c r="H125" s="492"/>
      <c r="I125" s="492"/>
      <c r="J125" s="492"/>
      <c r="K125" s="492"/>
      <c r="L125" s="492"/>
      <c r="M125" s="492"/>
      <c r="N125" s="492"/>
      <c r="O125" s="492"/>
      <c r="P125" s="492"/>
      <c r="Q125" s="492"/>
      <c r="R125" s="492"/>
      <c r="S125" s="492"/>
      <c r="T125" s="492"/>
      <c r="U125" s="492"/>
      <c r="V125" s="492"/>
      <c r="W125" s="492"/>
      <c r="X125" s="492"/>
      <c r="Y125" s="492"/>
      <c r="Z125" s="492"/>
      <c r="AA125" s="492"/>
      <c r="AB125" s="492"/>
      <c r="AC125" s="492"/>
      <c r="AD125" s="492"/>
    </row>
    <row r="126" spans="3:30">
      <c r="C126" s="492"/>
      <c r="D126" s="492"/>
      <c r="E126" s="492"/>
      <c r="F126" s="492"/>
      <c r="G126" s="492"/>
      <c r="H126" s="492"/>
      <c r="I126" s="492"/>
      <c r="J126" s="492"/>
      <c r="K126" s="492"/>
      <c r="L126" s="492"/>
      <c r="M126" s="492"/>
      <c r="N126" s="492"/>
      <c r="O126" s="492"/>
      <c r="P126" s="492"/>
      <c r="Q126" s="492"/>
      <c r="R126" s="492"/>
      <c r="S126" s="492"/>
      <c r="T126" s="492"/>
      <c r="U126" s="492"/>
      <c r="V126" s="492"/>
      <c r="W126" s="492"/>
      <c r="X126" s="492"/>
      <c r="Y126" s="492"/>
      <c r="Z126" s="492"/>
      <c r="AA126" s="492"/>
      <c r="AB126" s="492"/>
      <c r="AC126" s="492"/>
      <c r="AD126" s="492"/>
    </row>
    <row r="127" spans="3:30">
      <c r="C127" s="492"/>
      <c r="D127" s="492"/>
      <c r="E127" s="492"/>
      <c r="F127" s="492"/>
      <c r="G127" s="492"/>
      <c r="H127" s="492"/>
      <c r="I127" s="492"/>
      <c r="J127" s="492"/>
      <c r="K127" s="492"/>
      <c r="L127" s="492"/>
      <c r="M127" s="492"/>
      <c r="N127" s="492"/>
      <c r="O127" s="492"/>
      <c r="P127" s="492"/>
      <c r="Q127" s="492"/>
      <c r="R127" s="492"/>
      <c r="S127" s="492"/>
      <c r="T127" s="492"/>
      <c r="U127" s="492"/>
      <c r="V127" s="492"/>
      <c r="W127" s="492"/>
      <c r="X127" s="492"/>
      <c r="Y127" s="492"/>
      <c r="Z127" s="492"/>
      <c r="AA127" s="492"/>
      <c r="AB127" s="492"/>
      <c r="AC127" s="492"/>
      <c r="AD127" s="492"/>
    </row>
    <row r="128" spans="3:30">
      <c r="C128" s="492"/>
      <c r="D128" s="492"/>
      <c r="E128" s="492"/>
      <c r="F128" s="492"/>
      <c r="G128" s="492"/>
      <c r="H128" s="492"/>
      <c r="I128" s="492"/>
      <c r="J128" s="492"/>
      <c r="K128" s="492"/>
      <c r="L128" s="492"/>
      <c r="M128" s="492"/>
      <c r="N128" s="492"/>
      <c r="O128" s="492"/>
      <c r="P128" s="492"/>
      <c r="Q128" s="492"/>
      <c r="R128" s="492"/>
      <c r="S128" s="492"/>
      <c r="T128" s="492"/>
      <c r="U128" s="492"/>
      <c r="V128" s="492"/>
      <c r="W128" s="492"/>
      <c r="X128" s="492"/>
      <c r="Y128" s="492"/>
      <c r="Z128" s="492"/>
      <c r="AA128" s="492"/>
      <c r="AB128" s="492"/>
      <c r="AC128" s="492"/>
      <c r="AD128" s="492"/>
    </row>
    <row r="129" spans="3:30">
      <c r="C129" s="492"/>
      <c r="D129" s="492"/>
      <c r="E129" s="492"/>
      <c r="F129" s="492"/>
      <c r="G129" s="492"/>
      <c r="H129" s="492"/>
      <c r="I129" s="492"/>
      <c r="J129" s="492"/>
      <c r="K129" s="492"/>
      <c r="L129" s="492"/>
      <c r="M129" s="492"/>
      <c r="N129" s="492"/>
      <c r="O129" s="492"/>
      <c r="P129" s="492"/>
      <c r="Q129" s="492"/>
      <c r="R129" s="492"/>
      <c r="S129" s="492"/>
      <c r="T129" s="492"/>
      <c r="U129" s="492"/>
      <c r="V129" s="492"/>
      <c r="W129" s="492"/>
      <c r="X129" s="492"/>
      <c r="Y129" s="492"/>
      <c r="Z129" s="492"/>
      <c r="AA129" s="492"/>
      <c r="AB129" s="492"/>
      <c r="AC129" s="492"/>
      <c r="AD129" s="492"/>
    </row>
    <row r="130" spans="3:30">
      <c r="C130" s="492"/>
      <c r="D130" s="492"/>
      <c r="E130" s="492"/>
      <c r="F130" s="492"/>
      <c r="G130" s="492"/>
      <c r="H130" s="492"/>
      <c r="I130" s="492"/>
      <c r="J130" s="492"/>
      <c r="K130" s="492"/>
      <c r="L130" s="492"/>
      <c r="M130" s="492"/>
      <c r="N130" s="492"/>
      <c r="O130" s="492"/>
      <c r="P130" s="492"/>
      <c r="Q130" s="492"/>
      <c r="R130" s="492"/>
      <c r="S130" s="492"/>
      <c r="T130" s="492"/>
      <c r="U130" s="492"/>
      <c r="V130" s="492"/>
      <c r="W130" s="492"/>
      <c r="X130" s="492"/>
      <c r="Y130" s="492"/>
      <c r="Z130" s="492"/>
      <c r="AA130" s="492"/>
      <c r="AB130" s="492"/>
      <c r="AC130" s="492"/>
      <c r="AD130" s="492"/>
    </row>
    <row r="131" spans="3:30">
      <c r="C131" s="492"/>
      <c r="D131" s="492"/>
      <c r="E131" s="492"/>
      <c r="F131" s="492"/>
      <c r="G131" s="492"/>
      <c r="H131" s="492"/>
      <c r="I131" s="492"/>
      <c r="J131" s="492"/>
      <c r="K131" s="492"/>
      <c r="L131" s="492"/>
      <c r="M131" s="492"/>
      <c r="N131" s="492"/>
      <c r="O131" s="492"/>
      <c r="P131" s="492"/>
      <c r="Q131" s="492"/>
      <c r="R131" s="492"/>
      <c r="S131" s="492"/>
      <c r="T131" s="492"/>
      <c r="U131" s="492"/>
      <c r="V131" s="492"/>
      <c r="W131" s="492"/>
      <c r="X131" s="492"/>
      <c r="Y131" s="492"/>
      <c r="Z131" s="492"/>
      <c r="AA131" s="492"/>
      <c r="AB131" s="492"/>
      <c r="AC131" s="492"/>
      <c r="AD131" s="492"/>
    </row>
    <row r="132" spans="3:30">
      <c r="C132" s="492"/>
      <c r="D132" s="492"/>
      <c r="E132" s="492"/>
      <c r="F132" s="492"/>
      <c r="G132" s="492"/>
      <c r="H132" s="492"/>
      <c r="I132" s="492"/>
      <c r="J132" s="492"/>
      <c r="K132" s="492"/>
      <c r="L132" s="492"/>
      <c r="M132" s="492"/>
      <c r="N132" s="492"/>
      <c r="O132" s="492"/>
      <c r="P132" s="492"/>
      <c r="Q132" s="492"/>
      <c r="R132" s="492"/>
      <c r="S132" s="492"/>
      <c r="T132" s="492"/>
      <c r="U132" s="492"/>
      <c r="V132" s="492"/>
      <c r="W132" s="492"/>
      <c r="X132" s="492"/>
      <c r="Y132" s="492"/>
      <c r="Z132" s="492"/>
      <c r="AA132" s="492"/>
      <c r="AB132" s="492"/>
      <c r="AC132" s="492"/>
      <c r="AD132" s="492"/>
    </row>
  </sheetData>
  <pageMargins left="0.7" right="0.7" top="0.75" bottom="0.75" header="0.3" footer="0.3"/>
  <pageSetup paperSize="9" orientation="portrait" r:id="rId1"/>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26201-D409-4145-BDA9-B4E903165032}">
  <dimension ref="A1"/>
  <sheetViews>
    <sheetView zoomScale="41" zoomScaleNormal="41" workbookViewId="0">
      <selection activeCell="AI76" sqref="AI76"/>
    </sheetView>
  </sheetViews>
  <sheetFormatPr defaultRowHeight="15"/>
  <cols>
    <col min="1" max="8" width="9.140625" style="498"/>
    <col min="9" max="10" width="9.140625" style="498" customWidth="1"/>
    <col min="11" max="18" width="9.140625" style="498"/>
    <col min="19" max="19" width="9.140625" style="498" customWidth="1"/>
    <col min="20" max="16384" width="9.140625" style="498"/>
  </cols>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4">
    <tabColor rgb="FFFFC000"/>
  </sheetPr>
  <dimension ref="A1:U64"/>
  <sheetViews>
    <sheetView topLeftCell="A43" workbookViewId="0">
      <selection activeCell="A59" sqref="A59"/>
    </sheetView>
  </sheetViews>
  <sheetFormatPr defaultRowHeight="15"/>
  <cols>
    <col min="1" max="1" width="47.7109375" bestFit="1" customWidth="1"/>
    <col min="2" max="2" width="10.7109375" bestFit="1" customWidth="1"/>
    <col min="3" max="7" width="8.5703125" bestFit="1" customWidth="1"/>
    <col min="8" max="10" width="9.5703125" bestFit="1" customWidth="1"/>
    <col min="11" max="11" width="8.28515625" bestFit="1" customWidth="1"/>
    <col min="12" max="12" width="13.140625" bestFit="1" customWidth="1"/>
    <col min="13" max="13" width="7.7109375" customWidth="1"/>
    <col min="14" max="14" width="9.42578125" bestFit="1" customWidth="1"/>
    <col min="16" max="16" width="14.140625" bestFit="1" customWidth="1"/>
    <col min="17" max="17" width="7" bestFit="1" customWidth="1"/>
    <col min="18" max="20" width="4.5703125" bestFit="1" customWidth="1"/>
    <col min="21" max="21" width="4.7109375" bestFit="1" customWidth="1"/>
  </cols>
  <sheetData>
    <row r="1" spans="1:21">
      <c r="A1" s="324" t="s">
        <v>394</v>
      </c>
      <c r="B1" s="652" t="str">
        <f ca="1">'Screener Output'!A1</f>
      </c>
      <c r="C1" s="652"/>
      <c r="D1" s="652"/>
      <c r="E1" s="652"/>
      <c r="F1" s="652"/>
      <c r="G1" s="652"/>
      <c r="H1" s="652"/>
      <c r="I1" s="652"/>
      <c r="J1" s="652"/>
      <c r="K1" s="652"/>
      <c r="L1" s="652"/>
      <c r="M1" s="501"/>
      <c r="N1" s="501"/>
    </row>
    <row r="2" spans="1:21">
      <c r="A2" s="330" t="s">
        <v>497</v>
      </c>
      <c r="B2" s="229" t="s">
        <v>498</v>
      </c>
      <c r="C2" s="229" t="s">
        <v>499</v>
      </c>
      <c r="D2" s="229" t="s">
        <v>500</v>
      </c>
      <c r="E2" s="229" t="s">
        <v>501</v>
      </c>
      <c r="F2" s="229" t="s">
        <v>502</v>
      </c>
      <c r="G2" s="229" t="s">
        <v>503</v>
      </c>
      <c r="H2" s="229" t="s">
        <v>733</v>
      </c>
      <c r="I2" s="229" t="s">
        <v>734</v>
      </c>
      <c r="J2" s="229" t="s">
        <v>735</v>
      </c>
      <c r="K2" s="229" t="s">
        <v>736</v>
      </c>
      <c r="L2" s="331" t="s">
        <v>393</v>
      </c>
      <c r="M2" s="504"/>
      <c r="N2" t="s">
        <v>741</v>
      </c>
      <c r="P2" s="326" t="s">
        <v>392</v>
      </c>
      <c r="Q2" s="326" t="s">
        <v>391</v>
      </c>
      <c r="R2" s="326" t="s">
        <v>390</v>
      </c>
      <c r="S2" s="326" t="s">
        <v>389</v>
      </c>
      <c r="T2" s="326" t="s">
        <v>388</v>
      </c>
      <c r="U2" s="326" t="s">
        <v>387</v>
      </c>
    </row>
    <row r="3" spans="1:21" ht="15.75" thickBot="1">
      <c r="A3" s="335" t="s">
        <v>4</v>
      </c>
      <c r="B3" s="353">
        <f ca="1">'Screener Output'!C5</f>
      </c>
      <c r="C3" s="353">
        <f ca="1">'Screener Output'!D5</f>
      </c>
      <c r="D3" s="353">
        <f ca="1">'Screener Output'!E5</f>
      </c>
      <c r="E3" s="353">
        <f ca="1">'Screener Output'!F5</f>
      </c>
      <c r="F3" s="353">
        <f ca="1">'Screener Output'!G5</f>
      </c>
      <c r="G3" s="353">
        <f ca="1">'Screener Output'!H5</f>
      </c>
      <c r="H3" s="353">
        <f ca="1">'Screener Output'!I5</f>
      </c>
      <c r="I3" s="353">
        <f ca="1">'Screener Output'!J5</f>
      </c>
      <c r="J3" s="353">
        <f ca="1">'Screener Output'!K5</f>
      </c>
      <c r="K3" s="353">
        <f ca="1">'Screener Output'!L5</f>
      </c>
      <c r="L3" s="354">
        <f ca="1">'Screener Output'!M5</f>
      </c>
      <c r="M3" s="505"/>
      <c r="P3" s="326" t="s">
        <v>17</v>
      </c>
      <c r="Q3" s="327">
        <f ca="1">(K3/B3)^1/9</f>
      </c>
      <c r="R3" s="327">
        <f ca="1">(K3/D3)^(1/7)-1</f>
      </c>
      <c r="S3" s="327">
        <f ca="1">(K3/F3)^(1/5)-1</f>
      </c>
      <c r="T3" s="327">
        <f ca="1">(K3/H3)^(1/3)-1</f>
      </c>
      <c r="U3" s="327">
        <f ca="1">L3/K3 -1</f>
      </c>
    </row>
    <row r="4" spans="1:21" ht="15.75" thickBot="1">
      <c r="A4" s="335" t="s">
        <v>17</v>
      </c>
      <c r="B4" s="353"/>
      <c r="C4" s="343">
        <f ca="1">(C3-B3)/B3</f>
      </c>
      <c r="D4" s="343">
        <f t="shared" ref="D4:K4" ca="1" si="0">(D3-C3)/C3</f>
      </c>
      <c r="E4" s="343">
        <f t="shared" ca="1" si="0"/>
      </c>
      <c r="F4" s="343">
        <f t="shared" ca="1" si="0"/>
      </c>
      <c r="G4" s="343">
        <f t="shared" ca="1" si="0"/>
      </c>
      <c r="H4" s="343">
        <f t="shared" ca="1" si="0"/>
      </c>
      <c r="I4" s="343">
        <f t="shared" ca="1" si="0"/>
      </c>
      <c r="J4" s="343">
        <f t="shared" ca="1" si="0"/>
      </c>
      <c r="K4" s="343">
        <f t="shared" ca="1" si="0"/>
      </c>
      <c r="L4" s="503"/>
      <c r="M4" s="506">
        <v>1</v>
      </c>
      <c r="P4" s="326" t="s">
        <v>504</v>
      </c>
      <c r="Q4" s="327">
        <f ca="1">(K6/B6)^1/9</f>
      </c>
      <c r="R4" s="327">
        <f ca="1">(K6/D6)^(1/7)-1</f>
      </c>
      <c r="S4" s="327">
        <f ca="1">(K6/F6)^(1/5)-1</f>
      </c>
      <c r="T4" s="327">
        <f ca="1">(K6/H6)^(1/3)-1</f>
      </c>
      <c r="U4" s="327">
        <f ca="1">L6/K6 -1</f>
      </c>
    </row>
    <row r="5" spans="1:21">
      <c r="A5" s="335" t="s">
        <v>20</v>
      </c>
      <c r="B5" s="353">
        <f ca="1">'Screener Output'!C36</f>
      </c>
      <c r="C5" s="353">
        <f ca="1">'Screener Output'!D36</f>
      </c>
      <c r="D5" s="353">
        <f ca="1">'Screener Output'!E36</f>
      </c>
      <c r="E5" s="353">
        <f ca="1">'Screener Output'!F36</f>
      </c>
      <c r="F5" s="353">
        <f ca="1">'Screener Output'!G36</f>
      </c>
      <c r="G5" s="353">
        <f ca="1">'Screener Output'!H36</f>
      </c>
      <c r="H5" s="353">
        <f ca="1">'Screener Output'!I36</f>
      </c>
      <c r="I5" s="353">
        <f ca="1">'Screener Output'!J36</f>
      </c>
      <c r="J5" s="353">
        <f ca="1">'Screener Output'!K36</f>
      </c>
      <c r="K5" s="353">
        <f ca="1">'Screener Output'!L36</f>
      </c>
      <c r="L5" s="354"/>
      <c r="M5" s="507"/>
      <c r="P5" s="326" t="s">
        <v>20</v>
      </c>
      <c r="Q5" s="327">
        <f ca="1">(K5/B5)^1/9</f>
      </c>
      <c r="R5" s="327">
        <f ca="1">(K5/D5)^(1/7)-1</f>
      </c>
      <c r="S5" s="327">
        <f ca="1">(K5/F5)^(1/5)-1</f>
      </c>
      <c r="T5" s="327">
        <f ca="1">(K5/H5)^(1/3)-1</f>
      </c>
      <c r="U5" s="327"/>
    </row>
    <row r="6" spans="1:21" ht="15.75" thickBot="1">
      <c r="A6" s="332" t="s">
        <v>6</v>
      </c>
      <c r="B6" s="333">
        <f ca="1">'Screener Output'!C16+'Screener Output'!C15+'Screener Output'!C14-'Screener Output'!C13</f>
      </c>
      <c r="C6" s="333">
        <f ca="1">'Screener Output'!D16+'Screener Output'!D15+'Screener Output'!D14-'Screener Output'!D13</f>
      </c>
      <c r="D6" s="333">
        <f ca="1">'Screener Output'!E16+'Screener Output'!E15+'Screener Output'!E14-'Screener Output'!E13</f>
      </c>
      <c r="E6" s="333">
        <f ca="1">'Screener Output'!F16+'Screener Output'!F15+'Screener Output'!F14-'Screener Output'!F13</f>
      </c>
      <c r="F6" s="333">
        <f ca="1">'Screener Output'!G16+'Screener Output'!G15+'Screener Output'!G14-'Screener Output'!G13</f>
      </c>
      <c r="G6" s="333">
        <f ca="1">'Screener Output'!H16+'Screener Output'!H15+'Screener Output'!H14-'Screener Output'!H13</f>
      </c>
      <c r="H6" s="333">
        <f ca="1">'Screener Output'!I16+'Screener Output'!I15+'Screener Output'!I14-'Screener Output'!I13</f>
      </c>
      <c r="I6" s="333">
        <f ca="1">'Screener Output'!J16+'Screener Output'!J15+'Screener Output'!J14-'Screener Output'!J13</f>
      </c>
      <c r="J6" s="333">
        <f ca="1">'Screener Output'!K16+'Screener Output'!K15+'Screener Output'!K14-'Screener Output'!K13</f>
      </c>
      <c r="K6" s="333">
        <f ca="1">'Screener Output'!L16+'Screener Output'!L15+'Screener Output'!L14-'Screener Output'!L13</f>
      </c>
      <c r="L6" s="334">
        <f ca="1">'Screener Output'!M16+'Screener Output'!M15+'Screener Output'!M14-'Screener Output'!M13</f>
      </c>
    </row>
    <row r="7" spans="1:21" ht="15.75" thickBot="1">
      <c r="A7" s="335" t="s">
        <v>386</v>
      </c>
      <c r="B7" s="336">
        <f t="shared" ref="B7:L7" ca="1" si="1">B6/B3</f>
      </c>
      <c r="C7" s="336">
        <f t="shared" ca="1" si="1"/>
      </c>
      <c r="D7" s="336">
        <f t="shared" ca="1" si="1"/>
      </c>
      <c r="E7" s="336">
        <f t="shared" ca="1" si="1"/>
      </c>
      <c r="F7" s="336">
        <f t="shared" ca="1" si="1"/>
      </c>
      <c r="G7" s="336">
        <f t="shared" ca="1" si="1"/>
      </c>
      <c r="H7" s="336">
        <f t="shared" ca="1" si="1"/>
      </c>
      <c r="I7" s="336">
        <f t="shared" ca="1" si="1"/>
      </c>
      <c r="J7" s="336">
        <f t="shared" ca="1" si="1"/>
      </c>
      <c r="K7" s="336">
        <f t="shared" ca="1" si="1"/>
      </c>
      <c r="L7" s="337">
        <f t="shared" ca="1" si="1"/>
      </c>
      <c r="M7" s="506">
        <v>2</v>
      </c>
    </row>
    <row r="8" spans="1:21">
      <c r="A8" s="332" t="s">
        <v>7</v>
      </c>
      <c r="B8" s="333">
        <f ca="1">'Screener Output'!C13</f>
      </c>
      <c r="C8" s="333">
        <f ca="1">'Screener Output'!D13</f>
      </c>
      <c r="D8" s="333">
        <f ca="1">'Screener Output'!E13</f>
      </c>
      <c r="E8" s="333">
        <f ca="1">'Screener Output'!F13</f>
      </c>
      <c r="F8" s="333">
        <f ca="1">'Screener Output'!G13</f>
      </c>
      <c r="G8" s="333">
        <f ca="1">'Screener Output'!H13</f>
      </c>
      <c r="H8" s="333">
        <f ca="1">'Screener Output'!I13</f>
      </c>
      <c r="I8" s="333">
        <f ca="1">'Screener Output'!J13</f>
      </c>
      <c r="J8" s="333">
        <f ca="1">'Screener Output'!K13</f>
      </c>
      <c r="K8" s="333">
        <f ca="1">'Screener Output'!L13</f>
      </c>
      <c r="L8" s="334">
        <f ca="1">'Screener Output'!M13</f>
      </c>
    </row>
    <row r="9" spans="1:21">
      <c r="A9" s="332" t="s">
        <v>9</v>
      </c>
      <c r="B9" s="333">
        <f ca="1">'Screener Output'!C15</f>
      </c>
      <c r="C9" s="333">
        <f ca="1">'Screener Output'!D15</f>
      </c>
      <c r="D9" s="333">
        <f ca="1">'Screener Output'!E15</f>
      </c>
      <c r="E9" s="333">
        <f ca="1">'Screener Output'!F15</f>
      </c>
      <c r="F9" s="333">
        <f ca="1">'Screener Output'!G15</f>
      </c>
      <c r="G9" s="333">
        <f ca="1">'Screener Output'!H15</f>
      </c>
      <c r="H9" s="333">
        <f ca="1">'Screener Output'!I15</f>
      </c>
      <c r="I9" s="333">
        <f ca="1">'Screener Output'!J15</f>
      </c>
      <c r="J9" s="333">
        <f ca="1">'Screener Output'!K15</f>
      </c>
      <c r="K9" s="333">
        <f ca="1">'Screener Output'!L15</f>
      </c>
      <c r="L9" s="334">
        <f ca="1">'Screener Output'!M15</f>
      </c>
    </row>
    <row r="10" spans="1:21" ht="15.75" thickBot="1">
      <c r="A10" s="332" t="s">
        <v>102</v>
      </c>
      <c r="B10" s="333">
        <f ca="1">'Screener Output'!C16</f>
      </c>
      <c r="C10" s="333">
        <f ca="1">'Screener Output'!D16</f>
      </c>
      <c r="D10" s="333">
        <f ca="1">'Screener Output'!E16</f>
      </c>
      <c r="E10" s="333">
        <f ca="1">'Screener Output'!F16</f>
      </c>
      <c r="F10" s="333">
        <f ca="1">'Screener Output'!G16</f>
      </c>
      <c r="G10" s="333">
        <f ca="1">'Screener Output'!H16</f>
      </c>
      <c r="H10" s="333">
        <f ca="1">'Screener Output'!I16</f>
      </c>
      <c r="I10" s="333">
        <f ca="1">'Screener Output'!J16</f>
      </c>
      <c r="J10" s="333">
        <f ca="1">'Screener Output'!K16</f>
      </c>
      <c r="K10" s="333">
        <f ca="1">'Screener Output'!L16</f>
      </c>
      <c r="L10" s="334">
        <f ca="1">'Screener Output'!M16</f>
      </c>
    </row>
    <row r="11" spans="1:21" ht="15.75" thickBot="1">
      <c r="A11" s="332" t="s">
        <v>385</v>
      </c>
      <c r="B11" s="338">
        <f ca="1">'Screener Output'!C17/B10</f>
      </c>
      <c r="C11" s="338">
        <f ca="1">'Screener Output'!D17/C10</f>
      </c>
      <c r="D11" s="338">
        <f ca="1">'Screener Output'!E17/D10</f>
      </c>
      <c r="E11" s="338">
        <f ca="1">'Screener Output'!F17/E10</f>
      </c>
      <c r="F11" s="338">
        <f ca="1">'Screener Output'!G17/F10</f>
      </c>
      <c r="G11" s="338">
        <f ca="1">'Screener Output'!H17/G10</f>
      </c>
      <c r="H11" s="338">
        <f ca="1">'Screener Output'!I17/H10</f>
      </c>
      <c r="I11" s="338">
        <f ca="1">'Screener Output'!J17/I10</f>
      </c>
      <c r="J11" s="338">
        <f ca="1">'Screener Output'!K17/J10</f>
      </c>
      <c r="K11" s="338">
        <f ca="1">'Screener Output'!L17/K10</f>
      </c>
      <c r="L11" s="339">
        <f ca="1">'Screener Output'!M17/L10</f>
      </c>
      <c r="M11" s="506">
        <v>3</v>
      </c>
    </row>
    <row r="12" spans="1:21">
      <c r="A12" s="332" t="s">
        <v>384</v>
      </c>
      <c r="B12" s="333">
        <f ca="1">'Screener Output'!C18</f>
      </c>
      <c r="C12" s="333">
        <f ca="1">'Screener Output'!D18</f>
      </c>
      <c r="D12" s="333">
        <f ca="1">'Screener Output'!E18</f>
      </c>
      <c r="E12" s="333">
        <f ca="1">'Screener Output'!F18</f>
      </c>
      <c r="F12" s="333">
        <f ca="1">'Screener Output'!G18</f>
      </c>
      <c r="G12" s="333">
        <f ca="1">'Screener Output'!H18</f>
      </c>
      <c r="H12" s="333">
        <f ca="1">'Screener Output'!I18</f>
      </c>
      <c r="I12" s="333">
        <f ca="1">'Screener Output'!J18</f>
      </c>
      <c r="J12" s="333">
        <f ca="1">'Screener Output'!K18</f>
      </c>
      <c r="K12" s="333">
        <f ca="1">'Screener Output'!L18</f>
      </c>
      <c r="L12" s="334">
        <f ca="1">'Screener Output'!M18</f>
      </c>
    </row>
    <row r="13" spans="1:21" s="531" customFormat="1" ht="15.75" thickBot="1">
      <c r="A13" s="332" t="s">
        <v>770</v>
      </c>
      <c r="B13" s="333"/>
      <c r="C13" s="343">
        <f ca="1">(C12-B12)/B12</f>
      </c>
      <c r="D13" s="343">
        <f t="shared" ref="D13" ca="1" si="2">(D12-C12)/C12</f>
      </c>
      <c r="E13" s="343">
        <f t="shared" ref="E13" ca="1" si="3">(E12-D12)/D12</f>
      </c>
      <c r="F13" s="343">
        <f t="shared" ref="F13" ca="1" si="4">(F12-E12)/E12</f>
      </c>
      <c r="G13" s="343">
        <f t="shared" ref="G13" ca="1" si="5">(G12-F12)/F12</f>
      </c>
      <c r="H13" s="343">
        <f t="shared" ref="H13" ca="1" si="6">(H12-G12)/G12</f>
      </c>
      <c r="I13" s="343">
        <f t="shared" ref="I13" ca="1" si="7">(I12-H12)/H12</f>
      </c>
      <c r="J13" s="343">
        <f t="shared" ref="J13" ca="1" si="8">(J12-I12)/I12</f>
      </c>
      <c r="K13" s="343">
        <f t="shared" ref="K13" ca="1" si="9">(K12-J12)/J12</f>
      </c>
      <c r="L13" s="343"/>
    </row>
    <row r="14" spans="1:21" s="1" customFormat="1" ht="15.75" thickBot="1">
      <c r="A14" s="335" t="s">
        <v>383</v>
      </c>
      <c r="B14" s="336">
        <f t="shared" ref="B14:L14" ca="1" si="10">B12/B3</f>
      </c>
      <c r="C14" s="336">
        <f t="shared" ca="1" si="10"/>
      </c>
      <c r="D14" s="336">
        <f t="shared" ca="1" si="10"/>
      </c>
      <c r="E14" s="336">
        <f t="shared" ca="1" si="10"/>
      </c>
      <c r="F14" s="336">
        <f t="shared" ca="1" si="10"/>
      </c>
      <c r="G14" s="336">
        <f t="shared" ca="1" si="10"/>
      </c>
      <c r="H14" s="336">
        <f t="shared" ca="1" si="10"/>
      </c>
      <c r="I14" s="336">
        <f t="shared" ca="1" si="10"/>
      </c>
      <c r="J14" s="336">
        <f t="shared" ca="1" si="10"/>
      </c>
      <c r="K14" s="336">
        <f t="shared" ca="1" si="10"/>
      </c>
      <c r="L14" s="337">
        <f t="shared" ca="1" si="10"/>
      </c>
      <c r="M14" s="506">
        <v>4</v>
      </c>
    </row>
    <row r="15" spans="1:21">
      <c r="A15" s="335" t="s">
        <v>382</v>
      </c>
      <c r="B15" s="336">
        <f t="shared" ref="B15:K15" ca="1" si="11">(B48+B49)/B3</f>
      </c>
      <c r="C15" s="336">
        <f t="shared" ca="1" si="11"/>
      </c>
      <c r="D15" s="336">
        <f t="shared" ca="1" si="11"/>
      </c>
      <c r="E15" s="336">
        <f t="shared" ca="1" si="11"/>
      </c>
      <c r="F15" s="336">
        <f t="shared" ca="1" si="11"/>
      </c>
      <c r="G15" s="336">
        <f t="shared" ca="1" si="11"/>
      </c>
      <c r="H15" s="336">
        <f t="shared" ca="1" si="11"/>
      </c>
      <c r="I15" s="336">
        <f t="shared" ca="1" si="11"/>
      </c>
      <c r="J15" s="336">
        <f t="shared" ca="1" si="11"/>
      </c>
      <c r="K15" s="336">
        <f t="shared" ca="1" si="11"/>
      </c>
      <c r="L15" s="337"/>
      <c r="M15" s="502"/>
    </row>
    <row r="16" spans="1:21">
      <c r="A16" s="335" t="s">
        <v>381</v>
      </c>
      <c r="B16" s="336">
        <f ca="1">SUM($C$48:C49)/SUM($B$3:B3)</f>
      </c>
      <c r="C16" s="336">
        <f ca="1">SUM($C$48:D49)/SUM($B$3:C3)</f>
      </c>
      <c r="D16" s="336">
        <f ca="1">SUM($C$48:E49)/SUM($B$3:D3)</f>
      </c>
      <c r="E16" s="336">
        <f ca="1">SUM($C$48:F49)/SUM($B$3:E3)</f>
      </c>
      <c r="F16" s="336">
        <f ca="1">SUM($C$48:G49)/SUM($B$3:F3)</f>
      </c>
      <c r="G16" s="336">
        <f ca="1">SUM($C$48:H49)/SUM($B$3:G3)</f>
      </c>
      <c r="H16" s="336">
        <f ca="1">SUM($C$48:I49)/SUM($B$3:H3)</f>
      </c>
      <c r="I16" s="336">
        <f ca="1">SUM($C$48:J49)/SUM($B$3:I3)</f>
      </c>
      <c r="J16" s="336">
        <f ca="1">SUM($C$48:K49)/SUM($B$3:J3)</f>
      </c>
      <c r="K16" s="336">
        <f ca="1">SUM($C$48:L49)/SUM($B$3:K3)</f>
      </c>
      <c r="L16" s="337"/>
      <c r="M16" s="502"/>
    </row>
    <row r="17" spans="1:13">
      <c r="A17" s="332" t="s">
        <v>92</v>
      </c>
      <c r="B17" s="333">
        <f ca="1">'Screener Output'!C54</f>
      </c>
      <c r="C17" s="333">
        <f ca="1">'Screener Output'!D54</f>
      </c>
      <c r="D17" s="333">
        <f ca="1">'Screener Output'!E54</f>
      </c>
      <c r="E17" s="333">
        <f ca="1">'Screener Output'!F54</f>
      </c>
      <c r="F17" s="333">
        <f ca="1">'Screener Output'!G54</f>
      </c>
      <c r="G17" s="333">
        <f ca="1">'Screener Output'!H54</f>
      </c>
      <c r="H17" s="333">
        <f ca="1">'Screener Output'!I54</f>
      </c>
      <c r="I17" s="333">
        <f ca="1">'Screener Output'!J54</f>
      </c>
      <c r="J17" s="333">
        <f ca="1">'Screener Output'!K54</f>
      </c>
      <c r="K17" s="333">
        <f ca="1">'Screener Output'!L54</f>
      </c>
      <c r="L17" s="334"/>
      <c r="M17" s="474"/>
    </row>
    <row r="18" spans="1:13">
      <c r="A18" s="332" t="s">
        <v>380</v>
      </c>
      <c r="B18" s="333"/>
      <c r="C18" s="333">
        <f ca="1">'Screener Output'!D75</f>
      </c>
      <c r="D18" s="333">
        <f ca="1">'Screener Output'!E75</f>
      </c>
      <c r="E18" s="333">
        <f ca="1">'Screener Output'!F75</f>
      </c>
      <c r="F18" s="333">
        <f ca="1">'Screener Output'!G75</f>
      </c>
      <c r="G18" s="333">
        <f ca="1">'Screener Output'!H75</f>
      </c>
      <c r="H18" s="333">
        <f ca="1">'Screener Output'!I75</f>
      </c>
      <c r="I18" s="333">
        <f ca="1">'Screener Output'!J75</f>
      </c>
      <c r="J18" s="333">
        <f ca="1">'Screener Output'!K75</f>
      </c>
      <c r="K18" s="333">
        <f ca="1">'Screener Output'!L75</f>
      </c>
      <c r="L18" s="340"/>
    </row>
    <row r="19" spans="1:13">
      <c r="A19" s="332" t="s">
        <v>333</v>
      </c>
      <c r="B19" s="333">
        <f ca="1">'Screener Output'!C37</f>
      </c>
      <c r="C19" s="333">
        <f ca="1">'Screener Output'!D37</f>
      </c>
      <c r="D19" s="333">
        <f ca="1">'Screener Output'!E37</f>
      </c>
      <c r="E19" s="333">
        <f ca="1">'Screener Output'!F37</f>
      </c>
      <c r="F19" s="333">
        <f ca="1">'Screener Output'!G37</f>
      </c>
      <c r="G19" s="333">
        <f ca="1">'Screener Output'!H37</f>
      </c>
      <c r="H19" s="333">
        <f ca="1">'Screener Output'!I37</f>
      </c>
      <c r="I19" s="333">
        <f ca="1">'Screener Output'!J37</f>
      </c>
      <c r="J19" s="333">
        <f ca="1">'Screener Output'!K37</f>
      </c>
      <c r="K19" s="333">
        <f ca="1">'Screener Output'!L37</f>
      </c>
      <c r="L19" s="340"/>
    </row>
    <row r="20" spans="1:13">
      <c r="A20" s="332" t="s">
        <v>365</v>
      </c>
      <c r="B20" s="333">
        <f ca="1">'Screener Output'!C42+'Screener Output'!C47</f>
      </c>
      <c r="C20" s="333">
        <f ca="1">'Screener Output'!D42+'Screener Output'!D47</f>
      </c>
      <c r="D20" s="333">
        <f ca="1">'Screener Output'!E42+'Screener Output'!E47</f>
      </c>
      <c r="E20" s="333">
        <f ca="1">'Screener Output'!F42+'Screener Output'!F47</f>
      </c>
      <c r="F20" s="333">
        <f ca="1">'Screener Output'!G42+'Screener Output'!G47</f>
      </c>
      <c r="G20" s="333">
        <f ca="1">'Screener Output'!H42+'Screener Output'!H47</f>
      </c>
      <c r="H20" s="333">
        <f ca="1">'Screener Output'!I42+'Screener Output'!I47</f>
      </c>
      <c r="I20" s="333">
        <f ca="1">'Screener Output'!J42+'Screener Output'!J47</f>
      </c>
      <c r="J20" s="333">
        <f ca="1">'Screener Output'!K42+'Screener Output'!K47</f>
      </c>
      <c r="K20" s="333">
        <f ca="1">'Screener Output'!L42+'Screener Output'!L47</f>
      </c>
      <c r="L20" s="340"/>
    </row>
    <row r="21" spans="1:13" ht="15.75" thickBot="1">
      <c r="A21" s="332"/>
      <c r="B21" s="333"/>
      <c r="C21" s="326"/>
      <c r="D21" s="326"/>
      <c r="E21" s="326"/>
      <c r="F21" s="326"/>
      <c r="G21" s="326"/>
      <c r="H21" s="326"/>
      <c r="I21" s="326"/>
      <c r="J21" s="326"/>
      <c r="K21" s="326"/>
      <c r="L21" s="340"/>
    </row>
    <row r="22" spans="1:13" ht="15.75" thickBot="1">
      <c r="A22" s="341" t="s">
        <v>379</v>
      </c>
      <c r="B22" s="342"/>
      <c r="C22" s="342"/>
      <c r="D22" s="343"/>
      <c r="E22" s="343">
        <f ca="1">'Screener Output'!F79</f>
      </c>
      <c r="F22" s="343">
        <f ca="1">'Screener Output'!G79</f>
      </c>
      <c r="G22" s="343">
        <f ca="1">'Screener Output'!H79</f>
      </c>
      <c r="H22" s="343">
        <f ca="1">'Screener Output'!I79</f>
      </c>
      <c r="I22" s="343">
        <f ca="1">'Screener Output'!J79</f>
      </c>
      <c r="J22" s="343">
        <f ca="1">'Screener Output'!K79</f>
      </c>
      <c r="K22" s="343">
        <f ca="1">'Screener Output'!L79</f>
      </c>
      <c r="L22" s="340"/>
      <c r="M22" s="506">
        <v>4</v>
      </c>
    </row>
    <row r="23" spans="1:13" ht="15.75" thickBot="1">
      <c r="A23" s="332" t="s">
        <v>378</v>
      </c>
      <c r="B23" s="327"/>
      <c r="C23" s="327">
        <f ca="1">'Screener Output'!D16/'Screener Output'!D84</f>
      </c>
      <c r="D23" s="327">
        <f ca="1">'Screener Output'!E16/'Screener Output'!E84</f>
      </c>
      <c r="E23" s="327">
        <f ca="1">'Screener Output'!F16/'Screener Output'!F84</f>
      </c>
      <c r="F23" s="327">
        <f ca="1">'Screener Output'!G16/'Screener Output'!G84</f>
      </c>
      <c r="G23" s="327">
        <f ca="1">'Screener Output'!H16/'Screener Output'!H84</f>
      </c>
      <c r="H23" s="327">
        <f ca="1">'Screener Output'!I16/'Screener Output'!I84</f>
      </c>
      <c r="I23" s="327">
        <f ca="1">'Screener Output'!J16/'Screener Output'!J84</f>
      </c>
      <c r="J23" s="327">
        <f ca="1">'Screener Output'!K16/'Screener Output'!K84</f>
      </c>
      <c r="K23" s="327">
        <f ca="1">'Screener Output'!L16/'Screener Output'!L84</f>
      </c>
      <c r="L23" s="340"/>
    </row>
    <row r="24" spans="1:13" ht="15.75" thickBot="1">
      <c r="A24" s="332" t="s">
        <v>377</v>
      </c>
      <c r="B24" s="327">
        <f ca="1">'Screener Output'!C18/SUM('Screener Output'!C35:C36)</f>
      </c>
      <c r="C24" s="327">
        <f ca="1">'Screener Output'!D18/SUM('Screener Output'!D35:D36)</f>
      </c>
      <c r="D24" s="327">
        <f ca="1">'Screener Output'!E18/SUM('Screener Output'!E35:E36)</f>
      </c>
      <c r="E24" s="327">
        <f ca="1">'Screener Output'!F18/SUM('Screener Output'!F35:F36)</f>
      </c>
      <c r="F24" s="327">
        <f ca="1">'Screener Output'!G18/SUM('Screener Output'!G35:G36)</f>
      </c>
      <c r="G24" s="327">
        <f ca="1">'Screener Output'!H18/SUM('Screener Output'!H35:H36)</f>
      </c>
      <c r="H24" s="327">
        <f ca="1">'Screener Output'!I18/SUM('Screener Output'!I35:I36)</f>
      </c>
      <c r="I24" s="327">
        <f ca="1">'Screener Output'!J18/SUM('Screener Output'!J35:J36)</f>
      </c>
      <c r="J24" s="327">
        <f ca="1">'Screener Output'!K18/SUM('Screener Output'!K35:K36)</f>
      </c>
      <c r="K24" s="327">
        <f ca="1">'Screener Output'!L18/SUM('Screener Output'!L35:L36)</f>
      </c>
      <c r="L24" s="340"/>
      <c r="M24" s="506">
        <v>4</v>
      </c>
    </row>
    <row r="25" spans="1:13" ht="15.75" thickBot="1">
      <c r="A25" s="332" t="s">
        <v>376</v>
      </c>
      <c r="B25" s="327">
        <f ca="1">'Screener Output'!C18/SUM('Screener Output'!C35:C37)</f>
      </c>
      <c r="C25" s="327">
        <f ca="1">'Screener Output'!D18/SUM('Screener Output'!D35:D37)</f>
      </c>
      <c r="D25" s="327">
        <f ca="1">'Screener Output'!E18/SUM('Screener Output'!E35:E37)</f>
      </c>
      <c r="E25" s="327">
        <f ca="1">'Screener Output'!F18/SUM('Screener Output'!F35:F37)</f>
      </c>
      <c r="F25" s="327">
        <f ca="1">'Screener Output'!G18/SUM('Screener Output'!G35:G37)</f>
      </c>
      <c r="G25" s="327">
        <f ca="1">'Screener Output'!H18/SUM('Screener Output'!H35:H37)</f>
      </c>
      <c r="H25" s="327">
        <f ca="1">'Screener Output'!I18/SUM('Screener Output'!I35:I37)</f>
      </c>
      <c r="I25" s="327">
        <f ca="1">'Screener Output'!J18/SUM('Screener Output'!J35:J37)</f>
      </c>
      <c r="J25" s="327">
        <f ca="1">'Screener Output'!K18/SUM('Screener Output'!K35:K37)</f>
      </c>
      <c r="K25" s="327">
        <f ca="1">'Screener Output'!L18/SUM('Screener Output'!L35:L37)</f>
      </c>
      <c r="L25" s="340"/>
      <c r="M25" s="506">
        <v>4</v>
      </c>
    </row>
    <row r="26" spans="1:13">
      <c r="A26" s="332" t="s">
        <v>375</v>
      </c>
      <c r="B26" s="326"/>
      <c r="C26" s="326"/>
      <c r="D26" s="327">
        <f ca="1">'Screener Output'!E105</f>
      </c>
      <c r="E26" s="327">
        <f ca="1">'Screener Output'!F105</f>
      </c>
      <c r="F26" s="327">
        <f ca="1">'Screener Output'!G105</f>
      </c>
      <c r="G26" s="327">
        <f ca="1">'Screener Output'!H105</f>
      </c>
      <c r="H26" s="327">
        <f ca="1">'Screener Output'!I105</f>
      </c>
      <c r="I26" s="327">
        <f ca="1">'Screener Output'!J105</f>
      </c>
      <c r="J26" s="327">
        <f ca="1">'Screener Output'!K105</f>
      </c>
      <c r="K26" s="327">
        <f ca="1">'Screener Output'!L105</f>
      </c>
      <c r="L26" s="340"/>
    </row>
    <row r="27" spans="1:13">
      <c r="A27" s="332" t="s">
        <v>374</v>
      </c>
      <c r="B27" s="327">
        <f t="shared" ref="B27:K27" ca="1" si="12">B12/B38</f>
      </c>
      <c r="C27" s="327">
        <f t="shared" ca="1" si="12"/>
      </c>
      <c r="D27" s="327">
        <f t="shared" ca="1" si="12"/>
      </c>
      <c r="E27" s="327">
        <f t="shared" ca="1" si="12"/>
      </c>
      <c r="F27" s="327">
        <f t="shared" ca="1" si="12"/>
      </c>
      <c r="G27" s="327">
        <f t="shared" ca="1" si="12"/>
      </c>
      <c r="H27" s="327">
        <f t="shared" ca="1" si="12"/>
      </c>
      <c r="I27" s="327">
        <f t="shared" ca="1" si="12"/>
      </c>
      <c r="J27" s="327">
        <f t="shared" ca="1" si="12"/>
      </c>
      <c r="K27" s="327" t="e">
        <f t="shared" ca="1" si="12"/>
      </c>
      <c r="L27" s="340"/>
    </row>
    <row r="28" spans="1:13" ht="15.75" thickBot="1">
      <c r="A28" s="332"/>
      <c r="B28" s="326"/>
      <c r="C28" s="326"/>
      <c r="D28" s="326"/>
      <c r="E28" s="326"/>
      <c r="F28" s="326"/>
      <c r="G28" s="326"/>
      <c r="H28" s="326"/>
      <c r="I28" s="326"/>
      <c r="J28" s="326"/>
      <c r="K28" s="326"/>
      <c r="L28" s="340"/>
    </row>
    <row r="29" spans="1:13" ht="15.75" thickBot="1">
      <c r="A29" s="332" t="s">
        <v>373</v>
      </c>
      <c r="B29" s="344">
        <f ca="1">'Screener Output'!C5/'Screener Output'!C40</f>
      </c>
      <c r="C29" s="344">
        <f ca="1">'Screener Output'!D5/'Screener Output'!D40</f>
      </c>
      <c r="D29" s="344">
        <f ca="1">'Screener Output'!E5/'Screener Output'!E40</f>
      </c>
      <c r="E29" s="344">
        <f ca="1">'Screener Output'!F5/'Screener Output'!F40</f>
      </c>
      <c r="F29" s="344">
        <f ca="1">'Screener Output'!G5/'Screener Output'!G40</f>
      </c>
      <c r="G29" s="344">
        <f ca="1">'Screener Output'!H5/'Screener Output'!H40</f>
      </c>
      <c r="H29" s="344">
        <f ca="1">'Screener Output'!I5/'Screener Output'!I40</f>
      </c>
      <c r="I29" s="344">
        <f ca="1">'Screener Output'!J5/'Screener Output'!J40</f>
      </c>
      <c r="J29" s="344">
        <f ca="1">'Screener Output'!K5/'Screener Output'!K40</f>
      </c>
      <c r="K29" s="344">
        <f ca="1">'Screener Output'!L5/'Screener Output'!L40</f>
      </c>
      <c r="L29" s="340"/>
      <c r="M29" s="506">
        <v>4</v>
      </c>
    </row>
    <row r="30" spans="1:13" ht="15.75" thickBot="1">
      <c r="A30" s="332" t="s">
        <v>372</v>
      </c>
      <c r="B30" s="344">
        <f ca="1">'Screener Output'!C45*365/VMAnalysis!B3</f>
      </c>
      <c r="C30" s="344">
        <f ca="1">'Screener Output'!D45*365/VMAnalysis!C3</f>
      </c>
      <c r="D30" s="344">
        <f ca="1">'Screener Output'!E45*365/VMAnalysis!D3</f>
      </c>
      <c r="E30" s="344">
        <f ca="1">'Screener Output'!F45*365/VMAnalysis!E3</f>
      </c>
      <c r="F30" s="344">
        <f ca="1">'Screener Output'!G45*365/VMAnalysis!F3</f>
      </c>
      <c r="G30" s="344">
        <f ca="1">'Screener Output'!H45*365/VMAnalysis!G3</f>
      </c>
      <c r="H30" s="344">
        <f ca="1">'Screener Output'!I45*365/VMAnalysis!H3</f>
      </c>
      <c r="I30" s="344">
        <f ca="1">'Screener Output'!J45*365/VMAnalysis!I3</f>
      </c>
      <c r="J30" s="344">
        <f ca="1">'Screener Output'!K45*365/VMAnalysis!J3</f>
      </c>
      <c r="K30" s="344">
        <f ca="1">'Screener Output'!L45*365/VMAnalysis!K3</f>
      </c>
      <c r="L30" s="340"/>
      <c r="M30" s="506">
        <v>4</v>
      </c>
    </row>
    <row r="31" spans="1:13" ht="15.75" thickBot="1">
      <c r="A31" s="332" t="s">
        <v>371</v>
      </c>
      <c r="B31" s="344">
        <f ca="1">'Screener Output'!C46*365/('Screener Output'!C6+'Screener Output'!C7+'Screener Output'!C8+'Screener Output'!C9+'Screener Output'!C10)</f>
      </c>
      <c r="C31" s="344">
        <f ca="1">'Screener Output'!D46*365/('Screener Output'!D6+'Screener Output'!D7+'Screener Output'!D8+'Screener Output'!D9+'Screener Output'!D10)</f>
      </c>
      <c r="D31" s="344">
        <f ca="1">'Screener Output'!E46*365/('Screener Output'!E6+'Screener Output'!E7+'Screener Output'!E8+'Screener Output'!E9+'Screener Output'!E10)</f>
      </c>
      <c r="E31" s="344">
        <f ca="1">'Screener Output'!F46*365/('Screener Output'!F6+'Screener Output'!F7+'Screener Output'!F8+'Screener Output'!F9+'Screener Output'!F10)</f>
      </c>
      <c r="F31" s="344">
        <f ca="1">'Screener Output'!G46*365/('Screener Output'!G6+'Screener Output'!G7+'Screener Output'!G8+'Screener Output'!G9+'Screener Output'!G10)</f>
      </c>
      <c r="G31" s="344">
        <f ca="1">'Screener Output'!H46*365/('Screener Output'!H6+'Screener Output'!H7+'Screener Output'!H8+'Screener Output'!H9+'Screener Output'!H10)</f>
      </c>
      <c r="H31" s="344">
        <f ca="1">'Screener Output'!I46*365/('Screener Output'!I6+'Screener Output'!I7+'Screener Output'!I8+'Screener Output'!I9+'Screener Output'!I10)</f>
      </c>
      <c r="I31" s="344">
        <f ca="1">'Screener Output'!J46*365/('Screener Output'!J6+'Screener Output'!J7+'Screener Output'!J8+'Screener Output'!J9+'Screener Output'!J10)</f>
      </c>
      <c r="J31" s="344">
        <f ca="1">'Screener Output'!K46*365/('Screener Output'!K6+'Screener Output'!K7+'Screener Output'!K8+'Screener Output'!K9+'Screener Output'!K10)</f>
      </c>
      <c r="K31" s="344">
        <f ca="1">'Screener Output'!L46*365/('Screener Output'!L6+'Screener Output'!L7+'Screener Output'!L8+'Screener Output'!L9+'Screener Output'!L10)</f>
      </c>
      <c r="L31" s="340"/>
    </row>
    <row r="32" spans="1:13" ht="15.75" thickBot="1">
      <c r="A32" s="332" t="s">
        <v>370</v>
      </c>
      <c r="B32" s="344">
        <f ca="1">'Screener Output'!C40</f>
      </c>
      <c r="C32" s="344">
        <f ca="1">'Screener Output'!D40</f>
      </c>
      <c r="D32" s="344">
        <f ca="1">'Screener Output'!E40</f>
      </c>
      <c r="E32" s="344">
        <f ca="1">'Screener Output'!F40</f>
      </c>
      <c r="F32" s="344">
        <f ca="1">'Screener Output'!G40</f>
      </c>
      <c r="G32" s="344">
        <f ca="1">'Screener Output'!H40</f>
      </c>
      <c r="H32" s="344">
        <f ca="1">'Screener Output'!I40</f>
      </c>
      <c r="I32" s="344">
        <f ca="1">'Screener Output'!J40</f>
      </c>
      <c r="J32" s="344">
        <f ca="1">'Screener Output'!K40</f>
      </c>
      <c r="K32" s="344">
        <f ca="1">'Screener Output'!L40</f>
      </c>
      <c r="L32" s="340"/>
      <c r="M32" s="506">
        <v>4</v>
      </c>
    </row>
    <row r="33" spans="1:20">
      <c r="A33" s="332" t="s">
        <v>369</v>
      </c>
      <c r="B33" s="344">
        <f ca="1">'Screener Output'!C41</f>
      </c>
      <c r="C33" s="344">
        <f ca="1">'Screener Output'!D41</f>
      </c>
      <c r="D33" s="344">
        <f ca="1">'Screener Output'!E41</f>
      </c>
      <c r="E33" s="344">
        <f ca="1">'Screener Output'!F41</f>
      </c>
      <c r="F33" s="344">
        <f ca="1">'Screener Output'!G41</f>
      </c>
      <c r="G33" s="344">
        <f ca="1">'Screener Output'!H41</f>
      </c>
      <c r="H33" s="344">
        <f ca="1">'Screener Output'!I41</f>
      </c>
      <c r="I33" s="344">
        <f ca="1">'Screener Output'!J41</f>
      </c>
      <c r="J33" s="344">
        <f ca="1">'Screener Output'!K41</f>
      </c>
      <c r="K33" s="344">
        <f ca="1">'Screener Output'!L41</f>
      </c>
      <c r="L33" s="340"/>
    </row>
    <row r="34" spans="1:20">
      <c r="A34" s="332" t="s">
        <v>699</v>
      </c>
      <c r="B34" s="344">
        <f ca="1">'Screener Output'!C35</f>
      </c>
      <c r="C34" s="344">
        <f ca="1">'Screener Output'!D35</f>
      </c>
      <c r="D34" s="344">
        <f ca="1">'Screener Output'!E35</f>
      </c>
      <c r="E34" s="344">
        <f ca="1">'Screener Output'!F35</f>
      </c>
      <c r="F34" s="344">
        <f ca="1">'Screener Output'!G35</f>
      </c>
      <c r="G34" s="344">
        <f ca="1">'Screener Output'!H35</f>
      </c>
      <c r="H34" s="344">
        <f ca="1">'Screener Output'!I35</f>
      </c>
      <c r="I34" s="344">
        <f ca="1">'Screener Output'!J35</f>
      </c>
      <c r="J34" s="344">
        <f ca="1">'Screener Output'!K35</f>
      </c>
      <c r="K34" s="344">
        <f ca="1">'Screener Output'!L35</f>
      </c>
      <c r="L34" s="340"/>
    </row>
    <row r="35" spans="1:20">
      <c r="A35" s="376" t="s">
        <v>368</v>
      </c>
      <c r="B35" s="344">
        <f ca="1">'Screener Output'!C19</f>
      </c>
      <c r="C35" s="344">
        <f ca="1">'Screener Output'!D19</f>
      </c>
      <c r="D35" s="344">
        <f ca="1">'Screener Output'!E19</f>
      </c>
      <c r="E35" s="344">
        <f ca="1">'Screener Output'!F19</f>
      </c>
      <c r="F35" s="344">
        <f ca="1">'Screener Output'!G19</f>
      </c>
      <c r="G35" s="344">
        <f ca="1">'Screener Output'!H19</f>
      </c>
      <c r="H35" s="344">
        <f ca="1">'Screener Output'!I19</f>
      </c>
      <c r="I35" s="344">
        <f ca="1">'Screener Output'!J19</f>
      </c>
      <c r="J35" s="344">
        <f ca="1">'Screener Output'!K19</f>
      </c>
      <c r="K35" s="344">
        <f ca="1">'Screener Output'!L19</f>
      </c>
      <c r="L35" s="340"/>
    </row>
    <row r="36" spans="1:20">
      <c r="A36" s="332" t="s">
        <v>367</v>
      </c>
      <c r="B36" s="327">
        <f t="shared" ref="B36:K36" ca="1" si="13">B35/B12</f>
      </c>
      <c r="C36" s="327">
        <f t="shared" ca="1" si="13"/>
      </c>
      <c r="D36" s="327">
        <f t="shared" ca="1" si="13"/>
      </c>
      <c r="E36" s="327">
        <f t="shared" ca="1" si="13"/>
      </c>
      <c r="F36" s="327">
        <f t="shared" ca="1" si="13"/>
      </c>
      <c r="G36" s="327">
        <f t="shared" ca="1" si="13"/>
      </c>
      <c r="H36" s="327">
        <f t="shared" ca="1" si="13"/>
      </c>
      <c r="I36" s="327">
        <f t="shared" ca="1" si="13"/>
      </c>
      <c r="J36" s="327">
        <f t="shared" ca="1" si="13"/>
      </c>
      <c r="K36" s="327">
        <f t="shared" ca="1" si="13"/>
      </c>
      <c r="L36" s="340"/>
    </row>
    <row r="37" spans="1:20">
      <c r="A37" s="332" t="s">
        <v>505</v>
      </c>
      <c r="B37" s="344">
        <f ca="1">'Screener Output'!C95/'Screener Output'!C18</f>
      </c>
      <c r="C37" s="344">
        <f ca="1">'Screener Output'!D95/'Screener Output'!D18</f>
      </c>
      <c r="D37" s="344">
        <f ca="1">'Screener Output'!E95/'Screener Output'!E18</f>
      </c>
      <c r="E37" s="344">
        <f ca="1">'Screener Output'!F95/'Screener Output'!F18</f>
      </c>
      <c r="F37" s="344">
        <f ca="1">'Screener Output'!G95/'Screener Output'!G18</f>
      </c>
      <c r="G37" s="344">
        <f ca="1">'Screener Output'!H95/'Screener Output'!H18</f>
      </c>
      <c r="H37" s="344">
        <f ca="1">'Screener Output'!I95/'Screener Output'!I18</f>
      </c>
      <c r="I37" s="344">
        <f ca="1">'Screener Output'!J95/'Screener Output'!J18</f>
      </c>
      <c r="J37" s="344">
        <f ca="1">'Screener Output'!K95/'Screener Output'!K18</f>
      </c>
      <c r="K37" s="344">
        <f ca="1">'Screener Output'!L95/'Screener Output'!L18</f>
      </c>
      <c r="L37" s="345">
        <f ca="1">'Screener Output'!M95/'Screener Output'!M18</f>
      </c>
      <c r="M37" s="508"/>
    </row>
    <row r="38" spans="1:20">
      <c r="A38" s="332" t="s">
        <v>366</v>
      </c>
      <c r="B38" s="344">
        <f ca="1">'Screener Output'!C95</f>
      </c>
      <c r="C38" s="344">
        <f ca="1">'Screener Output'!D95</f>
      </c>
      <c r="D38" s="344">
        <f ca="1">'Screener Output'!E95</f>
      </c>
      <c r="E38" s="344">
        <f ca="1">'Screener Output'!F95</f>
      </c>
      <c r="F38" s="344">
        <f ca="1">'Screener Output'!G95</f>
      </c>
      <c r="G38" s="344">
        <f ca="1">'Screener Output'!H95</f>
      </c>
      <c r="H38" s="344">
        <f ca="1">'Screener Output'!I95</f>
      </c>
      <c r="I38" s="344">
        <f ca="1">'Screener Output'!J95</f>
      </c>
      <c r="J38" s="344">
        <f ca="1">'Screener Output'!K95</f>
      </c>
      <c r="K38" s="344">
        <f ca="1">'Screener Output'!L95</f>
      </c>
      <c r="L38" s="345">
        <f ca="1">'Screener Output'!M95</f>
      </c>
      <c r="M38" s="508"/>
    </row>
    <row r="39" spans="1:20">
      <c r="A39" s="332" t="s">
        <v>365</v>
      </c>
      <c r="B39" s="344">
        <f ca="1">'Screener Output'!C42+'Screener Output'!C47</f>
      </c>
      <c r="C39" s="344">
        <f ca="1">'Screener Output'!D42+'Screener Output'!D47</f>
      </c>
      <c r="D39" s="344">
        <f ca="1">'Screener Output'!E42+'Screener Output'!E47</f>
      </c>
      <c r="E39" s="344">
        <f ca="1">'Screener Output'!F42+'Screener Output'!F47</f>
      </c>
      <c r="F39" s="344">
        <f ca="1">'Screener Output'!G42+'Screener Output'!G47</f>
      </c>
      <c r="G39" s="344">
        <f ca="1">'Screener Output'!H42+'Screener Output'!H47</f>
      </c>
      <c r="H39" s="344">
        <f ca="1">'Screener Output'!I42+'Screener Output'!I47</f>
      </c>
      <c r="I39" s="344">
        <f ca="1">'Screener Output'!J42+'Screener Output'!J47</f>
      </c>
      <c r="J39" s="344">
        <f ca="1">'Screener Output'!K42+'Screener Output'!K47</f>
      </c>
      <c r="K39" s="344">
        <f ca="1">'Screener Output'!L42+'Screener Output'!L47</f>
      </c>
      <c r="L39" s="340"/>
    </row>
    <row r="40" spans="1:20">
      <c r="A40" s="332"/>
      <c r="B40" s="326"/>
      <c r="C40" s="326"/>
      <c r="D40" s="326"/>
      <c r="E40" s="326"/>
      <c r="F40" s="326"/>
      <c r="G40" s="326"/>
      <c r="H40" s="326"/>
      <c r="I40" s="326"/>
      <c r="J40" s="326"/>
      <c r="K40" s="326"/>
      <c r="L40" s="340"/>
    </row>
    <row r="41" spans="1:20">
      <c r="A41" s="332" t="s">
        <v>333</v>
      </c>
      <c r="B41" s="344">
        <f ca="1">'Screener Output'!C37</f>
      </c>
      <c r="C41" s="344">
        <f ca="1">'Screener Output'!D37</f>
      </c>
      <c r="D41" s="344">
        <f ca="1">'Screener Output'!E37</f>
      </c>
      <c r="E41" s="344">
        <f ca="1">'Screener Output'!F37</f>
      </c>
      <c r="F41" s="344">
        <f ca="1">'Screener Output'!G37</f>
      </c>
      <c r="G41" s="344">
        <f ca="1">'Screener Output'!H37</f>
      </c>
      <c r="H41" s="344">
        <f ca="1">'Screener Output'!I37</f>
      </c>
      <c r="I41" s="344">
        <f ca="1">'Screener Output'!J37</f>
      </c>
      <c r="J41" s="344">
        <f ca="1">'Screener Output'!K37</f>
      </c>
      <c r="K41" s="344">
        <f ca="1">'Screener Output'!L37</f>
      </c>
      <c r="L41" s="340"/>
    </row>
    <row r="42" spans="1:20" ht="15.75" thickBot="1">
      <c r="A42" s="332" t="s">
        <v>364</v>
      </c>
      <c r="B42" s="344">
        <f ca="1">'Screener Output'!C35+'Screener Output'!C36</f>
      </c>
      <c r="C42" s="344">
        <f ca="1">'Screener Output'!D35+'Screener Output'!D36</f>
      </c>
      <c r="D42" s="344">
        <f ca="1">'Screener Output'!E35+'Screener Output'!E36</f>
      </c>
      <c r="E42" s="344">
        <f ca="1">'Screener Output'!F35+'Screener Output'!F36</f>
      </c>
      <c r="F42" s="344">
        <f ca="1">'Screener Output'!G35+'Screener Output'!G36</f>
      </c>
      <c r="G42" s="344">
        <f ca="1">'Screener Output'!H35+'Screener Output'!H36</f>
      </c>
      <c r="H42" s="344">
        <f ca="1">'Screener Output'!I35+'Screener Output'!I36</f>
      </c>
      <c r="I42" s="344">
        <f ca="1">'Screener Output'!J35+'Screener Output'!J36</f>
      </c>
      <c r="J42" s="344">
        <f ca="1">'Screener Output'!K35+'Screener Output'!K36</f>
      </c>
      <c r="K42" s="344">
        <f ca="1">'Screener Output'!L35+'Screener Output'!L36</f>
      </c>
      <c r="L42" s="340"/>
    </row>
    <row r="43" spans="1:20" ht="15.75" thickBot="1">
      <c r="A43" s="332" t="s">
        <v>363</v>
      </c>
      <c r="B43" s="327">
        <f t="shared" ref="B43:K43" ca="1" si="14">B41/B42</f>
      </c>
      <c r="C43" s="327">
        <f t="shared" ca="1" si="14"/>
      </c>
      <c r="D43" s="327">
        <f t="shared" ca="1" si="14"/>
      </c>
      <c r="E43" s="327">
        <f t="shared" ca="1" si="14"/>
      </c>
      <c r="F43" s="327">
        <f t="shared" ca="1" si="14"/>
      </c>
      <c r="G43" s="327">
        <f t="shared" ca="1" si="14"/>
      </c>
      <c r="H43" s="327">
        <f t="shared" ca="1" si="14"/>
      </c>
      <c r="I43" s="327">
        <f t="shared" ca="1" si="14"/>
      </c>
      <c r="J43" s="327">
        <f t="shared" ca="1" si="14"/>
      </c>
      <c r="K43" s="327">
        <f t="shared" ca="1" si="14"/>
      </c>
      <c r="L43" s="340"/>
      <c r="M43" s="506">
        <v>4</v>
      </c>
    </row>
    <row r="44" spans="1:20">
      <c r="A44" s="332" t="s">
        <v>362</v>
      </c>
      <c r="B44" s="346">
        <v>0.125</v>
      </c>
      <c r="C44" s="326"/>
      <c r="D44" s="326"/>
      <c r="E44" s="326"/>
      <c r="F44" s="326"/>
      <c r="G44" s="326"/>
      <c r="H44" s="326"/>
      <c r="I44" s="326"/>
      <c r="J44" s="326"/>
      <c r="K44" s="326"/>
      <c r="L44" s="340"/>
      <c r="T44" s="325"/>
    </row>
    <row r="45" spans="1:20" ht="15.75" thickBot="1">
      <c r="A45" s="332" t="s">
        <v>361</v>
      </c>
      <c r="B45" s="344">
        <f ca="1">'Screener Output'!C15</f>
      </c>
      <c r="C45" s="344">
        <f ca="1">'Screener Output'!D15</f>
      </c>
      <c r="D45" s="344">
        <f ca="1">'Screener Output'!E15</f>
      </c>
      <c r="E45" s="344">
        <f ca="1">'Screener Output'!F15</f>
      </c>
      <c r="F45" s="344">
        <f ca="1">'Screener Output'!G15</f>
      </c>
      <c r="G45" s="344">
        <f ca="1">'Screener Output'!H15</f>
      </c>
      <c r="H45" s="344">
        <f ca="1">'Screener Output'!I15</f>
      </c>
      <c r="I45" s="344">
        <f ca="1">'Screener Output'!J15</f>
      </c>
      <c r="J45" s="344">
        <f ca="1">'Screener Output'!K15</f>
      </c>
      <c r="K45" s="344">
        <f ca="1">'Screener Output'!L15</f>
      </c>
      <c r="L45" s="340"/>
    </row>
    <row r="46" spans="1:20" ht="15.75" thickBot="1">
      <c r="A46" s="332" t="s">
        <v>360</v>
      </c>
      <c r="B46" s="344">
        <f t="shared" ref="B46:K46" ca="1" si="15">B12/B45</f>
      </c>
      <c r="C46" s="344">
        <f t="shared" ca="1" si="15"/>
      </c>
      <c r="D46" s="344">
        <f t="shared" ca="1" si="15"/>
      </c>
      <c r="E46" s="344">
        <f t="shared" ca="1" si="15"/>
      </c>
      <c r="F46" s="344">
        <f t="shared" ca="1" si="15"/>
      </c>
      <c r="G46" s="344">
        <f t="shared" ca="1" si="15"/>
      </c>
      <c r="H46" s="344">
        <f t="shared" ca="1" si="15"/>
      </c>
      <c r="I46" s="344">
        <f t="shared" ca="1" si="15"/>
      </c>
      <c r="J46" s="344">
        <f t="shared" ca="1" si="15"/>
      </c>
      <c r="K46" s="344">
        <f t="shared" ca="1" si="15"/>
      </c>
      <c r="L46" s="340"/>
      <c r="M46" s="506">
        <v>4</v>
      </c>
      <c r="P46" s="473"/>
    </row>
    <row r="47" spans="1:20" ht="15.75" thickBot="1">
      <c r="A47" s="332"/>
      <c r="B47" s="326"/>
      <c r="C47" s="326"/>
      <c r="D47" s="326"/>
      <c r="E47" s="326"/>
      <c r="F47" s="326"/>
      <c r="G47" s="326"/>
      <c r="H47" s="326"/>
      <c r="I47" s="326"/>
      <c r="J47" s="326"/>
      <c r="K47" s="326"/>
      <c r="L47" s="340"/>
    </row>
    <row r="48" spans="1:20" ht="15.75" thickBot="1">
      <c r="A48" s="335" t="s">
        <v>92</v>
      </c>
      <c r="B48" s="347">
        <f ca="1">'Screener Output'!C54</f>
      </c>
      <c r="C48" s="347">
        <f ca="1">'Screener Output'!D54</f>
      </c>
      <c r="D48" s="347">
        <f ca="1">'Screener Output'!E54</f>
      </c>
      <c r="E48" s="347">
        <f ca="1">'Screener Output'!F54</f>
      </c>
      <c r="F48" s="347">
        <f ca="1">'Screener Output'!G54</f>
      </c>
      <c r="G48" s="347">
        <f ca="1">'Screener Output'!H54</f>
      </c>
      <c r="H48" s="347">
        <f ca="1">'Screener Output'!I54</f>
      </c>
      <c r="I48" s="347">
        <f ca="1">'Screener Output'!J54</f>
      </c>
      <c r="J48" s="347">
        <f ca="1">'Screener Output'!K54</f>
      </c>
      <c r="K48" s="347">
        <f ca="1">'Screener Output'!L54</f>
      </c>
      <c r="L48" s="340"/>
      <c r="M48" s="506">
        <v>4</v>
      </c>
    </row>
    <row r="49" spans="1:17">
      <c r="A49" s="332" t="s">
        <v>359</v>
      </c>
      <c r="B49" s="344">
        <f ca="1">'Screener Output'!C55</f>
      </c>
      <c r="C49" s="344">
        <f ca="1">'Screener Output'!D55</f>
      </c>
      <c r="D49" s="344">
        <f ca="1">'Screener Output'!E55</f>
      </c>
      <c r="E49" s="344">
        <f ca="1">'Screener Output'!F55</f>
      </c>
      <c r="F49" s="344">
        <f ca="1">'Screener Output'!G55</f>
      </c>
      <c r="G49" s="344">
        <f ca="1">'Screener Output'!H55</f>
      </c>
      <c r="H49" s="344">
        <f ca="1">'Screener Output'!I55</f>
      </c>
      <c r="I49" s="344">
        <f ca="1">'Screener Output'!J55</f>
      </c>
      <c r="J49" s="344">
        <f ca="1">'Screener Output'!K55</f>
      </c>
      <c r="K49" s="344">
        <f ca="1">'Screener Output'!L55</f>
      </c>
      <c r="L49" s="340"/>
    </row>
    <row r="50" spans="1:17" ht="15.75" thickBot="1">
      <c r="A50" s="332" t="s">
        <v>358</v>
      </c>
      <c r="B50" s="344">
        <f ca="1">'Screener Output'!C56</f>
      </c>
      <c r="C50" s="344">
        <f ca="1">'Screener Output'!D56</f>
      </c>
      <c r="D50" s="344">
        <f ca="1">'Screener Output'!E56</f>
      </c>
      <c r="E50" s="344">
        <f ca="1">'Screener Output'!F56</f>
      </c>
      <c r="F50" s="344">
        <f ca="1">'Screener Output'!G56</f>
      </c>
      <c r="G50" s="344">
        <f ca="1">'Screener Output'!H56</f>
      </c>
      <c r="H50" s="344">
        <f ca="1">'Screener Output'!I56</f>
      </c>
      <c r="I50" s="344">
        <f ca="1">'Screener Output'!J56</f>
      </c>
      <c r="J50" s="344">
        <f ca="1">'Screener Output'!K56</f>
      </c>
      <c r="K50" s="344">
        <f ca="1">'Screener Output'!L56</f>
      </c>
      <c r="L50" s="340"/>
    </row>
    <row r="51" spans="1:17" ht="15.75" thickBot="1">
      <c r="A51" s="335" t="s">
        <v>357</v>
      </c>
      <c r="B51" s="347">
        <f ca="1">'Screener Output'!C57</f>
      </c>
      <c r="C51" s="347">
        <f ca="1">'Screener Output'!D57</f>
      </c>
      <c r="D51" s="347">
        <f ca="1">'Screener Output'!E57</f>
      </c>
      <c r="E51" s="347">
        <f ca="1">'Screener Output'!F57</f>
      </c>
      <c r="F51" s="347">
        <f ca="1">'Screener Output'!G57</f>
      </c>
      <c r="G51" s="347">
        <f ca="1">'Screener Output'!H57</f>
      </c>
      <c r="H51" s="347">
        <f ca="1">'Screener Output'!I57</f>
      </c>
      <c r="I51" s="347">
        <f ca="1">'Screener Output'!J57</f>
      </c>
      <c r="J51" s="347">
        <f ca="1">'Screener Output'!K57</f>
      </c>
      <c r="K51" s="347">
        <f ca="1">'Screener Output'!L57</f>
      </c>
      <c r="L51" s="340"/>
      <c r="M51" s="506">
        <v>4</v>
      </c>
      <c r="P51" t="s">
        <v>695</v>
      </c>
      <c r="Q51" s="474">
        <f ca="1">SUM(B48:K48)</f>
      </c>
    </row>
    <row r="52" spans="1:17">
      <c r="A52" s="335" t="s">
        <v>380</v>
      </c>
      <c r="B52" s="347">
        <f>B18</f>
      </c>
      <c r="C52" s="347">
        <f t="shared" ref="C52:K52" ca="1" si="16">C18</f>
      </c>
      <c r="D52" s="347">
        <f t="shared" ca="1" si="16"/>
      </c>
      <c r="E52" s="347">
        <f t="shared" ca="1" si="16"/>
      </c>
      <c r="F52" s="347">
        <f t="shared" ca="1" si="16"/>
      </c>
      <c r="G52" s="347">
        <f t="shared" ca="1" si="16"/>
      </c>
      <c r="H52" s="347">
        <f t="shared" ca="1" si="16"/>
      </c>
      <c r="I52" s="347">
        <f t="shared" ca="1" si="16"/>
      </c>
      <c r="J52" s="347">
        <f t="shared" ca="1" si="16"/>
      </c>
      <c r="K52" s="347">
        <f t="shared" ca="1" si="16"/>
      </c>
      <c r="L52" s="340"/>
      <c r="M52" s="507"/>
      <c r="P52" t="s">
        <v>739</v>
      </c>
      <c r="Q52" s="474">
        <f ca="1">SUM(Table3[[#This Row],[Mar-14]:[Mar-23]])</f>
      </c>
    </row>
    <row r="53" spans="1:17">
      <c r="A53" s="335" t="s">
        <v>738</v>
      </c>
      <c r="B53" s="347">
        <f ca="1">B48-B52</f>
      </c>
      <c r="C53" s="347">
        <f t="shared" ref="C53:K53" ca="1" si="17">C48-C52</f>
      </c>
      <c r="D53" s="347">
        <f t="shared" ca="1" si="17"/>
      </c>
      <c r="E53" s="347">
        <f t="shared" ca="1" si="17"/>
      </c>
      <c r="F53" s="347">
        <f t="shared" ca="1" si="17"/>
      </c>
      <c r="G53" s="347">
        <f t="shared" ca="1" si="17"/>
      </c>
      <c r="H53" s="347">
        <f t="shared" ca="1" si="17"/>
      </c>
      <c r="I53" s="347">
        <f t="shared" ca="1" si="17"/>
      </c>
      <c r="J53" s="347">
        <f t="shared" ca="1" si="17"/>
      </c>
      <c r="K53" s="347">
        <f t="shared" ca="1" si="17"/>
      </c>
      <c r="L53" s="340"/>
      <c r="M53" s="507"/>
      <c r="P53" t="s">
        <v>740</v>
      </c>
      <c r="Q53" s="474">
        <f ca="1">SUM(Table3[[#This Row],[Mar-14]:[Mar-23]])</f>
      </c>
    </row>
    <row r="54" spans="1:17">
      <c r="A54" s="332"/>
      <c r="B54" s="326"/>
      <c r="C54" s="326"/>
      <c r="D54" s="326"/>
      <c r="E54" s="326"/>
      <c r="F54" s="326"/>
      <c r="G54" s="326"/>
      <c r="H54" s="326"/>
      <c r="I54" s="326"/>
      <c r="J54" s="326"/>
      <c r="K54" s="326"/>
      <c r="L54" s="340"/>
    </row>
    <row r="55" spans="1:17">
      <c r="A55" s="332" t="s">
        <v>771</v>
      </c>
      <c r="B55" s="348">
        <f ca="1">'Screener Output'!L36-'Screener Output'!C36</f>
      </c>
      <c r="C55" s="326"/>
      <c r="D55" s="326"/>
      <c r="E55" s="326"/>
      <c r="F55" s="326"/>
      <c r="G55" s="326"/>
      <c r="H55" s="326"/>
      <c r="I55" s="326"/>
      <c r="J55" s="326"/>
      <c r="K55" s="326"/>
      <c r="L55" s="340"/>
    </row>
    <row r="56" spans="1:17">
      <c r="A56" s="332" t="s">
        <v>773</v>
      </c>
      <c r="B56" s="348">
        <f ca="1">'Screener Output'!M95-'Screener Output'!C95</f>
      </c>
      <c r="C56" s="326"/>
      <c r="D56" s="326"/>
      <c r="E56" s="326"/>
      <c r="F56" s="326"/>
      <c r="G56" s="326"/>
      <c r="H56" s="326"/>
      <c r="I56" s="326"/>
      <c r="J56" s="326"/>
      <c r="K56" s="326"/>
      <c r="L56" s="340"/>
    </row>
    <row r="57" spans="1:17" s="531" customFormat="1">
      <c r="A57" s="332" t="s">
        <v>772</v>
      </c>
      <c r="B57" s="348">
        <f ca="1">'Screener Output'!L36</f>
      </c>
      <c r="C57" s="326"/>
      <c r="D57" s="326"/>
      <c r="E57" s="326"/>
      <c r="F57" s="326"/>
      <c r="G57" s="326"/>
      <c r="H57" s="326"/>
      <c r="I57" s="326"/>
      <c r="J57" s="326"/>
      <c r="K57" s="326"/>
      <c r="L57" s="340"/>
    </row>
    <row r="58" spans="1:17" s="531" customFormat="1">
      <c r="A58" s="332" t="s">
        <v>774</v>
      </c>
      <c r="B58" s="348">
        <f ca="1">'Screener Output'!M95</f>
      </c>
      <c r="C58" s="326"/>
      <c r="D58" s="326"/>
      <c r="E58" s="326"/>
      <c r="F58" s="326"/>
      <c r="G58" s="326"/>
      <c r="H58" s="326"/>
      <c r="I58" s="326"/>
      <c r="J58" s="326"/>
      <c r="K58" s="326"/>
      <c r="L58" s="340"/>
    </row>
    <row r="59" spans="1:17">
      <c r="A59" s="349" t="s">
        <v>356</v>
      </c>
      <c r="B59" s="350">
        <f ca="1">B58/B57</f>
      </c>
      <c r="C59" s="351"/>
      <c r="D59" s="351"/>
      <c r="E59" s="351"/>
      <c r="F59" s="351"/>
      <c r="G59" s="351"/>
      <c r="H59" s="351"/>
      <c r="I59" s="351"/>
      <c r="J59" s="351"/>
      <c r="K59" s="351"/>
      <c r="L59" s="352"/>
    </row>
    <row r="61" spans="1:17">
      <c r="A61" t="s">
        <v>694</v>
      </c>
      <c r="B61" s="474">
        <f ca="1">SUM(B12:K12)</f>
      </c>
    </row>
    <row r="62" spans="1:17">
      <c r="A62" t="s">
        <v>695</v>
      </c>
      <c r="B62" s="474">
        <f ca="1">SUM(B48:K48)</f>
      </c>
    </row>
    <row r="63" spans="1:17">
      <c r="A63" t="s">
        <v>697</v>
      </c>
      <c r="B63" s="321">
        <f ca="1">_xlfn.RRI(9,B12,K12)</f>
      </c>
    </row>
    <row r="64" spans="1:17">
      <c r="A64" t="s">
        <v>698</v>
      </c>
      <c r="B64" s="321">
        <f ca="1">_xlfn.RRI(9,B3,K3)</f>
      </c>
    </row>
  </sheetData>
  <mergeCells count="1">
    <mergeCell ref="B1:L1"/>
  </mergeCells>
  <phoneticPr fontId="89" type="noConversion"/>
  <conditionalFormatting sqref="B3:L3 B5:L12 B54:L59 L52:L53 B14:L51 B13">
    <cfRule type="cellIs" dxfId="69" priority="6" operator="lessThan">
      <formula>0</formula>
    </cfRule>
  </conditionalFormatting>
  <conditionalFormatting sqref="B4:L4">
    <cfRule type="cellIs" dxfId="68" priority="4" operator="lessThan">
      <formula>0</formula>
    </cfRule>
  </conditionalFormatting>
  <conditionalFormatting sqref="B52:K53">
    <cfRule type="cellIs" dxfId="67" priority="3" operator="lessThan">
      <formula>0</formula>
    </cfRule>
  </conditionalFormatting>
  <conditionalFormatting sqref="M3:M59">
    <cfRule type="cellIs" dxfId="66" priority="2" operator="lessThan">
      <formula>0</formula>
    </cfRule>
  </conditionalFormatting>
  <conditionalFormatting sqref="C13:L13">
    <cfRule type="cellIs" dxfId="65" priority="1" operator="lessThan">
      <formula>0</formula>
    </cfRule>
  </conditionalFormatting>
  <pageMargins left="0.7" right="0.7" top="0.75" bottom="0.75" header="0.3" footer="0.3"/>
  <pageSetup orientation="portrait" horizontalDpi="1200" verticalDpi="1200" r:id="rId1"/>
  <legacyDrawing r:id="rId2"/>
  <tableParts count="1">
    <tablePart r:id="rId3"/>
  </tableParts>
  <extLst>
    <ext xmlns:x14="http://schemas.microsoft.com/office/spreadsheetml/2009/9/main" uri="{05C60535-1F16-4fd2-B633-F4F36F0B64E0}">
      <x14:sparklineGroups xmlns:xm="http://schemas.microsoft.com/office/excel/2006/main">
        <x14:sparklineGroup type="column" displayEmptyCellsAs="gap" low="1" xr2:uid="{00000000-0003-0000-0600-00000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VMAnalysis!Q3:U3</xm:f>
              <xm:sqref>V3</xm:sqref>
            </x14:sparkline>
            <x14:sparkline>
              <xm:f>VMAnalysis!Q4:U4</xm:f>
              <xm:sqref>V4</xm:sqref>
            </x14:sparkline>
            <x14:sparkline>
              <xm:f>VMAnalysis!Q5:U5</xm:f>
              <xm:sqref>V5</xm:sqref>
            </x14:sparkline>
          </x14:sparklines>
        </x14:sparklineGroup>
        <x14:sparklineGroup type="column" displayEmptyCellsAs="gap" low="1" xr2:uid="{00000000-0003-0000-0600-000001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VMAnalysis!B3:L3</xm:f>
              <xm:sqref>O3</xm:sqref>
            </x14:sparkline>
            <x14:sparkline>
              <xm:f>VMAnalysis!B4:L4</xm:f>
              <xm:sqref>O4</xm:sqref>
            </x14:sparkline>
            <x14:sparkline>
              <xm:f>VMAnalysis!B5:L5</xm:f>
              <xm:sqref>O5</xm:sqref>
            </x14:sparkline>
            <x14:sparkline>
              <xm:f>VMAnalysis!B6:L6</xm:f>
              <xm:sqref>O6</xm:sqref>
            </x14:sparkline>
            <x14:sparkline>
              <xm:f>VMAnalysis!B7:L7</xm:f>
              <xm:sqref>O7</xm:sqref>
            </x14:sparkline>
            <x14:sparkline>
              <xm:f>VMAnalysis!B8:L8</xm:f>
              <xm:sqref>O8</xm:sqref>
            </x14:sparkline>
            <x14:sparkline>
              <xm:f>VMAnalysis!B9:L9</xm:f>
              <xm:sqref>O9</xm:sqref>
            </x14:sparkline>
            <x14:sparkline>
              <xm:f>VMAnalysis!B10:L10</xm:f>
              <xm:sqref>O10</xm:sqref>
            </x14:sparkline>
            <x14:sparkline>
              <xm:f>VMAnalysis!B11:L11</xm:f>
              <xm:sqref>O11</xm:sqref>
            </x14:sparkline>
            <x14:sparkline>
              <xm:f>VMAnalysis!B12:L12</xm:f>
              <xm:sqref>O12</xm:sqref>
            </x14:sparkline>
            <x14:sparkline>
              <xm:f>VMAnalysis!B13:L13</xm:f>
              <xm:sqref>O13</xm:sqref>
            </x14:sparkline>
            <x14:sparkline>
              <xm:f>VMAnalysis!B14:L14</xm:f>
              <xm:sqref>O14</xm:sqref>
            </x14:sparkline>
            <x14:sparkline>
              <xm:f>VMAnalysis!B15:L15</xm:f>
              <xm:sqref>O15</xm:sqref>
            </x14:sparkline>
            <x14:sparkline>
              <xm:f>VMAnalysis!B16:L16</xm:f>
              <xm:sqref>O16</xm:sqref>
            </x14:sparkline>
            <x14:sparkline>
              <xm:f>VMAnalysis!B17:L17</xm:f>
              <xm:sqref>O17</xm:sqref>
            </x14:sparkline>
            <x14:sparkline>
              <xm:f>VMAnalysis!B18:L18</xm:f>
              <xm:sqref>O18</xm:sqref>
            </x14:sparkline>
            <x14:sparkline>
              <xm:f>VMAnalysis!B19:L19</xm:f>
              <xm:sqref>O19</xm:sqref>
            </x14:sparkline>
            <x14:sparkline>
              <xm:f>VMAnalysis!B20:L20</xm:f>
              <xm:sqref>O20</xm:sqref>
            </x14:sparkline>
            <x14:sparkline>
              <xm:f>VMAnalysis!B21:L21</xm:f>
              <xm:sqref>O21</xm:sqref>
            </x14:sparkline>
            <x14:sparkline>
              <xm:f>VMAnalysis!B22:L22</xm:f>
              <xm:sqref>O22</xm:sqref>
            </x14:sparkline>
            <x14:sparkline>
              <xm:f>VMAnalysis!B23:L23</xm:f>
              <xm:sqref>O23</xm:sqref>
            </x14:sparkline>
            <x14:sparkline>
              <xm:f>VMAnalysis!B24:L24</xm:f>
              <xm:sqref>O24</xm:sqref>
            </x14:sparkline>
            <x14:sparkline>
              <xm:f>VMAnalysis!B25:L25</xm:f>
              <xm:sqref>O25</xm:sqref>
            </x14:sparkline>
            <x14:sparkline>
              <xm:f>VMAnalysis!B26:L26</xm:f>
              <xm:sqref>O26</xm:sqref>
            </x14:sparkline>
            <x14:sparkline>
              <xm:f>VMAnalysis!B27:L27</xm:f>
              <xm:sqref>O27</xm:sqref>
            </x14:sparkline>
            <x14:sparkline>
              <xm:f>VMAnalysis!B28:L28</xm:f>
              <xm:sqref>O28</xm:sqref>
            </x14:sparkline>
            <x14:sparkline>
              <xm:f>VMAnalysis!B29:L29</xm:f>
              <xm:sqref>O29</xm:sqref>
            </x14:sparkline>
            <x14:sparkline>
              <xm:f>VMAnalysis!B30:L30</xm:f>
              <xm:sqref>O30</xm:sqref>
            </x14:sparkline>
            <x14:sparkline>
              <xm:f>VMAnalysis!B31:L31</xm:f>
              <xm:sqref>O31</xm:sqref>
            </x14:sparkline>
            <x14:sparkline>
              <xm:f>VMAnalysis!B32:L32</xm:f>
              <xm:sqref>O32</xm:sqref>
            </x14:sparkline>
            <x14:sparkline>
              <xm:f>VMAnalysis!B33:L33</xm:f>
              <xm:sqref>O33</xm:sqref>
            </x14:sparkline>
            <x14:sparkline>
              <xm:f>VMAnalysis!B34:L34</xm:f>
              <xm:sqref>O34</xm:sqref>
            </x14:sparkline>
            <x14:sparkline>
              <xm:f>VMAnalysis!B35:L35</xm:f>
              <xm:sqref>O35</xm:sqref>
            </x14:sparkline>
            <x14:sparkline>
              <xm:f>VMAnalysis!B36:L36</xm:f>
              <xm:sqref>O36</xm:sqref>
            </x14:sparkline>
            <x14:sparkline>
              <xm:f>VMAnalysis!B37:L37</xm:f>
              <xm:sqref>O37</xm:sqref>
            </x14:sparkline>
            <x14:sparkline>
              <xm:f>VMAnalysis!B38:L38</xm:f>
              <xm:sqref>O38</xm:sqref>
            </x14:sparkline>
            <x14:sparkline>
              <xm:f>VMAnalysis!B39:L39</xm:f>
              <xm:sqref>O39</xm:sqref>
            </x14:sparkline>
            <x14:sparkline>
              <xm:f>VMAnalysis!B40:L40</xm:f>
              <xm:sqref>O40</xm:sqref>
            </x14:sparkline>
            <x14:sparkline>
              <xm:f>VMAnalysis!B41:L41</xm:f>
              <xm:sqref>O41</xm:sqref>
            </x14:sparkline>
            <x14:sparkline>
              <xm:f>VMAnalysis!B42:L42</xm:f>
              <xm:sqref>O42</xm:sqref>
            </x14:sparkline>
            <x14:sparkline>
              <xm:f>VMAnalysis!B43:L43</xm:f>
              <xm:sqref>O43</xm:sqref>
            </x14:sparkline>
            <x14:sparkline>
              <xm:f>VMAnalysis!B44:L44</xm:f>
              <xm:sqref>O44</xm:sqref>
            </x14:sparkline>
            <x14:sparkline>
              <xm:f>VMAnalysis!B45:L45</xm:f>
              <xm:sqref>O45</xm:sqref>
            </x14:sparkline>
            <x14:sparkline>
              <xm:f>VMAnalysis!B46:L46</xm:f>
              <xm:sqref>O46</xm:sqref>
            </x14:sparkline>
            <x14:sparkline>
              <xm:f>VMAnalysis!B47:L47</xm:f>
              <xm:sqref>O47</xm:sqref>
            </x14:sparkline>
            <x14:sparkline>
              <xm:f>VMAnalysis!B48:L48</xm:f>
              <xm:sqref>O48</xm:sqref>
            </x14:sparkline>
            <x14:sparkline>
              <xm:f>VMAnalysis!B49:L49</xm:f>
              <xm:sqref>O49</xm:sqref>
            </x14:sparkline>
            <x14:sparkline>
              <xm:f>VMAnalysis!B50:L50</xm:f>
              <xm:sqref>O50</xm:sqref>
            </x14:sparkline>
            <x14:sparkline>
              <xm:f>VMAnalysis!B51:L51</xm:f>
              <xm:sqref>O51</xm:sqref>
            </x14:sparkline>
            <x14:sparkline>
              <xm:f>VMAnalysis!B52:L52</xm:f>
              <xm:sqref>O52</xm:sqref>
            </x14:sparkline>
            <x14:sparkline>
              <xm:f>VMAnalysis!B53:L53</xm:f>
              <xm:sqref>O53</xm:sqref>
            </x14:sparkline>
          </x14:sparklines>
        </x14:sparklineGroup>
      </x14:sparklineGroup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A0439-97DA-4793-BEB4-4F18720550B8}">
  <dimension ref="A1:AC999"/>
  <sheetViews>
    <sheetView topLeftCell="A22" workbookViewId="0">
      <selection activeCell="L45" sqref="L45"/>
    </sheetView>
  </sheetViews>
  <sheetFormatPr defaultColWidth="14.42578125" defaultRowHeight="15"/>
  <cols>
    <col min="1" max="1" width="34.5703125" customWidth="1"/>
    <col min="2" max="11" width="8.42578125" customWidth="1"/>
    <col min="12" max="12" width="21.85546875" customWidth="1"/>
    <col min="13" max="13" width="14.7109375" customWidth="1"/>
    <col min="14" max="14" width="13.140625" customWidth="1"/>
    <col min="15" max="15" width="9.7109375" customWidth="1"/>
    <col min="16" max="17" width="5.7109375" customWidth="1"/>
    <col min="18" max="18" width="5.42578125" customWidth="1"/>
    <col min="19" max="19" width="5.7109375" customWidth="1"/>
    <col min="20" max="25" width="9.140625" customWidth="1"/>
    <col min="26" max="29" width="8.7109375" customWidth="1"/>
  </cols>
  <sheetData>
    <row r="1" spans="1:29" ht="21.75" customHeight="1" thickBot="1">
      <c r="A1" s="530" t="s">
        <v>747</v>
      </c>
      <c r="B1" s="656" t="str">
        <f>'Data Sheet'!B1</f>
      </c>
      <c r="C1" s="657"/>
      <c r="D1" s="657"/>
      <c r="E1" s="657"/>
      <c r="F1" s="657"/>
      <c r="G1" s="657"/>
      <c r="H1" s="657"/>
      <c r="I1" s="657"/>
      <c r="J1" s="657"/>
      <c r="K1" s="657"/>
      <c r="L1" s="532">
        <f>'[1]Data Sheet'!K41</f>
      </c>
      <c r="M1" s="532">
        <f>'[1]Data Sheet'!L41</f>
      </c>
      <c r="N1" s="532">
        <f>'[1]Data Sheet'!M41</f>
      </c>
      <c r="O1" s="532">
        <f>'[1]Data Sheet'!N41</f>
      </c>
      <c r="P1" s="532">
        <f>'[1]Data Sheet'!O41</f>
      </c>
      <c r="Q1" s="532">
        <f>'[1]Data Sheet'!P41</f>
      </c>
      <c r="R1" s="532">
        <f>'[1]Data Sheet'!Q41</f>
      </c>
      <c r="S1" s="532">
        <f>'[1]Data Sheet'!R41</f>
      </c>
      <c r="T1" s="532">
        <f>'[1]Data Sheet'!S41</f>
      </c>
      <c r="U1" s="532">
        <f>'[1]Data Sheet'!T41</f>
      </c>
      <c r="V1" s="533"/>
      <c r="W1" s="533"/>
      <c r="X1" s="533"/>
      <c r="Y1" s="533"/>
      <c r="Z1" s="533"/>
      <c r="AA1" s="533"/>
      <c r="AB1" s="533"/>
      <c r="AC1" s="533"/>
    </row>
    <row r="2" spans="1:29" ht="15.75" customHeight="1" thickBot="1">
      <c r="A2" s="534" t="s">
        <v>2</v>
      </c>
      <c r="B2" s="535">
        <f>'Data Sheet'!B16</f>
      </c>
      <c r="C2" s="535">
        <f>'Data Sheet'!C16</f>
      </c>
      <c r="D2" s="535">
        <f>'Data Sheet'!D16</f>
      </c>
      <c r="E2" s="535">
        <f>'Data Sheet'!E16</f>
      </c>
      <c r="F2" s="535">
        <f>'Data Sheet'!F16</f>
      </c>
      <c r="G2" s="535">
        <f>'Data Sheet'!G16</f>
      </c>
      <c r="H2" s="535">
        <f>'Data Sheet'!H16</f>
      </c>
      <c r="I2" s="535">
        <f>'Data Sheet'!I16</f>
      </c>
      <c r="J2" s="535">
        <f>'Data Sheet'!J16</f>
      </c>
      <c r="K2" s="535">
        <f>'Data Sheet'!K16</f>
      </c>
      <c r="L2" s="536" t="s">
        <v>393</v>
      </c>
      <c r="M2" s="537" t="s">
        <v>748</v>
      </c>
      <c r="N2" s="538"/>
      <c r="O2" s="538"/>
      <c r="P2" s="538"/>
      <c r="Q2" s="538"/>
      <c r="R2" s="538"/>
      <c r="S2" s="538"/>
      <c r="T2" s="538"/>
      <c r="U2" s="530"/>
      <c r="V2" s="530"/>
      <c r="W2" s="530"/>
      <c r="X2" s="530"/>
      <c r="Y2" s="530"/>
      <c r="Z2" s="530"/>
      <c r="AA2" s="530"/>
      <c r="AB2" s="530"/>
      <c r="AC2" s="530"/>
    </row>
    <row r="3" spans="1:29" ht="17.25" thickTop="1" thickBot="1">
      <c r="A3" s="539" t="s">
        <v>749</v>
      </c>
      <c r="B3" s="540"/>
      <c r="C3" s="541">
        <f t="shared" ref="C3:L3" si="0">((C4-B4)/B4)</f>
      </c>
      <c r="D3" s="541">
        <f t="shared" ref="D3" si="1">((D4-C4)/C4)</f>
      </c>
      <c r="E3" s="541">
        <f t="shared" ref="E3" si="2">((E4-D4)/D4)</f>
      </c>
      <c r="F3" s="541">
        <f t="shared" ref="F3" si="3">((F4-E4)/E4)</f>
      </c>
      <c r="G3" s="541">
        <f t="shared" ref="G3" si="4">((G4-F4)/F4)</f>
      </c>
      <c r="H3" s="541">
        <f t="shared" ref="H3" si="5">((H4-G4)/G4)</f>
      </c>
      <c r="I3" s="541">
        <f t="shared" ref="I3" si="6">((I4-H4)/H4)</f>
      </c>
      <c r="J3" s="541">
        <f t="shared" ref="J3" si="7">((J4-I4)/I4)</f>
      </c>
      <c r="K3" s="541">
        <f t="shared" ref="K3" si="8">((K4-J4)/J4)</f>
      </c>
      <c r="L3" s="542">
        <f t="shared" si="0"/>
      </c>
      <c r="M3" s="543"/>
      <c r="N3" s="544"/>
      <c r="O3" s="544"/>
      <c r="P3" s="545"/>
      <c r="Q3" s="545"/>
      <c r="R3" s="545"/>
      <c r="S3" s="545"/>
      <c r="T3" s="545"/>
      <c r="U3" s="544"/>
      <c r="V3" s="544"/>
      <c r="W3" s="544"/>
      <c r="X3" s="544"/>
      <c r="Y3" s="544"/>
      <c r="Z3" s="544"/>
      <c r="AA3" s="530"/>
      <c r="AB3" s="530"/>
      <c r="AC3" s="530"/>
    </row>
    <row r="4" spans="1:29" ht="16.5" thickTop="1">
      <c r="A4" s="539" t="s">
        <v>4</v>
      </c>
      <c r="B4" s="540">
        <f>'Data Sheet'!B17</f>
      </c>
      <c r="C4" s="540">
        <f>'Data Sheet'!C17</f>
      </c>
      <c r="D4" s="540">
        <f>'Data Sheet'!D17</f>
      </c>
      <c r="E4" s="540">
        <f>'Data Sheet'!E17</f>
      </c>
      <c r="F4" s="540">
        <f>'Data Sheet'!F17</f>
      </c>
      <c r="G4" s="540">
        <f>'Data Sheet'!G17</f>
      </c>
      <c r="H4" s="540">
        <f>'Data Sheet'!H17</f>
      </c>
      <c r="I4" s="540">
        <f>'Data Sheet'!I17</f>
      </c>
      <c r="J4" s="540">
        <f>'Data Sheet'!J17</f>
      </c>
      <c r="K4" s="540">
        <f>'Data Sheet'!K17</f>
      </c>
      <c r="L4" s="540">
        <f>IF(N61=TRUE,"",SUM('[1]Data Sheet'!H42:K42))</f>
      </c>
      <c r="M4" s="546">
        <f>SUM(B4:K4)</f>
      </c>
      <c r="N4" s="544"/>
      <c r="O4" s="544"/>
      <c r="P4" s="545"/>
      <c r="Q4" s="545"/>
      <c r="R4" s="545"/>
      <c r="S4" s="545"/>
      <c r="T4" s="545"/>
      <c r="U4" s="547"/>
      <c r="V4" s="547"/>
      <c r="W4" s="547"/>
      <c r="X4" s="547"/>
      <c r="Y4" s="547"/>
      <c r="Z4" s="547"/>
      <c r="AA4" s="533"/>
      <c r="AB4" s="533"/>
      <c r="AC4" s="533"/>
    </row>
    <row r="5" spans="1:29" ht="15.75">
      <c r="A5" s="548" t="s">
        <v>750</v>
      </c>
      <c r="B5" s="549">
        <f>(('Data Sheet'!B17-'Data Sheet'!B18)/'Data Sheet'!B17)</f>
      </c>
      <c r="C5" s="549">
        <f>(('Data Sheet'!C17-'Data Sheet'!C18)/'Data Sheet'!C17)</f>
      </c>
      <c r="D5" s="549">
        <f>(('Data Sheet'!D17-'Data Sheet'!D18)/'Data Sheet'!D17)</f>
      </c>
      <c r="E5" s="549">
        <f>(('Data Sheet'!E17-'Data Sheet'!E18)/'Data Sheet'!E17)</f>
      </c>
      <c r="F5" s="549">
        <f>(('Data Sheet'!F17-'Data Sheet'!F18)/'Data Sheet'!F17)</f>
      </c>
      <c r="G5" s="549">
        <f>(('Data Sheet'!G17-'Data Sheet'!G18)/'Data Sheet'!G17)</f>
      </c>
      <c r="H5" s="549">
        <f>(('Data Sheet'!H17-'Data Sheet'!H18)/'Data Sheet'!H17)</f>
      </c>
      <c r="I5" s="549">
        <f>(('Data Sheet'!I17-'Data Sheet'!I18)/'Data Sheet'!I17)</f>
      </c>
      <c r="J5" s="549">
        <f>(('Data Sheet'!J17-'Data Sheet'!J18)/'Data Sheet'!J17)</f>
      </c>
      <c r="K5" s="549">
        <f>(('Data Sheet'!K17-'Data Sheet'!K18)/'Data Sheet'!K17)</f>
      </c>
      <c r="L5" s="550"/>
      <c r="M5" s="551"/>
      <c r="N5" s="544"/>
      <c r="O5" s="544"/>
      <c r="P5" s="545"/>
      <c r="Q5" s="545"/>
      <c r="R5" s="545"/>
      <c r="S5" s="545"/>
      <c r="T5" s="545"/>
      <c r="U5" s="544"/>
      <c r="V5" s="544"/>
      <c r="W5" s="544"/>
      <c r="X5" s="544"/>
      <c r="Y5" s="544"/>
      <c r="Z5" s="544"/>
      <c r="AA5" s="530"/>
      <c r="AB5" s="530"/>
      <c r="AC5" s="530"/>
    </row>
    <row r="6" spans="1:29" ht="16.5" thickBot="1">
      <c r="A6" s="552" t="s">
        <v>6</v>
      </c>
      <c r="B6" s="547">
        <f>'Data Sheet'!B17-'Data Sheet'!B18+'Data Sheet'!B19-SUM('Data Sheet'!B20:B24)</f>
      </c>
      <c r="C6" s="547">
        <f>'Data Sheet'!C17-'Data Sheet'!C18+'Data Sheet'!C19-SUM('Data Sheet'!C20:C24)</f>
      </c>
      <c r="D6" s="547">
        <f>'Data Sheet'!D17-'Data Sheet'!D18+'Data Sheet'!D19-SUM('Data Sheet'!D20:D24)</f>
      </c>
      <c r="E6" s="547">
        <f>'Data Sheet'!E17-'Data Sheet'!E18+'Data Sheet'!E19-SUM('Data Sheet'!E20:E24)</f>
      </c>
      <c r="F6" s="547">
        <f>'Data Sheet'!F17-'Data Sheet'!F18+'Data Sheet'!F19-SUM('Data Sheet'!F20:F24)</f>
      </c>
      <c r="G6" s="547">
        <f>'Data Sheet'!G17-'Data Sheet'!G18+'Data Sheet'!G19-SUM('Data Sheet'!G20:G24)</f>
      </c>
      <c r="H6" s="547">
        <f>'Data Sheet'!H17-'Data Sheet'!H18+'Data Sheet'!H19-SUM('Data Sheet'!H20:H24)</f>
      </c>
      <c r="I6" s="547">
        <f>'Data Sheet'!I17-'Data Sheet'!I18+'Data Sheet'!I19-SUM('Data Sheet'!I20:I24)</f>
      </c>
      <c r="J6" s="547">
        <f>'Data Sheet'!J17-'Data Sheet'!J18+'Data Sheet'!J19-SUM('Data Sheet'!J20:J24)</f>
      </c>
      <c r="K6" s="547">
        <f>'Data Sheet'!K17-'Data Sheet'!K18+'Data Sheet'!K19-SUM('Data Sheet'!K20:K24)</f>
      </c>
      <c r="L6" s="547">
        <f>+IF(N61=TRUE,"",SUM('[1]Data Sheet'!H50:K50))</f>
      </c>
      <c r="M6" s="553"/>
      <c r="N6" s="544"/>
      <c r="O6" s="544"/>
      <c r="P6" s="545"/>
      <c r="Q6" s="545"/>
      <c r="R6" s="545"/>
      <c r="S6" s="545"/>
      <c r="T6" s="545"/>
      <c r="U6" s="544"/>
      <c r="V6" s="544"/>
      <c r="W6" s="544"/>
      <c r="X6" s="544"/>
      <c r="Y6" s="544"/>
      <c r="Z6" s="544"/>
      <c r="AA6" s="530"/>
      <c r="AB6" s="530"/>
      <c r="AC6" s="530"/>
    </row>
    <row r="7" spans="1:29" ht="15" customHeight="1" thickTop="1">
      <c r="A7" s="554" t="s">
        <v>386</v>
      </c>
      <c r="B7" s="555">
        <f t="shared" ref="B7" si="9">IF(B6&gt;0,B6/B4,0)</f>
      </c>
      <c r="C7" s="555">
        <f t="shared" ref="C7" si="10">IF(C6&gt;0,C6/C4,0)</f>
      </c>
      <c r="D7" s="555">
        <f t="shared" ref="D7:K7" si="11">IF(D6&gt;0,D6/D4,0)</f>
      </c>
      <c r="E7" s="555">
        <f t="shared" si="11"/>
      </c>
      <c r="F7" s="555">
        <f t="shared" si="11"/>
      </c>
      <c r="G7" s="555">
        <f t="shared" si="11"/>
      </c>
      <c r="H7" s="555">
        <f t="shared" si="11"/>
      </c>
      <c r="I7" s="555">
        <f t="shared" si="11"/>
      </c>
      <c r="J7" s="555">
        <f t="shared" si="11"/>
      </c>
      <c r="K7" s="555">
        <f t="shared" si="11"/>
      </c>
      <c r="L7" s="555">
        <f>+IF(N61=TRUE,"",IF(L6&gt;0,L6/L4,0))</f>
      </c>
      <c r="M7" s="546"/>
      <c r="N7" s="533"/>
      <c r="O7" s="544"/>
      <c r="P7" s="545"/>
      <c r="Q7" s="545"/>
      <c r="R7" s="545"/>
      <c r="S7" s="545"/>
      <c r="T7" s="530"/>
      <c r="U7" s="547"/>
      <c r="V7" s="547"/>
      <c r="W7" s="547"/>
      <c r="X7" s="547"/>
      <c r="Y7" s="547"/>
      <c r="Z7" s="533"/>
      <c r="AA7" s="533"/>
      <c r="AB7" s="533"/>
      <c r="AC7" s="533"/>
    </row>
    <row r="8" spans="1:29" ht="15.75">
      <c r="A8" s="552" t="s">
        <v>7</v>
      </c>
      <c r="B8" s="547">
        <f>'Data Sheet'!B25</f>
      </c>
      <c r="C8" s="547">
        <f>'Data Sheet'!C25</f>
      </c>
      <c r="D8" s="547">
        <f>'Data Sheet'!D25</f>
      </c>
      <c r="E8" s="547">
        <f>'Data Sheet'!E25</f>
      </c>
      <c r="F8" s="547">
        <f>'Data Sheet'!F25</f>
      </c>
      <c r="G8" s="547">
        <f>'Data Sheet'!G25</f>
      </c>
      <c r="H8" s="547">
        <f>'Data Sheet'!H25</f>
      </c>
      <c r="I8" s="547">
        <f>'Data Sheet'!I25</f>
      </c>
      <c r="J8" s="547">
        <f>'Data Sheet'!J25</f>
      </c>
      <c r="K8" s="547">
        <f>'Data Sheet'!K25</f>
      </c>
      <c r="L8" s="547">
        <f>IF(N61=TRUE,"",SUM('[1]Data Sheet'!H44:K44))</f>
      </c>
      <c r="M8" s="553">
        <f t="shared" ref="M8:M11" si="12">SUM(B8:K8)</f>
      </c>
      <c r="N8" s="547"/>
      <c r="O8" s="533"/>
      <c r="P8" s="533"/>
      <c r="Q8" s="533"/>
      <c r="R8" s="533"/>
      <c r="S8" s="533"/>
      <c r="T8" s="547"/>
      <c r="U8" s="547"/>
      <c r="V8" s="547"/>
      <c r="W8" s="547"/>
      <c r="X8" s="547"/>
      <c r="Y8" s="547"/>
      <c r="Z8" s="547"/>
      <c r="AA8" s="533"/>
      <c r="AB8" s="533"/>
      <c r="AC8" s="533"/>
    </row>
    <row r="9" spans="1:29" ht="15" customHeight="1" thickBot="1">
      <c r="A9" s="552" t="s">
        <v>704</v>
      </c>
      <c r="B9" s="547">
        <f t="shared" ref="B9" si="13">+SUM(B6+B8)</f>
      </c>
      <c r="C9" s="547">
        <f t="shared" ref="C9" si="14">+SUM(C6+C8)</f>
      </c>
      <c r="D9" s="547">
        <f t="shared" ref="D9:K9" si="15">+SUM(D6+D8)</f>
      </c>
      <c r="E9" s="547">
        <f t="shared" si="15"/>
      </c>
      <c r="F9" s="547">
        <f t="shared" si="15"/>
      </c>
      <c r="G9" s="547">
        <f t="shared" si="15"/>
      </c>
      <c r="H9" s="547">
        <f t="shared" si="15"/>
      </c>
      <c r="I9" s="547">
        <f t="shared" si="15"/>
      </c>
      <c r="J9" s="547">
        <f t="shared" si="15"/>
      </c>
      <c r="K9" s="547">
        <f t="shared" si="15"/>
      </c>
      <c r="L9" s="547">
        <f>++IF(N61=TRUE,"",SUM(L6+L8))</f>
      </c>
      <c r="M9" s="553">
        <f t="shared" si="12"/>
      </c>
      <c r="N9" s="556"/>
      <c r="O9" s="547"/>
      <c r="P9" s="557"/>
      <c r="Q9" s="545"/>
      <c r="R9" s="545"/>
      <c r="S9" s="545"/>
      <c r="T9" s="545"/>
      <c r="U9" s="547"/>
      <c r="V9" s="547"/>
      <c r="W9" s="547"/>
      <c r="X9" s="547"/>
      <c r="Y9" s="547"/>
      <c r="Z9" s="547"/>
      <c r="AA9" s="533"/>
      <c r="AB9" s="533"/>
      <c r="AC9" s="533"/>
    </row>
    <row r="10" spans="1:29" ht="16.5" thickTop="1">
      <c r="A10" s="552" t="s">
        <v>9</v>
      </c>
      <c r="B10" s="547">
        <f>'Data Sheet'!B27</f>
      </c>
      <c r="C10" s="547">
        <f>'Data Sheet'!C27</f>
      </c>
      <c r="D10" s="547">
        <f>'Data Sheet'!D27</f>
      </c>
      <c r="E10" s="547">
        <f>'Data Sheet'!E27</f>
      </c>
      <c r="F10" s="547">
        <f>'Data Sheet'!F27</f>
      </c>
      <c r="G10" s="547">
        <f>'Data Sheet'!G27</f>
      </c>
      <c r="H10" s="547">
        <f>'Data Sheet'!H27</f>
      </c>
      <c r="I10" s="547">
        <f>'Data Sheet'!I27</f>
      </c>
      <c r="J10" s="547">
        <f>'Data Sheet'!J27</f>
      </c>
      <c r="K10" s="547">
        <f>'Data Sheet'!K27</f>
      </c>
      <c r="L10" s="547">
        <f>+IF(N61=TRUE,"",SUM('[1]Data Sheet'!H46:K46))</f>
      </c>
      <c r="M10" s="553">
        <f t="shared" si="12"/>
      </c>
      <c r="N10" s="653">
        <v>1</v>
      </c>
      <c r="O10" s="556"/>
      <c r="P10" s="558"/>
      <c r="Q10" s="558"/>
      <c r="R10" s="558"/>
      <c r="S10" s="558"/>
      <c r="T10" s="558"/>
      <c r="U10" s="547"/>
      <c r="V10" s="547"/>
      <c r="W10" s="547"/>
      <c r="X10" s="547"/>
      <c r="Y10" s="547"/>
      <c r="Z10" s="547"/>
      <c r="AA10" s="533"/>
      <c r="AB10" s="533"/>
      <c r="AC10" s="533"/>
    </row>
    <row r="11" spans="1:29" ht="15" customHeight="1" thickBot="1">
      <c r="A11" s="552" t="s">
        <v>8</v>
      </c>
      <c r="B11" s="547">
        <f>'Data Sheet'!B26</f>
      </c>
      <c r="C11" s="547">
        <f>'Data Sheet'!C26</f>
      </c>
      <c r="D11" s="547">
        <f>'Data Sheet'!D26</f>
      </c>
      <c r="E11" s="547">
        <f>'Data Sheet'!E26</f>
      </c>
      <c r="F11" s="547">
        <f>'Data Sheet'!F26</f>
      </c>
      <c r="G11" s="547">
        <f>'Data Sheet'!G26</f>
      </c>
      <c r="H11" s="547">
        <f>'Data Sheet'!H26</f>
      </c>
      <c r="I11" s="547">
        <f>'Data Sheet'!I26</f>
      </c>
      <c r="J11" s="547">
        <f>'Data Sheet'!J26</f>
      </c>
      <c r="K11" s="547">
        <f>'Data Sheet'!K26</f>
      </c>
      <c r="L11" s="547">
        <f>IF(N61=TRUE,"",SUM('[1]Data Sheet'!H45:K45))</f>
      </c>
      <c r="M11" s="553">
        <f t="shared" si="12"/>
      </c>
      <c r="N11" s="654"/>
      <c r="O11" s="547"/>
      <c r="P11" s="558"/>
      <c r="Q11" s="545"/>
      <c r="R11" s="545"/>
      <c r="S11" s="545"/>
      <c r="T11" s="545"/>
      <c r="U11" s="547"/>
      <c r="V11" s="547"/>
      <c r="W11" s="547"/>
      <c r="X11" s="547"/>
      <c r="Y11" s="547"/>
      <c r="Z11" s="547"/>
      <c r="AA11" s="533"/>
      <c r="AB11" s="533"/>
      <c r="AC11" s="533"/>
    </row>
    <row r="12" spans="1:29" ht="16.5" thickTop="1">
      <c r="A12" s="559" t="s">
        <v>102</v>
      </c>
      <c r="B12" s="544">
        <f>'Data Sheet'!B28</f>
      </c>
      <c r="C12" s="544">
        <f>'Data Sheet'!C28</f>
      </c>
      <c r="D12" s="544">
        <f>'Data Sheet'!D28</f>
      </c>
      <c r="E12" s="544">
        <f>'Data Sheet'!E28</f>
      </c>
      <c r="F12" s="544">
        <f>'Data Sheet'!F28</f>
      </c>
      <c r="G12" s="544">
        <f>'Data Sheet'!G28</f>
      </c>
      <c r="H12" s="544">
        <f>'Data Sheet'!H28</f>
      </c>
      <c r="I12" s="544">
        <f>'Data Sheet'!I28</f>
      </c>
      <c r="J12" s="544">
        <f>'Data Sheet'!J28</f>
      </c>
      <c r="K12" s="544">
        <f>'Data Sheet'!K28</f>
      </c>
      <c r="L12" s="544">
        <f>IF(N61=TRUE,"",SUM('[1]Data Sheet'!H47:K47))</f>
      </c>
      <c r="M12" s="560"/>
      <c r="N12" s="530"/>
      <c r="O12" s="533"/>
      <c r="P12" s="533"/>
      <c r="Q12" s="545"/>
      <c r="R12" s="545"/>
      <c r="S12" s="545"/>
      <c r="T12" s="545"/>
      <c r="U12" s="547"/>
      <c r="V12" s="547"/>
      <c r="W12" s="547"/>
      <c r="X12" s="547"/>
      <c r="Y12" s="547"/>
      <c r="Z12" s="547"/>
      <c r="AA12" s="533"/>
      <c r="AB12" s="533"/>
      <c r="AC12" s="533"/>
    </row>
    <row r="13" spans="1:29" ht="15.75">
      <c r="A13" s="552" t="s">
        <v>11</v>
      </c>
      <c r="B13" s="547">
        <f>'Data Sheet'!B29</f>
      </c>
      <c r="C13" s="547">
        <f>'Data Sheet'!C29</f>
      </c>
      <c r="D13" s="547">
        <f>'Data Sheet'!D29</f>
      </c>
      <c r="E13" s="547">
        <f>'Data Sheet'!E29</f>
      </c>
      <c r="F13" s="547">
        <f>'Data Sheet'!F29</f>
      </c>
      <c r="G13" s="547">
        <f>'Data Sheet'!G29</f>
      </c>
      <c r="H13" s="547">
        <f>'Data Sheet'!H29</f>
      </c>
      <c r="I13" s="547">
        <f>'Data Sheet'!I29</f>
      </c>
      <c r="J13" s="547">
        <f>'Data Sheet'!J29</f>
      </c>
      <c r="K13" s="547">
        <f>'Data Sheet'!K29</f>
      </c>
      <c r="L13" s="547">
        <f>IF(N61=TRUE,"",SUM('[1]Data Sheet'!H48:K48))</f>
      </c>
      <c r="M13" s="560"/>
      <c r="N13" s="561"/>
      <c r="O13" s="530"/>
      <c r="P13" s="562"/>
      <c r="Q13" s="545"/>
      <c r="R13" s="545"/>
      <c r="S13" s="545"/>
      <c r="T13" s="545"/>
      <c r="U13" s="547"/>
      <c r="V13" s="547"/>
      <c r="W13" s="547"/>
      <c r="X13" s="547"/>
      <c r="Y13" s="547"/>
      <c r="Z13" s="547"/>
      <c r="AA13" s="533"/>
      <c r="AB13" s="533"/>
      <c r="AC13" s="533"/>
    </row>
    <row r="14" spans="1:29" ht="15.75">
      <c r="A14" s="552" t="s">
        <v>385</v>
      </c>
      <c r="B14" s="545">
        <f t="shared" ref="B14" si="16">B13/B12</f>
      </c>
      <c r="C14" s="545">
        <f t="shared" ref="C14" si="17">C13/C12</f>
      </c>
      <c r="D14" s="545">
        <f t="shared" ref="D14:K14" si="18">D13/D12</f>
      </c>
      <c r="E14" s="545">
        <f t="shared" si="18"/>
      </c>
      <c r="F14" s="545">
        <f t="shared" si="18"/>
      </c>
      <c r="G14" s="545">
        <f t="shared" si="18"/>
      </c>
      <c r="H14" s="545">
        <f t="shared" si="18"/>
      </c>
      <c r="I14" s="545">
        <f t="shared" si="18"/>
      </c>
      <c r="J14" s="545">
        <f t="shared" si="18"/>
      </c>
      <c r="K14" s="545">
        <f t="shared" si="18"/>
      </c>
      <c r="L14" s="545">
        <f>+IF(N61=TRUE,"",L13/L12)</f>
      </c>
      <c r="M14" s="563"/>
      <c r="N14" s="547"/>
      <c r="O14" s="530"/>
      <c r="P14" s="562"/>
      <c r="Q14" s="545"/>
      <c r="R14" s="545"/>
      <c r="S14" s="545"/>
      <c r="T14" s="545"/>
      <c r="U14" s="547"/>
      <c r="V14" s="547"/>
      <c r="W14" s="547"/>
      <c r="X14" s="547"/>
      <c r="Y14" s="547"/>
      <c r="Z14" s="547"/>
      <c r="AA14" s="533"/>
      <c r="AB14" s="533"/>
      <c r="AC14" s="533"/>
    </row>
    <row r="15" spans="1:29" ht="16.5" thickBot="1">
      <c r="A15" s="559" t="s">
        <v>751</v>
      </c>
      <c r="B15" s="544">
        <f>'Data Sheet'!B30</f>
      </c>
      <c r="C15" s="544">
        <f>'Data Sheet'!C30</f>
      </c>
      <c r="D15" s="544">
        <f>'Data Sheet'!D30</f>
      </c>
      <c r="E15" s="544">
        <f>'Data Sheet'!E30</f>
      </c>
      <c r="F15" s="544">
        <f>'Data Sheet'!F30</f>
      </c>
      <c r="G15" s="544">
        <f>'Data Sheet'!G30</f>
      </c>
      <c r="H15" s="544">
        <f>'Data Sheet'!H30</f>
      </c>
      <c r="I15" s="544">
        <f>'Data Sheet'!I30</f>
      </c>
      <c r="J15" s="544">
        <f>'Data Sheet'!J30</f>
      </c>
      <c r="K15" s="544">
        <f>'Data Sheet'!K30</f>
      </c>
      <c r="L15" s="544">
        <f>IF(N61=TRUE,"",SUM('[1]Data Sheet'!H49:K49))</f>
      </c>
      <c r="M15" s="553">
        <f>SUM(B15:K15)</f>
      </c>
      <c r="N15" s="533"/>
      <c r="O15" s="561"/>
      <c r="P15" s="564"/>
      <c r="Q15" s="545"/>
      <c r="R15" s="545"/>
      <c r="S15" s="545"/>
      <c r="T15" s="545"/>
      <c r="U15" s="547"/>
      <c r="V15" s="547"/>
      <c r="W15" s="547"/>
      <c r="X15" s="547"/>
      <c r="Y15" s="547"/>
      <c r="Z15" s="547"/>
      <c r="AA15" s="533"/>
      <c r="AB15" s="533"/>
      <c r="AC15" s="533"/>
    </row>
    <row r="16" spans="1:29" ht="17.25" thickTop="1" thickBot="1">
      <c r="A16" s="565" t="s">
        <v>383</v>
      </c>
      <c r="B16" s="566">
        <f t="shared" ref="B16" si="19">B15/B4</f>
      </c>
      <c r="C16" s="566">
        <f t="shared" ref="C16" si="20">C15/C4</f>
      </c>
      <c r="D16" s="566">
        <f t="shared" ref="D16:K16" si="21">D15/D4</f>
      </c>
      <c r="E16" s="566">
        <f t="shared" si="21"/>
      </c>
      <c r="F16" s="566">
        <f t="shared" si="21"/>
      </c>
      <c r="G16" s="566">
        <f t="shared" si="21"/>
      </c>
      <c r="H16" s="566">
        <f t="shared" si="21"/>
      </c>
      <c r="I16" s="566">
        <f t="shared" si="21"/>
      </c>
      <c r="J16" s="566">
        <f t="shared" si="21"/>
      </c>
      <c r="K16" s="566">
        <f t="shared" si="21"/>
      </c>
      <c r="L16" s="566">
        <f>+IF(N61=TRUE,"",L15/L4)</f>
      </c>
      <c r="M16" s="567">
        <f>M15/M4</f>
      </c>
      <c r="N16" s="533"/>
      <c r="O16" s="533"/>
      <c r="P16" s="547"/>
      <c r="Q16" s="564"/>
      <c r="R16" s="545"/>
      <c r="S16" s="545"/>
      <c r="T16" s="545"/>
      <c r="U16" s="545"/>
      <c r="V16" s="547"/>
      <c r="W16" s="547"/>
      <c r="X16" s="547"/>
      <c r="Y16" s="547"/>
      <c r="Z16" s="547"/>
      <c r="AA16" s="547"/>
      <c r="AB16" s="533"/>
      <c r="AC16" s="533"/>
    </row>
    <row r="17" spans="1:29" ht="17.25" thickTop="1" thickBot="1">
      <c r="A17" s="533"/>
      <c r="B17" s="547"/>
      <c r="C17" s="547"/>
      <c r="D17" s="547"/>
      <c r="E17" s="547"/>
      <c r="F17" s="547"/>
      <c r="G17" s="547"/>
      <c r="H17" s="547"/>
      <c r="I17" s="547"/>
      <c r="J17" s="547"/>
      <c r="K17" s="547"/>
      <c r="L17" s="568"/>
      <c r="M17" s="544"/>
      <c r="N17" s="533"/>
      <c r="O17" s="533"/>
      <c r="P17" s="547"/>
      <c r="Q17" s="564"/>
      <c r="R17" s="545"/>
      <c r="S17" s="545"/>
      <c r="T17" s="545"/>
      <c r="U17" s="545"/>
      <c r="V17" s="547"/>
      <c r="W17" s="547"/>
      <c r="X17" s="547"/>
      <c r="Y17" s="547"/>
      <c r="Z17" s="547"/>
      <c r="AA17" s="547"/>
      <c r="AB17" s="533"/>
      <c r="AC17" s="533"/>
    </row>
    <row r="18" spans="1:29" ht="16.5" thickTop="1">
      <c r="A18" s="539" t="s">
        <v>92</v>
      </c>
      <c r="B18" s="569">
        <f>'Data Sheet'!B82</f>
      </c>
      <c r="C18" s="569">
        <f>'Data Sheet'!C82</f>
      </c>
      <c r="D18" s="569">
        <f>'Data Sheet'!D82</f>
      </c>
      <c r="E18" s="569">
        <f>'Data Sheet'!E82</f>
      </c>
      <c r="F18" s="569">
        <f>'Data Sheet'!F82</f>
      </c>
      <c r="G18" s="569">
        <f>'Data Sheet'!G82</f>
      </c>
      <c r="H18" s="569">
        <f>'Data Sheet'!H82</f>
      </c>
      <c r="I18" s="569">
        <f>'Data Sheet'!I82</f>
      </c>
      <c r="J18" s="569">
        <f>'Data Sheet'!J82</f>
      </c>
      <c r="K18" s="569">
        <f>'Data Sheet'!K82</f>
      </c>
      <c r="L18" s="570" t="s">
        <v>730</v>
      </c>
      <c r="M18" s="571">
        <f t="shared" ref="M18:M19" si="22">SUM(B18:K18)</f>
      </c>
      <c r="N18" s="658">
        <v>2</v>
      </c>
      <c r="O18" s="547"/>
      <c r="P18" s="533"/>
      <c r="Q18" s="572"/>
      <c r="R18" s="545"/>
      <c r="S18" s="545"/>
      <c r="T18" s="545"/>
      <c r="U18" s="545"/>
      <c r="V18" s="547"/>
      <c r="W18" s="547"/>
      <c r="X18" s="547"/>
      <c r="Y18" s="547"/>
      <c r="Z18" s="547"/>
      <c r="AA18" s="533"/>
      <c r="AB18" s="533"/>
      <c r="AC18" s="533"/>
    </row>
    <row r="19" spans="1:29" ht="16.5" thickBot="1">
      <c r="A19" s="573" t="s">
        <v>752</v>
      </c>
      <c r="B19" s="574"/>
      <c r="C19" s="575">
        <f>'Data Sheet'!C62+'Data Sheet'!C63-'Data Sheet'!B62-'Data Sheet'!B63+'Data Sheet'!C26</f>
      </c>
      <c r="D19" s="575">
        <f>'Data Sheet'!D62+'Data Sheet'!D63-'Data Sheet'!C62-'Data Sheet'!C63+'Data Sheet'!D26</f>
      </c>
      <c r="E19" s="575">
        <f>'Data Sheet'!E62+'Data Sheet'!E63-'Data Sheet'!D62-'Data Sheet'!D63+'Data Sheet'!E26</f>
      </c>
      <c r="F19" s="575">
        <f>'Data Sheet'!F62+'Data Sheet'!F63-'Data Sheet'!E62-'Data Sheet'!E63+'Data Sheet'!F26</f>
      </c>
      <c r="G19" s="575">
        <f>'Data Sheet'!G62+'Data Sheet'!G63-'Data Sheet'!F62-'Data Sheet'!F63+'Data Sheet'!G26</f>
      </c>
      <c r="H19" s="575">
        <f>'Data Sheet'!H62+'Data Sheet'!H63-'Data Sheet'!G62-'Data Sheet'!G63+'Data Sheet'!H26</f>
      </c>
      <c r="I19" s="575">
        <f>'Data Sheet'!I62+'Data Sheet'!I63-'Data Sheet'!H62-'Data Sheet'!H63+'Data Sheet'!I26</f>
      </c>
      <c r="J19" s="575">
        <f>'Data Sheet'!J62+'Data Sheet'!J63-'Data Sheet'!I62-'Data Sheet'!I63+'Data Sheet'!J26</f>
      </c>
      <c r="K19" s="575">
        <f>'Data Sheet'!K62+'Data Sheet'!K63-'Data Sheet'!J62-'Data Sheet'!J63+'Data Sheet'!K26</f>
      </c>
      <c r="L19" s="576" t="s">
        <v>620</v>
      </c>
      <c r="M19" s="577">
        <f t="shared" si="22"/>
      </c>
      <c r="N19" s="659"/>
      <c r="O19" s="547"/>
      <c r="P19" s="533"/>
      <c r="Q19" s="547"/>
      <c r="R19" s="545"/>
      <c r="S19" s="545"/>
      <c r="T19" s="545"/>
      <c r="U19" s="545"/>
      <c r="V19" s="578"/>
      <c r="W19" s="578"/>
      <c r="X19" s="578"/>
      <c r="Y19" s="578"/>
      <c r="Z19" s="578"/>
      <c r="AA19" s="578"/>
      <c r="AB19" s="578"/>
      <c r="AC19" s="578"/>
    </row>
    <row r="20" spans="1:29" ht="17.25" thickTop="1" thickBot="1">
      <c r="A20" s="579" t="s">
        <v>753</v>
      </c>
      <c r="B20" s="580"/>
      <c r="C20" s="581">
        <f t="shared" ref="C20" si="23">+C18-C19</f>
      </c>
      <c r="D20" s="581">
        <f t="shared" ref="D20:K20" si="24">+D18-D19</f>
      </c>
      <c r="E20" s="581">
        <f t="shared" si="24"/>
      </c>
      <c r="F20" s="581">
        <f t="shared" si="24"/>
      </c>
      <c r="G20" s="581">
        <f t="shared" si="24"/>
      </c>
      <c r="H20" s="581">
        <f t="shared" si="24"/>
      </c>
      <c r="I20" s="581">
        <f t="shared" si="24"/>
      </c>
      <c r="J20" s="581">
        <f t="shared" si="24"/>
      </c>
      <c r="K20" s="581">
        <f t="shared" si="24"/>
      </c>
      <c r="L20" s="582" t="s">
        <v>129</v>
      </c>
      <c r="M20" s="583">
        <f>+M18-M19</f>
      </c>
      <c r="N20" s="660"/>
      <c r="O20" s="584"/>
      <c r="P20" s="533"/>
      <c r="Q20" s="545"/>
      <c r="R20" s="545"/>
      <c r="S20" s="545"/>
      <c r="T20" s="545"/>
      <c r="U20" s="547"/>
      <c r="V20" s="547"/>
      <c r="W20" s="547"/>
      <c r="X20" s="547"/>
      <c r="Y20" s="547"/>
      <c r="Z20" s="547"/>
      <c r="AA20" s="533"/>
      <c r="AB20" s="533"/>
      <c r="AC20" s="533"/>
    </row>
    <row r="21" spans="1:29" ht="17.25" thickTop="1" thickBot="1">
      <c r="A21" s="585" t="s">
        <v>333</v>
      </c>
      <c r="B21" s="540">
        <f>'Data Sheet'!B59</f>
      </c>
      <c r="C21" s="540">
        <f>'Data Sheet'!C59</f>
      </c>
      <c r="D21" s="540">
        <f>'Data Sheet'!D59</f>
      </c>
      <c r="E21" s="540">
        <f>'Data Sheet'!E59</f>
      </c>
      <c r="F21" s="540">
        <f>'Data Sheet'!F59</f>
      </c>
      <c r="G21" s="540">
        <f>'Data Sheet'!G59</f>
      </c>
      <c r="H21" s="540">
        <f>'Data Sheet'!H59</f>
      </c>
      <c r="I21" s="540">
        <f>'Data Sheet'!I59</f>
      </c>
      <c r="J21" s="540">
        <f>'Data Sheet'!J59</f>
      </c>
      <c r="K21" s="540">
        <f>'Data Sheet'!K59</f>
      </c>
      <c r="L21" s="586" t="s">
        <v>754</v>
      </c>
      <c r="M21" s="587">
        <f>+M20-M10</f>
      </c>
      <c r="N21" s="578"/>
      <c r="O21" s="578"/>
      <c r="P21" s="533"/>
      <c r="Q21" s="545"/>
      <c r="R21" s="545"/>
      <c r="S21" s="545"/>
      <c r="T21" s="545"/>
      <c r="U21" s="578"/>
      <c r="V21" s="544"/>
      <c r="W21" s="547"/>
      <c r="X21" s="547"/>
      <c r="Y21" s="547"/>
      <c r="Z21" s="547"/>
      <c r="AA21" s="533"/>
      <c r="AB21" s="533"/>
      <c r="AC21" s="533"/>
    </row>
    <row r="22" spans="1:29" ht="15.75" customHeight="1" thickTop="1" thickBot="1">
      <c r="A22" s="559" t="s">
        <v>364</v>
      </c>
      <c r="B22" s="588">
        <f>'Data Sheet'!B57+'Data Sheet'!B58</f>
      </c>
      <c r="C22" s="588">
        <f>'Data Sheet'!C57+'Data Sheet'!C58</f>
      </c>
      <c r="D22" s="588">
        <f>'Data Sheet'!D57+'Data Sheet'!D58</f>
      </c>
      <c r="E22" s="588">
        <f>'Data Sheet'!E57+'Data Sheet'!E58</f>
      </c>
      <c r="F22" s="588">
        <f>'Data Sheet'!F57+'Data Sheet'!F58</f>
      </c>
      <c r="G22" s="588">
        <f>'Data Sheet'!G57+'Data Sheet'!G58</f>
      </c>
      <c r="H22" s="588">
        <f>'Data Sheet'!H57+'Data Sheet'!H58</f>
      </c>
      <c r="I22" s="588">
        <f>'Data Sheet'!I57+'Data Sheet'!I58</f>
      </c>
      <c r="J22" s="588">
        <f>'Data Sheet'!J57+'Data Sheet'!J58</f>
      </c>
      <c r="K22" s="588">
        <f>'Data Sheet'!K57+'Data Sheet'!K58</f>
      </c>
      <c r="L22" s="589" t="s">
        <v>755</v>
      </c>
      <c r="M22" s="590">
        <f>SUM(B41:K41)</f>
      </c>
      <c r="N22" s="661">
        <v>3</v>
      </c>
      <c r="O22" s="533"/>
      <c r="P22" s="530"/>
      <c r="Q22" s="547"/>
      <c r="R22" s="530"/>
      <c r="S22" s="530"/>
      <c r="T22" s="530"/>
      <c r="U22" s="547"/>
      <c r="V22" s="544"/>
      <c r="W22" s="547"/>
      <c r="X22" s="547"/>
      <c r="Y22" s="547"/>
      <c r="Z22" s="547"/>
      <c r="AA22" s="533"/>
      <c r="AB22" s="533"/>
      <c r="AC22" s="533"/>
    </row>
    <row r="23" spans="1:29" ht="15.75" customHeight="1" thickTop="1" thickBot="1">
      <c r="A23" s="559" t="s">
        <v>756</v>
      </c>
      <c r="B23" s="591">
        <f t="shared" ref="B23" si="25">B21/B22</f>
      </c>
      <c r="C23" s="591">
        <f t="shared" ref="C23" si="26">C21/C22</f>
      </c>
      <c r="D23" s="591">
        <f t="shared" ref="D23:K23" si="27">D21/D22</f>
      </c>
      <c r="E23" s="591">
        <f t="shared" si="27"/>
      </c>
      <c r="F23" s="591">
        <f t="shared" si="27"/>
      </c>
      <c r="G23" s="591">
        <f t="shared" si="27"/>
      </c>
      <c r="H23" s="591">
        <f t="shared" si="27"/>
      </c>
      <c r="I23" s="591">
        <f t="shared" si="27"/>
      </c>
      <c r="J23" s="591">
        <f t="shared" si="27"/>
      </c>
      <c r="K23" s="591">
        <f t="shared" si="27"/>
      </c>
      <c r="L23" s="589" t="s">
        <v>757</v>
      </c>
      <c r="M23" s="592">
        <f>+K21-B21</f>
      </c>
      <c r="N23" s="662"/>
      <c r="O23" s="530"/>
      <c r="P23" s="530"/>
      <c r="Q23" s="544"/>
      <c r="R23" s="530"/>
      <c r="S23" s="530"/>
      <c r="T23" s="530"/>
      <c r="U23" s="544"/>
      <c r="V23" s="544"/>
      <c r="W23" s="544"/>
      <c r="X23" s="544"/>
      <c r="Y23" s="544"/>
      <c r="Z23" s="544"/>
      <c r="AA23" s="530"/>
      <c r="AB23" s="530"/>
      <c r="AC23" s="530"/>
    </row>
    <row r="24" spans="1:29" ht="15.75" customHeight="1" thickTop="1" thickBot="1">
      <c r="A24" s="552" t="s">
        <v>339</v>
      </c>
      <c r="B24" s="561">
        <f>'Data Sheet'!B57</f>
      </c>
      <c r="C24" s="561">
        <f>'Data Sheet'!C57</f>
      </c>
      <c r="D24" s="561">
        <f>'Data Sheet'!D57</f>
      </c>
      <c r="E24" s="561">
        <f>'Data Sheet'!E57</f>
      </c>
      <c r="F24" s="561">
        <f>'Data Sheet'!F57</f>
      </c>
      <c r="G24" s="561">
        <f>'Data Sheet'!G57</f>
      </c>
      <c r="H24" s="561">
        <f>'Data Sheet'!H57</f>
      </c>
      <c r="I24" s="561">
        <f>'Data Sheet'!I57</f>
      </c>
      <c r="J24" s="561">
        <f>'Data Sheet'!J57</f>
      </c>
      <c r="K24" s="561">
        <f>'Data Sheet'!K57</f>
      </c>
      <c r="L24" s="589" t="s">
        <v>758</v>
      </c>
      <c r="M24" s="593">
        <f>M21-M22+M23</f>
      </c>
      <c r="N24" s="654"/>
      <c r="O24" s="530"/>
      <c r="P24" s="533"/>
      <c r="Q24" s="544"/>
      <c r="R24" s="530"/>
      <c r="S24" s="530"/>
      <c r="T24" s="530"/>
      <c r="U24" s="544"/>
      <c r="V24" s="544"/>
      <c r="W24" s="544"/>
      <c r="X24" s="544"/>
      <c r="Y24" s="544"/>
      <c r="Z24" s="544"/>
      <c r="AA24" s="530"/>
      <c r="AB24" s="530"/>
      <c r="AC24" s="530"/>
    </row>
    <row r="25" spans="1:29" ht="15.75" customHeight="1" thickTop="1" thickBot="1">
      <c r="A25" s="594" t="s">
        <v>368</v>
      </c>
      <c r="B25" s="595">
        <f>'Data Sheet'!B31</f>
      </c>
      <c r="C25" s="595">
        <f>'Data Sheet'!C31</f>
      </c>
      <c r="D25" s="595">
        <f>'Data Sheet'!D31</f>
      </c>
      <c r="E25" s="595">
        <f>'Data Sheet'!E31</f>
      </c>
      <c r="F25" s="595">
        <f>'Data Sheet'!F31</f>
      </c>
      <c r="G25" s="595">
        <f>'Data Sheet'!G31</f>
      </c>
      <c r="H25" s="595">
        <f>'Data Sheet'!H31</f>
      </c>
      <c r="I25" s="595">
        <f>'Data Sheet'!I31</f>
      </c>
      <c r="J25" s="595">
        <f>'Data Sheet'!J31</f>
      </c>
      <c r="K25" s="595">
        <f>'Data Sheet'!K31</f>
      </c>
      <c r="L25" s="596" t="s">
        <v>759</v>
      </c>
      <c r="M25" s="597">
        <f>+M20/M18</f>
      </c>
      <c r="N25" s="530"/>
      <c r="O25" s="530"/>
      <c r="P25" s="530"/>
      <c r="Q25" s="544"/>
      <c r="R25" s="547"/>
      <c r="S25" s="545"/>
      <c r="T25" s="545"/>
      <c r="U25" s="544"/>
      <c r="V25" s="544"/>
      <c r="W25" s="544"/>
      <c r="X25" s="544"/>
      <c r="Y25" s="544"/>
      <c r="Z25" s="544"/>
      <c r="AA25" s="530"/>
      <c r="AB25" s="530"/>
      <c r="AC25" s="530"/>
    </row>
    <row r="26" spans="1:29" ht="15.75" customHeight="1" thickTop="1">
      <c r="A26" s="598"/>
      <c r="B26" s="558"/>
      <c r="C26" s="547"/>
      <c r="D26" s="547"/>
      <c r="E26" s="547"/>
      <c r="F26" s="547"/>
      <c r="G26" s="547"/>
      <c r="H26" s="547"/>
      <c r="I26" s="547"/>
      <c r="J26" s="547"/>
      <c r="K26" s="547"/>
      <c r="L26" s="599"/>
      <c r="M26" s="530"/>
      <c r="N26" s="530"/>
      <c r="O26" s="530"/>
      <c r="P26" s="530"/>
      <c r="Q26" s="544"/>
      <c r="R26" s="547"/>
      <c r="S26" s="545"/>
      <c r="T26" s="545"/>
      <c r="U26" s="544"/>
      <c r="V26" s="544"/>
      <c r="W26" s="544"/>
      <c r="X26" s="544"/>
      <c r="Y26" s="544"/>
      <c r="Z26" s="544"/>
      <c r="AA26" s="530"/>
      <c r="AB26" s="530"/>
      <c r="AC26" s="530"/>
    </row>
    <row r="27" spans="1:29" ht="15.75" customHeight="1" thickBot="1">
      <c r="A27" s="533"/>
      <c r="B27" s="533"/>
      <c r="C27" s="533"/>
      <c r="D27" s="533"/>
      <c r="E27" s="533"/>
      <c r="F27" s="533"/>
      <c r="G27" s="533"/>
      <c r="H27" s="533"/>
      <c r="I27" s="533"/>
      <c r="J27" s="533"/>
      <c r="K27" s="533"/>
      <c r="L27" s="530"/>
      <c r="M27" s="530"/>
      <c r="N27" s="530"/>
      <c r="O27" s="530"/>
      <c r="P27" s="530"/>
      <c r="Q27" s="533"/>
      <c r="R27" s="544"/>
      <c r="S27" s="544"/>
      <c r="T27" s="544"/>
      <c r="U27" s="544"/>
      <c r="V27" s="544"/>
      <c r="W27" s="544"/>
      <c r="X27" s="544"/>
      <c r="Y27" s="544"/>
      <c r="Z27" s="544"/>
      <c r="AA27" s="530"/>
      <c r="AB27" s="530"/>
      <c r="AC27" s="530"/>
    </row>
    <row r="28" spans="1:29" ht="15.75" customHeight="1" thickTop="1">
      <c r="A28" s="539" t="s">
        <v>378</v>
      </c>
      <c r="B28" s="600"/>
      <c r="C28" s="600">
        <f t="shared" ref="C28" si="28">C12/(AVERAGE(B38:C38))</f>
      </c>
      <c r="D28" s="600">
        <f t="shared" ref="D28" si="29">D12/(AVERAGE(C38:D38))</f>
      </c>
      <c r="E28" s="600">
        <f t="shared" ref="E28" si="30">E12/(AVERAGE(D38:E38))</f>
      </c>
      <c r="F28" s="600">
        <f t="shared" ref="F28" si="31">F12/(AVERAGE(E38:F38))</f>
      </c>
      <c r="G28" s="600">
        <f t="shared" ref="G28" si="32">G12/(AVERAGE(F38:G38))</f>
      </c>
      <c r="H28" s="600">
        <f t="shared" ref="H28" si="33">H12/(AVERAGE(G38:H38))</f>
      </c>
      <c r="I28" s="600">
        <f t="shared" ref="I28" si="34">I12/(AVERAGE(H38:I38))</f>
      </c>
      <c r="J28" s="600">
        <f t="shared" ref="J28" si="35">J12/(AVERAGE(I38:J38))</f>
      </c>
      <c r="K28" s="600">
        <f t="shared" ref="K28" si="36">K12/(AVERAGE(J38:K38))</f>
      </c>
      <c r="L28" s="661">
        <v>4</v>
      </c>
      <c r="M28" s="530"/>
      <c r="N28" s="530"/>
      <c r="O28" s="530"/>
      <c r="P28" s="530"/>
      <c r="Q28" s="533"/>
      <c r="R28" s="544"/>
      <c r="S28" s="544"/>
      <c r="T28" s="544"/>
      <c r="U28" s="544"/>
      <c r="V28" s="547"/>
      <c r="W28" s="544"/>
      <c r="X28" s="544"/>
      <c r="Y28" s="544"/>
      <c r="Z28" s="544"/>
      <c r="AA28" s="530"/>
      <c r="AB28" s="530"/>
      <c r="AC28" s="530"/>
    </row>
    <row r="29" spans="1:29" ht="15.75" customHeight="1">
      <c r="A29" s="552" t="s">
        <v>760</v>
      </c>
      <c r="B29" s="545"/>
      <c r="C29" s="545">
        <f>C15/C22</f>
      </c>
      <c r="D29" s="545">
        <f t="shared" ref="D29:K29" si="37">D15/D22</f>
      </c>
      <c r="E29" s="545">
        <f t="shared" si="37"/>
      </c>
      <c r="F29" s="545">
        <f t="shared" si="37"/>
      </c>
      <c r="G29" s="545">
        <f t="shared" si="37"/>
      </c>
      <c r="H29" s="545">
        <f t="shared" si="37"/>
      </c>
      <c r="I29" s="545">
        <f t="shared" si="37"/>
      </c>
      <c r="J29" s="545">
        <f t="shared" si="37"/>
      </c>
      <c r="K29" s="545">
        <f t="shared" si="37"/>
      </c>
      <c r="L29" s="662"/>
      <c r="M29" s="530"/>
      <c r="N29" s="530"/>
      <c r="O29" s="530"/>
      <c r="P29" s="533"/>
      <c r="Q29" s="544"/>
      <c r="R29" s="544"/>
      <c r="S29" s="544"/>
      <c r="T29" s="544"/>
      <c r="U29" s="547"/>
      <c r="V29" s="544"/>
      <c r="W29" s="544"/>
      <c r="X29" s="544"/>
      <c r="Y29" s="544"/>
      <c r="Z29" s="530"/>
      <c r="AA29" s="530"/>
      <c r="AB29" s="530"/>
      <c r="AC29" s="530"/>
    </row>
    <row r="30" spans="1:29" ht="15.75" customHeight="1" thickBot="1">
      <c r="A30" s="594" t="s">
        <v>376</v>
      </c>
      <c r="B30" s="601"/>
      <c r="C30" s="601">
        <f>(C12+C10)/AVERAGE('Data Sheet'!B61:C61)</f>
      </c>
      <c r="D30" s="601">
        <f>(D12+D10)/AVERAGE('Data Sheet'!C61:D61)</f>
      </c>
      <c r="E30" s="601">
        <f>(E12+E10)/AVERAGE('Data Sheet'!D61:E61)</f>
      </c>
      <c r="F30" s="601">
        <f>(F12+F10)/AVERAGE('Data Sheet'!E61:F61)</f>
      </c>
      <c r="G30" s="601">
        <f>(G12+G10)/AVERAGE('Data Sheet'!F61:G61)</f>
      </c>
      <c r="H30" s="601">
        <f>(H12+H10)/AVERAGE('Data Sheet'!G61:H61)</f>
      </c>
      <c r="I30" s="601">
        <f>(I12+I10)/AVERAGE('Data Sheet'!H61:I61)</f>
      </c>
      <c r="J30" s="601">
        <f>(J12+J10)/AVERAGE('Data Sheet'!I61:J61)</f>
      </c>
      <c r="K30" s="601">
        <f>(K12+K10)/AVERAGE('Data Sheet'!J61:K61)</f>
      </c>
      <c r="L30" s="654"/>
      <c r="M30" s="530"/>
      <c r="N30" s="530"/>
      <c r="O30" s="530"/>
      <c r="P30" s="530"/>
      <c r="Q30" s="530"/>
      <c r="R30" s="530"/>
      <c r="S30" s="530"/>
      <c r="T30" s="547"/>
      <c r="U30" s="547"/>
      <c r="V30" s="544"/>
      <c r="W30" s="544"/>
      <c r="X30" s="544"/>
      <c r="Y30" s="544"/>
      <c r="Z30" s="530"/>
      <c r="AA30" s="530"/>
      <c r="AB30" s="530"/>
      <c r="AC30" s="530"/>
    </row>
    <row r="31" spans="1:29" ht="15.75" customHeight="1" thickTop="1" thickBot="1">
      <c r="A31" s="530"/>
      <c r="B31" s="530"/>
      <c r="C31" s="530"/>
      <c r="D31" s="530"/>
      <c r="E31" s="530"/>
      <c r="F31" s="530"/>
      <c r="G31" s="530"/>
      <c r="H31" s="530"/>
      <c r="I31" s="530"/>
      <c r="J31" s="530"/>
      <c r="K31" s="530"/>
      <c r="L31" s="530"/>
      <c r="M31" s="530"/>
      <c r="N31" s="530"/>
      <c r="O31" s="530"/>
      <c r="P31" s="530"/>
      <c r="Q31" s="530"/>
      <c r="R31" s="530"/>
      <c r="S31" s="530"/>
      <c r="T31" s="547"/>
      <c r="U31" s="547"/>
      <c r="V31" s="544"/>
      <c r="W31" s="544"/>
      <c r="X31" s="544"/>
      <c r="Y31" s="544"/>
      <c r="Z31" s="530"/>
      <c r="AA31" s="530"/>
      <c r="AB31" s="530"/>
      <c r="AC31" s="530"/>
    </row>
    <row r="32" spans="1:29" ht="15.75" customHeight="1" thickBot="1">
      <c r="A32" s="602" t="s">
        <v>373</v>
      </c>
      <c r="B32" s="603"/>
      <c r="C32" s="604">
        <f>'Data Sheet'!C17/(('Data Sheet'!B62+'Data Sheet'!C62)/2)</f>
      </c>
      <c r="D32" s="604">
        <f>'Data Sheet'!D17/(('Data Sheet'!C62+'Data Sheet'!D62)/2)</f>
      </c>
      <c r="E32" s="604">
        <f>'Data Sheet'!E17/(('Data Sheet'!D62+'Data Sheet'!E62)/2)</f>
      </c>
      <c r="F32" s="604">
        <f>'Data Sheet'!F17/(('Data Sheet'!E62+'Data Sheet'!F62)/2)</f>
      </c>
      <c r="G32" s="604">
        <f>'Data Sheet'!G17/(('Data Sheet'!F62+'Data Sheet'!G62)/2)</f>
      </c>
      <c r="H32" s="604">
        <f>'Data Sheet'!H17/(('Data Sheet'!G62+'Data Sheet'!H62)/2)</f>
      </c>
      <c r="I32" s="604">
        <f>'Data Sheet'!I17/(('Data Sheet'!H62+'Data Sheet'!I62)/2)</f>
      </c>
      <c r="J32" s="604">
        <f>'Data Sheet'!J17/(('Data Sheet'!I62+'Data Sheet'!J62)/2)</f>
      </c>
      <c r="K32" s="604">
        <f>'Data Sheet'!K17/(('Data Sheet'!J62+'Data Sheet'!K62)/2)</f>
      </c>
      <c r="L32" s="530"/>
      <c r="M32" s="530"/>
      <c r="N32" s="530"/>
      <c r="O32" s="530"/>
      <c r="P32" s="530"/>
      <c r="Q32" s="530"/>
      <c r="R32" s="530"/>
      <c r="S32" s="530"/>
      <c r="T32" s="547"/>
      <c r="U32" s="544"/>
      <c r="V32" s="544"/>
      <c r="W32" s="544"/>
      <c r="X32" s="544"/>
      <c r="Y32" s="544"/>
      <c r="Z32" s="530"/>
      <c r="AA32" s="530"/>
      <c r="AB32" s="530"/>
      <c r="AC32" s="530"/>
    </row>
    <row r="33" spans="1:29" ht="15.75" customHeight="1" thickTop="1">
      <c r="A33" s="605" t="s">
        <v>372</v>
      </c>
      <c r="B33" s="558"/>
      <c r="C33" s="558">
        <f>365/('Data Sheet'!C17/AVERAGE('Data Sheet'!B67:C67))</f>
      </c>
      <c r="D33" s="558">
        <f>365/('Data Sheet'!D17/AVERAGE('Data Sheet'!C67:D67))</f>
      </c>
      <c r="E33" s="558">
        <f>365/('Data Sheet'!E17/AVERAGE('Data Sheet'!D67:E67))</f>
      </c>
      <c r="F33" s="558">
        <f>365/('Data Sheet'!F17/AVERAGE('Data Sheet'!E67:F67))</f>
      </c>
      <c r="G33" s="558">
        <f>365/('Data Sheet'!G17/AVERAGE('Data Sheet'!F67:G67))</f>
      </c>
      <c r="H33" s="558">
        <f>365/('Data Sheet'!H17/AVERAGE('Data Sheet'!G67:H67))</f>
      </c>
      <c r="I33" s="558">
        <f>365/('Data Sheet'!I17/AVERAGE('Data Sheet'!H67:I67))</f>
      </c>
      <c r="J33" s="558">
        <f>365/('Data Sheet'!J17/AVERAGE('Data Sheet'!I67:J67))</f>
      </c>
      <c r="K33" s="558">
        <f>365/('Data Sheet'!K17/AVERAGE('Data Sheet'!J67:K67))</f>
      </c>
      <c r="L33" s="661">
        <v>5</v>
      </c>
      <c r="M33" s="530"/>
      <c r="N33" s="530"/>
      <c r="O33" s="530"/>
      <c r="P33" s="530"/>
      <c r="Q33" s="530"/>
      <c r="R33" s="530"/>
      <c r="S33" s="530"/>
      <c r="T33" s="547"/>
      <c r="U33" s="544"/>
      <c r="V33" s="544"/>
      <c r="W33" s="544"/>
      <c r="X33" s="544"/>
      <c r="Y33" s="544"/>
      <c r="Z33" s="530"/>
      <c r="AA33" s="530"/>
      <c r="AB33" s="530"/>
      <c r="AC33" s="530"/>
    </row>
    <row r="34" spans="1:29" ht="15.75" customHeight="1">
      <c r="A34" s="605" t="s">
        <v>371</v>
      </c>
      <c r="B34" s="558"/>
      <c r="C34" s="564">
        <f>'Data Sheet'!C17/(AVERAGE('Data Sheet'!B68:C68))</f>
      </c>
      <c r="D34" s="564">
        <f>'Data Sheet'!D17/(AVERAGE('Data Sheet'!C68:D68))</f>
      </c>
      <c r="E34" s="564">
        <f>'Data Sheet'!E17/(AVERAGE('Data Sheet'!D68:E68))</f>
      </c>
      <c r="F34" s="564">
        <f>'Data Sheet'!F17/(AVERAGE('Data Sheet'!E68:F68))</f>
      </c>
      <c r="G34" s="564">
        <f>'Data Sheet'!G17/(AVERAGE('Data Sheet'!F68:G68))</f>
      </c>
      <c r="H34" s="564">
        <f>'Data Sheet'!H17/(AVERAGE('Data Sheet'!G68:H68))</f>
      </c>
      <c r="I34" s="564">
        <f>'Data Sheet'!I17/(AVERAGE('Data Sheet'!H68:I68))</f>
      </c>
      <c r="J34" s="564">
        <f>'Data Sheet'!J17/(AVERAGE('Data Sheet'!I68:J68))</f>
      </c>
      <c r="K34" s="564">
        <f>'Data Sheet'!K17/(AVERAGE('Data Sheet'!J68:K68))</f>
      </c>
      <c r="L34" s="662"/>
      <c r="M34" s="530"/>
      <c r="N34" s="530"/>
      <c r="O34" s="530"/>
      <c r="P34" s="530"/>
      <c r="Q34" s="544"/>
      <c r="R34" s="544"/>
      <c r="S34" s="544"/>
      <c r="T34" s="544"/>
      <c r="U34" s="544"/>
      <c r="V34" s="544"/>
      <c r="W34" s="544"/>
      <c r="X34" s="544"/>
      <c r="Y34" s="544"/>
      <c r="Z34" s="530"/>
      <c r="AA34" s="530"/>
      <c r="AB34" s="530"/>
      <c r="AC34" s="530"/>
    </row>
    <row r="35" spans="1:29" ht="15.75" customHeight="1" thickBot="1">
      <c r="A35" s="605" t="s">
        <v>761</v>
      </c>
      <c r="B35" s="558"/>
      <c r="C35" s="564" t="e">
        <f>(365/('Data Sheet'!C18/(AVERAGE('Data Sheet'!B68:C68))))/30</f>
      </c>
      <c r="D35" s="564">
        <f>(365/('Data Sheet'!D18/(AVERAGE('Data Sheet'!C68:D68))))/30</f>
      </c>
      <c r="E35" s="564">
        <f>(365/('Data Sheet'!E18/(AVERAGE('Data Sheet'!D68:E68))))/30</f>
      </c>
      <c r="F35" s="564">
        <f>(365/('Data Sheet'!F18/(AVERAGE('Data Sheet'!E68:F68))))/30</f>
      </c>
      <c r="G35" s="564">
        <f>(365/('Data Sheet'!G18/(AVERAGE('Data Sheet'!F68:G68))))/30</f>
      </c>
      <c r="H35" s="564">
        <f>(365/('Data Sheet'!H18/(AVERAGE('Data Sheet'!G68:H68))))/30</f>
      </c>
      <c r="I35" s="564">
        <f>(365/('Data Sheet'!I18/(AVERAGE('Data Sheet'!H68:I68))))/30</f>
      </c>
      <c r="J35" s="564">
        <f>(365/('Data Sheet'!J18/(AVERAGE('Data Sheet'!I68:J68))))/30</f>
      </c>
      <c r="K35" s="564" t="e">
        <f>(365/('Data Sheet'!K18/(AVERAGE('Data Sheet'!J68:K68))))/30</f>
      </c>
      <c r="L35" s="654"/>
      <c r="M35" s="530"/>
      <c r="N35" s="530"/>
      <c r="O35" s="530"/>
      <c r="P35" s="530"/>
      <c r="Q35" s="544"/>
      <c r="R35" s="544"/>
      <c r="S35" s="544"/>
      <c r="T35" s="544"/>
      <c r="U35" s="544"/>
      <c r="V35" s="544"/>
      <c r="W35" s="544"/>
      <c r="X35" s="544"/>
      <c r="Y35" s="544"/>
      <c r="Z35" s="530"/>
      <c r="AA35" s="530"/>
      <c r="AB35" s="530"/>
      <c r="AC35" s="530"/>
    </row>
    <row r="36" spans="1:29" ht="15.75" customHeight="1" thickTop="1" thickBot="1">
      <c r="A36" s="606" t="s">
        <v>762</v>
      </c>
      <c r="B36" s="607"/>
      <c r="C36" s="607">
        <f t="shared" ref="C36" si="38">+C33+365/C34</f>
      </c>
      <c r="D36" s="607">
        <f t="shared" ref="D36:K36" si="39">+D33+365/D34</f>
      </c>
      <c r="E36" s="607">
        <f t="shared" si="39"/>
      </c>
      <c r="F36" s="607">
        <f t="shared" si="39"/>
      </c>
      <c r="G36" s="607">
        <f t="shared" si="39"/>
      </c>
      <c r="H36" s="607">
        <f t="shared" si="39"/>
      </c>
      <c r="I36" s="607">
        <f t="shared" si="39"/>
      </c>
      <c r="J36" s="607">
        <f t="shared" si="39"/>
      </c>
      <c r="K36" s="607">
        <f t="shared" si="39"/>
      </c>
      <c r="L36" s="530"/>
      <c r="M36" s="530"/>
      <c r="N36" s="530"/>
      <c r="O36" s="530"/>
      <c r="P36" s="530"/>
      <c r="Q36" s="544"/>
      <c r="R36" s="544"/>
      <c r="S36" s="544"/>
      <c r="T36" s="544"/>
      <c r="U36" s="544"/>
      <c r="V36" s="544"/>
      <c r="W36" s="544"/>
      <c r="X36" s="544"/>
      <c r="Y36" s="544"/>
      <c r="Z36" s="530"/>
      <c r="AA36" s="530"/>
      <c r="AB36" s="530"/>
      <c r="AC36" s="530"/>
    </row>
    <row r="37" spans="1:29" ht="15.75" customHeight="1" thickBot="1">
      <c r="A37" s="533"/>
      <c r="B37" s="558"/>
      <c r="C37" s="558"/>
      <c r="D37" s="558"/>
      <c r="E37" s="558"/>
      <c r="F37" s="558"/>
      <c r="G37" s="558"/>
      <c r="H37" s="558"/>
      <c r="I37" s="558"/>
      <c r="J37" s="558"/>
      <c r="K37" s="558"/>
      <c r="L37" s="530"/>
      <c r="M37" s="530"/>
      <c r="N37" s="530"/>
      <c r="O37" s="530"/>
      <c r="P37" s="530"/>
      <c r="Q37" s="544"/>
      <c r="R37" s="544"/>
      <c r="S37" s="544"/>
      <c r="T37" s="544"/>
      <c r="U37" s="544"/>
      <c r="V37" s="544"/>
      <c r="W37" s="544"/>
      <c r="X37" s="544"/>
      <c r="Y37" s="544"/>
      <c r="Z37" s="530"/>
      <c r="AA37" s="530"/>
      <c r="AB37" s="530"/>
      <c r="AC37" s="530"/>
    </row>
    <row r="38" spans="1:29" ht="15.75" customHeight="1" thickTop="1">
      <c r="A38" s="539" t="s">
        <v>370</v>
      </c>
      <c r="B38" s="569">
        <f>'Data Sheet'!B62</f>
      </c>
      <c r="C38" s="569">
        <f>'Data Sheet'!C62</f>
      </c>
      <c r="D38" s="569">
        <f>'Data Sheet'!D62</f>
      </c>
      <c r="E38" s="569">
        <f>'Data Sheet'!E62</f>
      </c>
      <c r="F38" s="569">
        <f>'Data Sheet'!F62</f>
      </c>
      <c r="G38" s="569">
        <f>'Data Sheet'!G62</f>
      </c>
      <c r="H38" s="569">
        <f>'Data Sheet'!H62</f>
      </c>
      <c r="I38" s="569">
        <f>'Data Sheet'!I62</f>
      </c>
      <c r="J38" s="569">
        <f>'Data Sheet'!J62</f>
      </c>
      <c r="K38" s="569">
        <f>'Data Sheet'!K62</f>
      </c>
      <c r="L38" s="653">
        <v>6</v>
      </c>
      <c r="M38" s="533"/>
      <c r="N38" s="530"/>
      <c r="O38" s="530"/>
      <c r="P38" s="530"/>
      <c r="Q38" s="530"/>
      <c r="R38" s="530"/>
      <c r="S38" s="530"/>
      <c r="T38" s="544"/>
      <c r="U38" s="547"/>
      <c r="V38" s="544"/>
      <c r="W38" s="544"/>
      <c r="X38" s="544"/>
      <c r="Y38" s="544"/>
      <c r="Z38" s="530"/>
      <c r="AA38" s="530"/>
      <c r="AB38" s="530"/>
      <c r="AC38" s="530"/>
    </row>
    <row r="39" spans="1:29" ht="15.75" customHeight="1" thickBot="1">
      <c r="A39" s="594" t="s">
        <v>369</v>
      </c>
      <c r="B39" s="608">
        <f>'Data Sheet'!B63</f>
      </c>
      <c r="C39" s="608">
        <f>'Data Sheet'!C63</f>
      </c>
      <c r="D39" s="608">
        <f>'Data Sheet'!D63</f>
      </c>
      <c r="E39" s="608">
        <f>'Data Sheet'!E63</f>
      </c>
      <c r="F39" s="608">
        <f>'Data Sheet'!F63</f>
      </c>
      <c r="G39" s="608">
        <f>'Data Sheet'!G63</f>
      </c>
      <c r="H39" s="608">
        <f>'Data Sheet'!H63</f>
      </c>
      <c r="I39" s="608">
        <f>'Data Sheet'!I63</f>
      </c>
      <c r="J39" s="608">
        <f>'Data Sheet'!J63</f>
      </c>
      <c r="K39" s="608">
        <f>'Data Sheet'!K63</f>
      </c>
      <c r="L39" s="654"/>
      <c r="M39" s="547"/>
      <c r="N39" s="530"/>
      <c r="O39" s="530"/>
      <c r="P39" s="530"/>
      <c r="Q39" s="530"/>
      <c r="R39" s="530"/>
      <c r="S39" s="530"/>
      <c r="T39" s="544"/>
      <c r="U39" s="547"/>
      <c r="V39" s="547"/>
      <c r="W39" s="547"/>
      <c r="X39" s="547"/>
      <c r="Y39" s="547"/>
      <c r="Z39" s="533"/>
      <c r="AA39" s="533"/>
      <c r="AB39" s="533"/>
      <c r="AC39" s="533"/>
    </row>
    <row r="40" spans="1:29" ht="15.75" customHeight="1" thickTop="1" thickBot="1">
      <c r="A40" s="533"/>
      <c r="B40" s="558"/>
      <c r="C40" s="558"/>
      <c r="D40" s="558"/>
      <c r="E40" s="558"/>
      <c r="F40" s="558"/>
      <c r="G40" s="558"/>
      <c r="H40" s="558"/>
      <c r="I40" s="558"/>
      <c r="J40" s="558"/>
      <c r="K40" s="558"/>
      <c r="L40" s="545"/>
      <c r="M40" s="547"/>
      <c r="N40" s="530"/>
      <c r="O40" s="530"/>
      <c r="P40" s="547"/>
      <c r="Q40" s="547"/>
      <c r="R40" s="547"/>
      <c r="S40" s="547"/>
      <c r="T40" s="547"/>
      <c r="U40" s="547"/>
      <c r="V40" s="547"/>
      <c r="W40" s="547"/>
      <c r="X40" s="547"/>
      <c r="Y40" s="547"/>
      <c r="Z40" s="533"/>
      <c r="AA40" s="533"/>
      <c r="AB40" s="533"/>
      <c r="AC40" s="533"/>
    </row>
    <row r="41" spans="1:29" ht="15.75" customHeight="1" thickTop="1">
      <c r="A41" s="539" t="s">
        <v>368</v>
      </c>
      <c r="B41" s="540">
        <f>'Data Sheet'!B31</f>
      </c>
      <c r="C41" s="540">
        <f>'Data Sheet'!C31</f>
      </c>
      <c r="D41" s="540">
        <f>'Data Sheet'!D31</f>
      </c>
      <c r="E41" s="540">
        <f>'Data Sheet'!E31</f>
      </c>
      <c r="F41" s="540">
        <f>'Data Sheet'!F31</f>
      </c>
      <c r="G41" s="540">
        <f>'Data Sheet'!G31</f>
      </c>
      <c r="H41" s="540">
        <f>'Data Sheet'!H31</f>
      </c>
      <c r="I41" s="540">
        <f>'Data Sheet'!I31</f>
      </c>
      <c r="J41" s="540">
        <f>'Data Sheet'!J31</f>
      </c>
      <c r="K41" s="540">
        <f>'Data Sheet'!K31</f>
      </c>
      <c r="L41" s="609"/>
      <c r="M41" s="544"/>
      <c r="N41" s="544"/>
      <c r="O41" s="547"/>
      <c r="P41" s="547"/>
      <c r="Q41" s="547"/>
      <c r="R41" s="547"/>
      <c r="S41" s="533"/>
      <c r="T41" s="533"/>
      <c r="U41" s="533"/>
      <c r="V41" s="533"/>
    </row>
    <row r="42" spans="1:29" ht="15.75" customHeight="1" thickBot="1">
      <c r="A42" s="552" t="s">
        <v>367</v>
      </c>
      <c r="B42" s="545">
        <f>'Data Sheet'!B31/'Data Sheet'!B30</f>
      </c>
      <c r="C42" s="545">
        <f>'Data Sheet'!C31/'Data Sheet'!C30</f>
      </c>
      <c r="D42" s="545">
        <f>'Data Sheet'!D31/'Data Sheet'!D30</f>
      </c>
      <c r="E42" s="545">
        <f>'Data Sheet'!E31/'Data Sheet'!E30</f>
      </c>
      <c r="F42" s="545">
        <f>'Data Sheet'!F31/'Data Sheet'!F30</f>
      </c>
      <c r="G42" s="545">
        <f>'Data Sheet'!G31/'Data Sheet'!G30</f>
      </c>
      <c r="H42" s="545">
        <f>'Data Sheet'!H31/'Data Sheet'!H30</f>
      </c>
      <c r="I42" s="545">
        <f>'Data Sheet'!I31/'Data Sheet'!I30</f>
      </c>
      <c r="J42" s="545">
        <f>'Data Sheet'!J31/'Data Sheet'!J30</f>
      </c>
      <c r="K42" s="545">
        <f>'Data Sheet'!K31/'Data Sheet'!K30</f>
      </c>
      <c r="L42" s="610"/>
      <c r="M42" s="544"/>
      <c r="N42" s="544"/>
      <c r="O42" s="544"/>
      <c r="P42" s="544"/>
      <c r="Q42" s="544"/>
      <c r="R42" s="544"/>
      <c r="S42" s="530"/>
      <c r="T42" s="530"/>
      <c r="U42" s="530"/>
      <c r="V42" s="530"/>
    </row>
    <row r="43" spans="1:29" ht="15.75" customHeight="1" thickTop="1">
      <c r="A43" s="552" t="s">
        <v>763</v>
      </c>
      <c r="B43" s="547">
        <f>'Data Sheet'!B30-'Data Sheet'!B31</f>
      </c>
      <c r="C43" s="547">
        <f>'Data Sheet'!C30-'Data Sheet'!C31</f>
      </c>
      <c r="D43" s="547">
        <f>'Data Sheet'!D30-'Data Sheet'!D31</f>
      </c>
      <c r="E43" s="547">
        <f>'Data Sheet'!E30-'Data Sheet'!E31</f>
      </c>
      <c r="F43" s="547">
        <f>'Data Sheet'!F30-'Data Sheet'!F31</f>
      </c>
      <c r="G43" s="547">
        <f>'Data Sheet'!G30-'Data Sheet'!G31</f>
      </c>
      <c r="H43" s="547">
        <f>'Data Sheet'!H30-'Data Sheet'!H31</f>
      </c>
      <c r="I43" s="547">
        <f>'Data Sheet'!I30-'Data Sheet'!I31</f>
      </c>
      <c r="J43" s="547">
        <f>'Data Sheet'!J30-'Data Sheet'!J31</f>
      </c>
      <c r="K43" s="547">
        <f>'Data Sheet'!K30-'Data Sheet'!K31</f>
      </c>
      <c r="L43" s="611">
        <f>SUM(B43:K43)</f>
      </c>
      <c r="M43" s="653">
        <v>7</v>
      </c>
      <c r="N43" s="544"/>
      <c r="O43" s="544"/>
      <c r="P43" s="544"/>
      <c r="Q43" s="544"/>
      <c r="R43" s="544"/>
      <c r="S43" s="530"/>
      <c r="T43" s="530"/>
      <c r="U43" s="530"/>
      <c r="V43" s="530"/>
    </row>
    <row r="44" spans="1:29" ht="15.75" customHeight="1" thickBot="1">
      <c r="A44" s="552" t="s">
        <v>13</v>
      </c>
      <c r="B44" s="558">
        <f t="shared" ref="B44" si="40">IF(+B45/B15&lt;=0,0,B45/B15)</f>
      </c>
      <c r="C44" s="558">
        <f t="shared" ref="C44" si="41">IF(+C45/C15&lt;=0,0,C45/C15)</f>
      </c>
      <c r="D44" s="558">
        <f t="shared" ref="D44:K44" si="42">IF(+D45/D15&lt;=0,0,D45/D15)</f>
      </c>
      <c r="E44" s="558">
        <f t="shared" si="42"/>
      </c>
      <c r="F44" s="558">
        <f t="shared" si="42"/>
      </c>
      <c r="G44" s="558">
        <f t="shared" si="42"/>
      </c>
      <c r="H44" s="558">
        <f t="shared" si="42"/>
      </c>
      <c r="I44" s="558">
        <f t="shared" si="42"/>
      </c>
      <c r="J44" s="558">
        <f t="shared" si="42"/>
      </c>
      <c r="K44" s="558">
        <f t="shared" si="42"/>
      </c>
      <c r="L44" s="612"/>
      <c r="M44" s="654"/>
      <c r="N44" s="544"/>
      <c r="O44" s="544"/>
      <c r="P44" s="544"/>
      <c r="Q44" s="544"/>
      <c r="R44" s="544"/>
      <c r="S44" s="530"/>
      <c r="T44" s="530"/>
      <c r="U44" s="530"/>
      <c r="V44" s="530"/>
    </row>
    <row r="45" spans="1:29" ht="15.75" customHeight="1" thickTop="1">
      <c r="A45" s="559" t="s">
        <v>73</v>
      </c>
      <c r="B45" s="613">
        <f>'Data Sheet'!B90*'Data Sheet'!B93</f>
      </c>
      <c r="C45" s="613">
        <f>'Data Sheet'!C90*'Data Sheet'!C93</f>
      </c>
      <c r="D45" s="613">
        <f>'Data Sheet'!D90*'Data Sheet'!D93</f>
      </c>
      <c r="E45" s="613">
        <f>'Data Sheet'!E90*'Data Sheet'!E93</f>
      </c>
      <c r="F45" s="613">
        <f>'Data Sheet'!F90*'Data Sheet'!F93</f>
      </c>
      <c r="G45" s="613">
        <f>'Data Sheet'!G90*'Data Sheet'!G93</f>
      </c>
      <c r="H45" s="613">
        <f>'Data Sheet'!H90*'Data Sheet'!H93</f>
      </c>
      <c r="I45" s="613">
        <f>'Data Sheet'!I90*'Data Sheet'!I93</f>
      </c>
      <c r="J45" s="613">
        <f>'Data Sheet'!J90*'Data Sheet'!J93</f>
      </c>
      <c r="K45" s="613">
        <f>'Data Sheet'!K90*'Data Sheet'!K93</f>
      </c>
      <c r="L45" s="614">
        <f>+'Data Sheet'!B9</f>
      </c>
      <c r="M45" s="530"/>
      <c r="N45" s="544"/>
      <c r="O45" s="544"/>
      <c r="P45" s="544"/>
      <c r="Q45" s="544"/>
      <c r="R45" s="544"/>
      <c r="S45" s="530"/>
      <c r="T45" s="530"/>
      <c r="U45" s="530"/>
      <c r="V45" s="530"/>
    </row>
    <row r="46" spans="1:29" ht="15.75" customHeight="1" thickBot="1">
      <c r="A46" s="594" t="s">
        <v>365</v>
      </c>
      <c r="B46" s="608">
        <f>'Data Sheet'!B69+'Data Sheet'!B64</f>
      </c>
      <c r="C46" s="608">
        <f>'Data Sheet'!C69+'Data Sheet'!C64</f>
      </c>
      <c r="D46" s="608">
        <f>'Data Sheet'!D69+'Data Sheet'!D64</f>
      </c>
      <c r="E46" s="608">
        <f>'Data Sheet'!E69+'Data Sheet'!E64</f>
      </c>
      <c r="F46" s="608">
        <f>'Data Sheet'!F69+'Data Sheet'!F64</f>
      </c>
      <c r="G46" s="608">
        <f>'Data Sheet'!G69+'Data Sheet'!G64</f>
      </c>
      <c r="H46" s="608">
        <f>'Data Sheet'!H69+'Data Sheet'!H64</f>
      </c>
      <c r="I46" s="608">
        <f>'Data Sheet'!I69+'Data Sheet'!I64</f>
      </c>
      <c r="J46" s="608">
        <f>'Data Sheet'!J69+'Data Sheet'!J64</f>
      </c>
      <c r="K46" s="608">
        <f>'Data Sheet'!K69+'Data Sheet'!K64</f>
      </c>
      <c r="L46" s="615">
        <f>+K46</f>
      </c>
      <c r="M46" s="530"/>
      <c r="N46" s="547"/>
      <c r="O46" s="544"/>
      <c r="P46" s="544"/>
      <c r="Q46" s="544"/>
      <c r="R46" s="544"/>
      <c r="S46" s="530"/>
      <c r="T46" s="530"/>
      <c r="U46" s="530"/>
      <c r="V46" s="530"/>
    </row>
    <row r="47" spans="1:29" ht="15.75" customHeight="1" thickTop="1">
      <c r="A47" s="530"/>
      <c r="B47" s="530"/>
      <c r="C47" s="530"/>
      <c r="D47" s="530"/>
      <c r="E47" s="530"/>
      <c r="F47" s="530"/>
      <c r="G47" s="530"/>
      <c r="H47" s="530"/>
      <c r="I47" s="530"/>
      <c r="J47" s="530"/>
      <c r="K47" s="530"/>
      <c r="L47" s="530"/>
      <c r="M47" s="530"/>
      <c r="N47" s="544"/>
      <c r="O47" s="544"/>
      <c r="P47" s="547"/>
      <c r="Q47" s="547"/>
      <c r="R47" s="547"/>
      <c r="S47" s="547"/>
      <c r="T47" s="533"/>
      <c r="U47" s="533"/>
      <c r="V47" s="533"/>
      <c r="W47" s="533"/>
    </row>
    <row r="48" spans="1:29" ht="15.75" customHeight="1" thickBot="1">
      <c r="A48" s="533"/>
      <c r="B48" s="533"/>
      <c r="C48" s="533"/>
      <c r="D48" s="533"/>
      <c r="E48" s="533"/>
      <c r="F48" s="533"/>
      <c r="G48" s="533"/>
      <c r="H48" s="533"/>
      <c r="I48" s="533"/>
      <c r="J48" s="533"/>
      <c r="K48" s="533"/>
      <c r="L48" s="533"/>
      <c r="M48" s="530"/>
      <c r="N48" s="547"/>
      <c r="O48" s="544"/>
      <c r="P48" s="544"/>
      <c r="Q48" s="544"/>
      <c r="R48" s="544"/>
      <c r="S48" s="544"/>
      <c r="T48" s="530"/>
      <c r="U48" s="530"/>
      <c r="V48" s="530"/>
      <c r="W48" s="530"/>
    </row>
    <row r="49" spans="1:29" ht="15.75" customHeight="1">
      <c r="A49" s="534" t="s">
        <v>764</v>
      </c>
      <c r="B49" s="616">
        <f t="shared" ref="B49:C49" si="43">+B2</f>
      </c>
      <c r="C49" s="616">
        <f t="shared" si="43"/>
      </c>
      <c r="D49" s="616">
        <f t="shared" ref="D49:K49" si="44">+D2</f>
      </c>
      <c r="E49" s="616">
        <f t="shared" si="44"/>
      </c>
      <c r="F49" s="616">
        <f t="shared" si="44"/>
      </c>
      <c r="G49" s="616">
        <f t="shared" si="44"/>
      </c>
      <c r="H49" s="616">
        <f t="shared" si="44"/>
      </c>
      <c r="I49" s="616">
        <f t="shared" si="44"/>
      </c>
      <c r="J49" s="616">
        <f t="shared" si="44"/>
      </c>
      <c r="K49" s="616">
        <f t="shared" si="44"/>
      </c>
      <c r="L49" s="616"/>
      <c r="M49" s="617" t="str">
        <f>+M2</f>
      </c>
      <c r="N49" s="544"/>
      <c r="O49" s="544"/>
      <c r="P49" s="544"/>
      <c r="Q49" s="544"/>
      <c r="R49" s="544"/>
      <c r="S49" s="544"/>
      <c r="T49" s="530"/>
      <c r="U49" s="530"/>
      <c r="V49" s="530"/>
      <c r="W49" s="530"/>
    </row>
    <row r="50" spans="1:29" ht="15.75" customHeight="1" thickBot="1">
      <c r="A50" s="618" t="s">
        <v>92</v>
      </c>
      <c r="B50" s="613">
        <f>'Data Sheet'!B82</f>
      </c>
      <c r="C50" s="613">
        <f>'Data Sheet'!C82</f>
      </c>
      <c r="D50" s="613">
        <f>'Data Sheet'!D82</f>
      </c>
      <c r="E50" s="613">
        <f>'Data Sheet'!E82</f>
      </c>
      <c r="F50" s="613">
        <f>'Data Sheet'!F82</f>
      </c>
      <c r="G50" s="613">
        <f>'Data Sheet'!G82</f>
      </c>
      <c r="H50" s="613">
        <f>'Data Sheet'!H82</f>
      </c>
      <c r="I50" s="613">
        <f>'Data Sheet'!I82</f>
      </c>
      <c r="J50" s="613">
        <f>'Data Sheet'!J82</f>
      </c>
      <c r="K50" s="613">
        <f>'Data Sheet'!K82</f>
      </c>
      <c r="L50" s="558"/>
      <c r="M50" s="619">
        <f t="shared" ref="M50:M53" si="45">SUM(B50:K50)</f>
      </c>
      <c r="N50" s="544"/>
      <c r="O50" s="544"/>
      <c r="P50" s="544"/>
      <c r="Q50" s="544"/>
      <c r="R50" s="544"/>
      <c r="S50" s="544"/>
      <c r="T50" s="530"/>
      <c r="U50" s="530"/>
      <c r="V50" s="530"/>
      <c r="W50" s="530"/>
    </row>
    <row r="51" spans="1:29" ht="15" customHeight="1" thickTop="1">
      <c r="A51" s="605" t="s">
        <v>359</v>
      </c>
      <c r="B51" s="547">
        <f>'Data Sheet'!B83</f>
      </c>
      <c r="C51" s="547">
        <f>'Data Sheet'!C83</f>
      </c>
      <c r="D51" s="547">
        <f>'Data Sheet'!D83</f>
      </c>
      <c r="E51" s="547">
        <f>'Data Sheet'!E83</f>
      </c>
      <c r="F51" s="547">
        <f>'Data Sheet'!F83</f>
      </c>
      <c r="G51" s="547">
        <f>'Data Sheet'!G83</f>
      </c>
      <c r="H51" s="547">
        <f>'Data Sheet'!H83</f>
      </c>
      <c r="I51" s="547">
        <f>'Data Sheet'!I83</f>
      </c>
      <c r="J51" s="547">
        <f>'Data Sheet'!J83</f>
      </c>
      <c r="K51" s="547">
        <f>'Data Sheet'!K83</f>
      </c>
      <c r="L51" s="547"/>
      <c r="M51" s="544">
        <f t="shared" si="45"/>
      </c>
      <c r="N51" s="655">
        <v>8</v>
      </c>
      <c r="O51" s="533"/>
      <c r="P51" s="533"/>
      <c r="Q51" s="533"/>
      <c r="R51" s="533"/>
    </row>
    <row r="52" spans="1:29" ht="15.75" customHeight="1" thickBot="1">
      <c r="A52" s="605" t="s">
        <v>358</v>
      </c>
      <c r="B52" s="547">
        <f>'Data Sheet'!B84</f>
      </c>
      <c r="C52" s="547">
        <f>'Data Sheet'!C84</f>
      </c>
      <c r="D52" s="547">
        <f>'Data Sheet'!D84</f>
      </c>
      <c r="E52" s="547">
        <f>'Data Sheet'!E84</f>
      </c>
      <c r="F52" s="547">
        <f>'Data Sheet'!F84</f>
      </c>
      <c r="G52" s="547">
        <f>'Data Sheet'!G84</f>
      </c>
      <c r="H52" s="547">
        <f>'Data Sheet'!H84</f>
      </c>
      <c r="I52" s="547">
        <f>'Data Sheet'!I84</f>
      </c>
      <c r="J52" s="547">
        <f>'Data Sheet'!J84</f>
      </c>
      <c r="K52" s="547">
        <f>'Data Sheet'!K84</f>
      </c>
      <c r="L52" s="547"/>
      <c r="M52" s="544">
        <f t="shared" si="45"/>
      </c>
      <c r="N52" s="654"/>
      <c r="O52" s="533"/>
      <c r="P52" s="578"/>
      <c r="Q52" s="584"/>
      <c r="R52" s="533"/>
      <c r="S52" s="533"/>
      <c r="T52" s="533"/>
      <c r="U52" s="533"/>
      <c r="V52" s="533"/>
      <c r="W52" s="533"/>
      <c r="X52" s="533"/>
      <c r="Y52" s="533"/>
      <c r="Z52" s="533"/>
      <c r="AA52" s="533"/>
      <c r="AB52" s="533"/>
      <c r="AC52" s="533"/>
    </row>
    <row r="53" spans="1:29" ht="15.75" customHeight="1" thickTop="1">
      <c r="A53" s="618" t="s">
        <v>357</v>
      </c>
      <c r="B53" s="547">
        <f>'Data Sheet'!B85</f>
      </c>
      <c r="C53" s="547">
        <f>'Data Sheet'!C85</f>
      </c>
      <c r="D53" s="547">
        <f>'Data Sheet'!D85</f>
      </c>
      <c r="E53" s="547">
        <f>'Data Sheet'!E85</f>
      </c>
      <c r="F53" s="547">
        <f>'Data Sheet'!F85</f>
      </c>
      <c r="G53" s="547">
        <f>'Data Sheet'!G85</f>
      </c>
      <c r="H53" s="547">
        <f>'Data Sheet'!H85</f>
      </c>
      <c r="I53" s="547">
        <f>'Data Sheet'!I85</f>
      </c>
      <c r="J53" s="547">
        <f>'Data Sheet'!J85</f>
      </c>
      <c r="K53" s="547">
        <f>'Data Sheet'!K85</f>
      </c>
      <c r="L53" s="547"/>
      <c r="M53" s="620">
        <f t="shared" si="45"/>
      </c>
      <c r="N53" s="544"/>
      <c r="O53" s="578"/>
      <c r="P53" s="533"/>
      <c r="Q53" s="621"/>
      <c r="R53" s="533"/>
      <c r="S53" s="533"/>
      <c r="T53" s="533"/>
      <c r="U53" s="533"/>
      <c r="V53" s="533"/>
      <c r="W53" s="533"/>
      <c r="X53" s="533"/>
      <c r="Y53" s="533"/>
      <c r="Z53" s="533"/>
      <c r="AA53" s="533"/>
      <c r="AB53" s="533"/>
      <c r="AC53" s="533"/>
    </row>
    <row r="54" spans="1:29" ht="15.75" customHeight="1" thickBot="1">
      <c r="A54" s="606" t="s">
        <v>765</v>
      </c>
      <c r="B54" s="622">
        <f>'Data Sheet'!B69</f>
      </c>
      <c r="C54" s="622">
        <f>'Data Sheet'!C69</f>
      </c>
      <c r="D54" s="622">
        <f>'Data Sheet'!D69</f>
      </c>
      <c r="E54" s="622">
        <f>'Data Sheet'!E69</f>
      </c>
      <c r="F54" s="622">
        <f>'Data Sheet'!F69</f>
      </c>
      <c r="G54" s="622">
        <f>'Data Sheet'!G69</f>
      </c>
      <c r="H54" s="622">
        <f>'Data Sheet'!H69</f>
      </c>
      <c r="I54" s="622">
        <f>'Data Sheet'!I69</f>
      </c>
      <c r="J54" s="622">
        <f>'Data Sheet'!J69</f>
      </c>
      <c r="K54" s="622">
        <f>'Data Sheet'!K69</f>
      </c>
      <c r="L54" s="622"/>
      <c r="M54" s="623"/>
      <c r="N54" s="544"/>
      <c r="O54" s="530"/>
      <c r="P54" s="533"/>
      <c r="Q54" s="533"/>
      <c r="R54" s="533"/>
      <c r="S54" s="533"/>
      <c r="T54" s="533"/>
      <c r="U54" s="533"/>
      <c r="V54" s="533"/>
      <c r="W54" s="533"/>
      <c r="X54" s="533"/>
      <c r="Y54" s="533"/>
      <c r="Z54" s="533"/>
      <c r="AA54" s="533"/>
      <c r="AB54" s="533"/>
      <c r="AC54" s="533"/>
    </row>
    <row r="55" spans="1:29" ht="15.75" customHeight="1">
      <c r="A55" s="533"/>
      <c r="B55" s="533"/>
      <c r="C55" s="533"/>
      <c r="D55" s="533"/>
      <c r="E55" s="533"/>
      <c r="F55" s="533"/>
      <c r="G55" s="533"/>
      <c r="H55" s="533"/>
      <c r="I55" s="533"/>
      <c r="J55" s="533"/>
      <c r="K55" s="533"/>
      <c r="L55" s="533"/>
      <c r="M55" s="533"/>
      <c r="N55" s="533"/>
      <c r="O55" s="533"/>
      <c r="P55" s="533"/>
      <c r="Q55" s="533"/>
      <c r="R55" s="533"/>
      <c r="S55" s="533"/>
      <c r="T55" s="533"/>
      <c r="U55" s="533"/>
      <c r="V55" s="533"/>
      <c r="W55" s="533"/>
      <c r="X55" s="533"/>
      <c r="Y55" s="533"/>
      <c r="Z55" s="533"/>
      <c r="AA55" s="533"/>
      <c r="AB55" s="533"/>
      <c r="AC55" s="533"/>
    </row>
    <row r="56" spans="1:29" ht="15.75" customHeight="1">
      <c r="A56" s="533"/>
      <c r="B56" s="533"/>
      <c r="C56" s="533"/>
      <c r="D56" s="533"/>
      <c r="E56" s="533"/>
      <c r="F56" s="533"/>
      <c r="G56" s="533"/>
      <c r="H56" s="533"/>
      <c r="I56" s="533"/>
      <c r="J56" s="533"/>
      <c r="K56" s="533"/>
      <c r="L56" s="533"/>
      <c r="M56" s="533"/>
      <c r="N56" s="533"/>
      <c r="O56" s="533"/>
      <c r="P56" s="533"/>
      <c r="Q56" s="533"/>
      <c r="R56" s="533"/>
      <c r="S56" s="533"/>
      <c r="T56" s="533"/>
      <c r="U56" s="533"/>
      <c r="V56" s="533"/>
      <c r="W56" s="533"/>
      <c r="X56" s="533"/>
      <c r="Y56" s="533"/>
      <c r="Z56" s="533"/>
      <c r="AA56" s="533"/>
      <c r="AB56" s="533"/>
      <c r="AC56" s="533"/>
    </row>
    <row r="57" spans="1:29" ht="15.75" customHeight="1">
      <c r="A57" s="533"/>
      <c r="B57" s="533"/>
      <c r="C57" s="533"/>
      <c r="D57" s="533"/>
      <c r="E57" s="533"/>
      <c r="F57" s="533"/>
      <c r="G57" s="533"/>
      <c r="H57" s="533"/>
      <c r="I57" s="533"/>
      <c r="J57" s="533"/>
      <c r="K57" s="533"/>
      <c r="L57" s="530" t="s">
        <v>766</v>
      </c>
      <c r="M57" s="533"/>
      <c r="N57" s="533"/>
      <c r="O57" s="533"/>
      <c r="P57" s="533"/>
      <c r="Q57" s="533"/>
      <c r="R57" s="533"/>
      <c r="S57" s="533"/>
      <c r="T57" s="533"/>
      <c r="U57" s="533"/>
      <c r="V57" s="533"/>
      <c r="W57" s="533"/>
      <c r="X57" s="533"/>
      <c r="Y57" s="533"/>
      <c r="Z57" s="533"/>
      <c r="AA57" s="533"/>
      <c r="AB57" s="533"/>
      <c r="AC57" s="533"/>
    </row>
    <row r="58" spans="1:29" ht="15.75" customHeight="1">
      <c r="A58" s="533"/>
      <c r="B58" s="533"/>
      <c r="C58" s="533"/>
      <c r="D58" s="533"/>
      <c r="E58" s="533"/>
      <c r="F58" s="533"/>
      <c r="G58" s="533"/>
      <c r="H58" s="533"/>
      <c r="I58" s="533"/>
      <c r="J58" s="533"/>
      <c r="K58" s="533"/>
      <c r="L58" s="533"/>
      <c r="M58" s="533"/>
      <c r="N58" s="533"/>
      <c r="O58" s="533"/>
      <c r="P58" s="533"/>
      <c r="Q58" s="533"/>
      <c r="R58" s="533"/>
      <c r="S58" s="533"/>
      <c r="T58" s="533"/>
      <c r="U58" s="533"/>
      <c r="V58" s="533"/>
      <c r="W58" s="533"/>
      <c r="X58" s="533"/>
      <c r="Y58" s="533"/>
      <c r="Z58" s="533"/>
      <c r="AA58" s="533"/>
      <c r="AB58" s="533"/>
      <c r="AC58" s="533"/>
    </row>
    <row r="59" spans="1:29" ht="15.75" customHeight="1">
      <c r="A59" s="533"/>
      <c r="B59" s="533"/>
      <c r="C59" s="533"/>
      <c r="D59" s="533"/>
      <c r="E59" s="533"/>
      <c r="F59" s="533"/>
      <c r="G59" s="533"/>
      <c r="H59" s="533"/>
      <c r="I59" s="533"/>
      <c r="J59" s="533"/>
      <c r="K59" s="533"/>
      <c r="L59" s="533"/>
      <c r="M59" s="533"/>
      <c r="N59" s="533"/>
      <c r="O59" s="533"/>
      <c r="P59" s="533"/>
      <c r="Q59" s="533"/>
      <c r="R59" s="533"/>
      <c r="S59" s="533"/>
      <c r="T59" s="533"/>
      <c r="U59" s="533"/>
      <c r="V59" s="533"/>
      <c r="W59" s="533"/>
      <c r="X59" s="533"/>
      <c r="Y59" s="533"/>
      <c r="Z59" s="533"/>
      <c r="AA59" s="533"/>
      <c r="AB59" s="533"/>
      <c r="AC59" s="533"/>
    </row>
    <row r="60" spans="1:29" ht="15.75" customHeight="1">
      <c r="A60" s="533"/>
      <c r="B60" s="533"/>
      <c r="C60" s="533"/>
      <c r="D60" s="533"/>
      <c r="E60" s="533"/>
      <c r="F60" s="533"/>
      <c r="G60" s="533"/>
      <c r="H60" s="533"/>
      <c r="I60" s="533"/>
      <c r="J60" s="533"/>
      <c r="K60" s="533"/>
      <c r="L60" s="533"/>
      <c r="M60" s="533"/>
      <c r="N60" s="533"/>
      <c r="O60" s="533"/>
      <c r="P60" s="533"/>
      <c r="Q60" s="533"/>
      <c r="R60" s="533"/>
      <c r="S60" s="533"/>
      <c r="T60" s="533"/>
      <c r="U60" s="533"/>
      <c r="V60" s="533"/>
      <c r="W60" s="533"/>
      <c r="X60" s="533"/>
      <c r="Y60" s="533"/>
      <c r="Z60" s="533"/>
      <c r="AA60" s="533"/>
      <c r="AB60" s="533"/>
      <c r="AC60" s="533"/>
    </row>
    <row r="61" spans="1:29" ht="15.75" customHeight="1">
      <c r="A61" s="533"/>
      <c r="B61" s="533"/>
      <c r="C61" s="533"/>
      <c r="D61" s="533"/>
      <c r="E61" s="533"/>
      <c r="F61" s="533"/>
      <c r="G61" s="533"/>
      <c r="H61" s="533"/>
      <c r="I61" s="533"/>
      <c r="J61" s="533"/>
      <c r="K61" s="533"/>
      <c r="L61" s="533"/>
      <c r="M61" s="533"/>
      <c r="N61" s="533"/>
      <c r="O61" s="533"/>
      <c r="P61" s="533"/>
      <c r="Q61" s="533"/>
      <c r="R61" s="533"/>
      <c r="S61" s="533"/>
      <c r="T61" s="533"/>
      <c r="U61" s="533"/>
      <c r="V61" s="533"/>
      <c r="W61" s="533"/>
      <c r="X61" s="533"/>
      <c r="Y61" s="533"/>
      <c r="Z61" s="533"/>
      <c r="AA61" s="533"/>
      <c r="AB61" s="533"/>
      <c r="AC61" s="533"/>
    </row>
    <row r="62" spans="1:29" ht="15.75" customHeight="1">
      <c r="A62" s="533"/>
      <c r="B62" s="533"/>
      <c r="C62" s="533"/>
      <c r="D62" s="533"/>
      <c r="E62" s="533"/>
      <c r="F62" s="533"/>
      <c r="G62" s="533"/>
      <c r="H62" s="533"/>
      <c r="I62" s="533"/>
      <c r="J62" s="533"/>
      <c r="K62" s="533"/>
      <c r="L62" s="533"/>
      <c r="M62" s="533"/>
      <c r="N62" s="533"/>
      <c r="O62" s="533"/>
      <c r="P62" s="533"/>
      <c r="Q62" s="533"/>
      <c r="R62" s="533"/>
      <c r="S62" s="533"/>
      <c r="T62" s="533"/>
      <c r="U62" s="533"/>
      <c r="V62" s="533"/>
      <c r="W62" s="533"/>
      <c r="X62" s="533"/>
      <c r="Y62" s="533"/>
      <c r="Z62" s="533"/>
      <c r="AA62" s="533"/>
      <c r="AB62" s="533"/>
      <c r="AC62" s="533"/>
    </row>
    <row r="63" spans="1:29" ht="15.75" customHeight="1">
      <c r="A63" s="533"/>
      <c r="B63" s="533"/>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3"/>
      <c r="AC63" s="533"/>
    </row>
    <row r="64" spans="1:29" ht="15.75" customHeight="1">
      <c r="A64" s="533"/>
      <c r="B64" s="533"/>
      <c r="C64" s="533"/>
      <c r="D64" s="533"/>
      <c r="E64" s="533"/>
      <c r="F64" s="533"/>
      <c r="G64" s="533"/>
      <c r="H64" s="533"/>
      <c r="I64" s="533"/>
      <c r="J64" s="533"/>
      <c r="K64" s="533"/>
      <c r="L64" s="533"/>
      <c r="M64" s="533"/>
      <c r="N64" s="533"/>
      <c r="O64" s="533"/>
      <c r="P64" s="533"/>
      <c r="Q64" s="533"/>
      <c r="R64" s="533"/>
      <c r="S64" s="533"/>
      <c r="T64" s="533"/>
      <c r="U64" s="533"/>
      <c r="V64" s="533"/>
      <c r="W64" s="533"/>
      <c r="X64" s="533"/>
      <c r="Y64" s="533"/>
      <c r="Z64" s="533"/>
      <c r="AA64" s="533"/>
      <c r="AB64" s="533"/>
      <c r="AC64" s="533"/>
    </row>
    <row r="65" spans="1:29" ht="15.75" customHeight="1">
      <c r="A65" s="533"/>
      <c r="B65" s="533"/>
      <c r="C65" s="533"/>
      <c r="D65" s="533"/>
      <c r="E65" s="533"/>
      <c r="F65" s="533"/>
      <c r="G65" s="533"/>
      <c r="H65" s="533"/>
      <c r="I65" s="533"/>
      <c r="J65" s="533"/>
      <c r="K65" s="533"/>
      <c r="L65" s="533"/>
      <c r="M65" s="533"/>
      <c r="N65" s="533"/>
      <c r="O65" s="533"/>
      <c r="P65" s="533"/>
      <c r="Q65" s="533"/>
      <c r="R65" s="533"/>
      <c r="S65" s="533"/>
      <c r="T65" s="533"/>
      <c r="U65" s="533"/>
      <c r="V65" s="533"/>
      <c r="W65" s="533"/>
      <c r="X65" s="533"/>
      <c r="Y65" s="533"/>
      <c r="Z65" s="533"/>
      <c r="AA65" s="533"/>
      <c r="AB65" s="533"/>
      <c r="AC65" s="533"/>
    </row>
    <row r="66" spans="1:29" ht="15.75" customHeight="1">
      <c r="A66" s="533"/>
      <c r="B66" s="533"/>
      <c r="C66" s="533"/>
      <c r="D66" s="533"/>
      <c r="E66" s="533"/>
      <c r="F66" s="533"/>
      <c r="G66" s="533"/>
      <c r="H66" s="533"/>
      <c r="I66" s="533"/>
      <c r="J66" s="533"/>
      <c r="K66" s="533"/>
      <c r="L66" s="533"/>
      <c r="M66" s="533"/>
      <c r="N66" s="533"/>
      <c r="O66" s="533"/>
      <c r="P66" s="533"/>
      <c r="Q66" s="533"/>
      <c r="R66" s="533"/>
      <c r="S66" s="533"/>
      <c r="T66" s="533"/>
      <c r="U66" s="533"/>
      <c r="V66" s="533"/>
      <c r="W66" s="533"/>
      <c r="X66" s="533"/>
      <c r="Y66" s="533"/>
      <c r="Z66" s="533"/>
      <c r="AA66" s="533"/>
      <c r="AB66" s="533"/>
      <c r="AC66" s="533"/>
    </row>
    <row r="67" spans="1:29" ht="15.75" customHeight="1">
      <c r="A67" s="533"/>
      <c r="B67" s="533"/>
      <c r="C67" s="533"/>
      <c r="D67" s="533"/>
      <c r="E67" s="533"/>
      <c r="F67" s="533"/>
      <c r="G67" s="533"/>
      <c r="H67" s="533"/>
      <c r="I67" s="533"/>
      <c r="J67" s="533"/>
      <c r="K67" s="533"/>
      <c r="L67" s="533"/>
      <c r="M67" s="533"/>
      <c r="N67" s="533"/>
      <c r="O67" s="533"/>
      <c r="P67" s="533"/>
      <c r="Q67" s="533"/>
      <c r="R67" s="533"/>
      <c r="S67" s="533"/>
      <c r="T67" s="533"/>
      <c r="U67" s="533"/>
      <c r="V67" s="533"/>
      <c r="W67" s="533"/>
      <c r="X67" s="533"/>
      <c r="Y67" s="533"/>
      <c r="Z67" s="533"/>
      <c r="AA67" s="533"/>
      <c r="AB67" s="533"/>
      <c r="AC67" s="533"/>
    </row>
    <row r="68" spans="1:29" ht="15.75" customHeight="1">
      <c r="A68" s="533"/>
      <c r="B68" s="533"/>
      <c r="C68" s="533"/>
      <c r="D68" s="533"/>
      <c r="E68" s="533"/>
      <c r="F68" s="533"/>
      <c r="G68" s="533"/>
      <c r="H68" s="533"/>
      <c r="I68" s="533"/>
      <c r="J68" s="533"/>
      <c r="K68" s="533"/>
      <c r="L68" s="533"/>
      <c r="M68" s="533"/>
      <c r="N68" s="533"/>
      <c r="O68" s="533"/>
      <c r="P68" s="533"/>
      <c r="Q68" s="533"/>
      <c r="R68" s="533"/>
      <c r="S68" s="533"/>
      <c r="T68" s="533"/>
      <c r="U68" s="533"/>
      <c r="V68" s="533"/>
      <c r="W68" s="533"/>
      <c r="X68" s="533"/>
      <c r="Y68" s="533"/>
      <c r="Z68" s="533"/>
      <c r="AA68" s="533"/>
      <c r="AB68" s="533"/>
      <c r="AC68" s="533"/>
    </row>
    <row r="69" spans="1:29" ht="15.75" customHeight="1">
      <c r="A69" s="533"/>
      <c r="B69" s="533"/>
      <c r="C69" s="533"/>
      <c r="D69" s="533"/>
      <c r="E69" s="533"/>
      <c r="F69" s="533"/>
      <c r="G69" s="533"/>
      <c r="H69" s="533"/>
      <c r="I69" s="533"/>
      <c r="J69" s="533"/>
      <c r="K69" s="533"/>
      <c r="L69" s="533"/>
      <c r="M69" s="533"/>
      <c r="N69" s="533"/>
      <c r="O69" s="533"/>
      <c r="P69" s="533"/>
      <c r="Q69" s="533"/>
      <c r="R69" s="533"/>
      <c r="S69" s="533"/>
      <c r="T69" s="533"/>
      <c r="U69" s="533"/>
      <c r="V69" s="533"/>
      <c r="W69" s="533"/>
      <c r="X69" s="533"/>
      <c r="Y69" s="533"/>
      <c r="Z69" s="533"/>
      <c r="AA69" s="533"/>
      <c r="AB69" s="533"/>
      <c r="AC69" s="533"/>
    </row>
    <row r="70" spans="1:29" ht="15.75" customHeight="1">
      <c r="A70" s="533"/>
      <c r="B70" s="533"/>
      <c r="C70" s="533"/>
      <c r="D70" s="533"/>
      <c r="E70" s="533"/>
      <c r="F70" s="533"/>
      <c r="G70" s="533"/>
      <c r="H70" s="533"/>
      <c r="I70" s="533"/>
      <c r="J70" s="533"/>
      <c r="K70" s="533"/>
      <c r="L70" s="533"/>
      <c r="M70" s="533"/>
      <c r="N70" s="533"/>
      <c r="O70" s="533"/>
      <c r="P70" s="533"/>
      <c r="Q70" s="533"/>
      <c r="R70" s="533"/>
      <c r="S70" s="533"/>
      <c r="T70" s="533"/>
      <c r="U70" s="533"/>
      <c r="V70" s="533"/>
      <c r="W70" s="533"/>
      <c r="X70" s="533"/>
      <c r="Y70" s="533"/>
      <c r="Z70" s="533"/>
      <c r="AA70" s="533"/>
      <c r="AB70" s="533"/>
      <c r="AC70" s="533"/>
    </row>
    <row r="71" spans="1:29" ht="15.75" customHeight="1">
      <c r="A71" s="533"/>
      <c r="B71" s="533"/>
      <c r="C71" s="533"/>
      <c r="D71" s="533"/>
      <c r="E71" s="533"/>
      <c r="F71" s="533"/>
      <c r="G71" s="533"/>
      <c r="H71" s="533"/>
      <c r="I71" s="533"/>
      <c r="J71" s="533"/>
      <c r="K71" s="533"/>
      <c r="L71" s="533"/>
      <c r="M71" s="533"/>
      <c r="N71" s="533"/>
      <c r="O71" s="533"/>
      <c r="P71" s="533"/>
      <c r="Q71" s="533"/>
      <c r="R71" s="533"/>
      <c r="S71" s="533"/>
      <c r="T71" s="533"/>
      <c r="U71" s="533"/>
      <c r="V71" s="533"/>
      <c r="W71" s="533"/>
      <c r="X71" s="533"/>
      <c r="Y71" s="533"/>
      <c r="Z71" s="533"/>
      <c r="AA71" s="533"/>
      <c r="AB71" s="533"/>
      <c r="AC71" s="533"/>
    </row>
    <row r="72" spans="1:29" ht="15.75" customHeight="1">
      <c r="A72" s="533"/>
      <c r="B72" s="533"/>
      <c r="C72" s="533"/>
      <c r="D72" s="533"/>
      <c r="E72" s="533"/>
      <c r="F72" s="533"/>
      <c r="G72" s="533"/>
      <c r="H72" s="533"/>
      <c r="I72" s="533"/>
      <c r="J72" s="533"/>
      <c r="K72" s="533"/>
      <c r="L72" s="533"/>
      <c r="M72" s="533"/>
      <c r="N72" s="533"/>
      <c r="O72" s="533"/>
      <c r="P72" s="533"/>
      <c r="Q72" s="533"/>
      <c r="R72" s="533"/>
      <c r="S72" s="533"/>
      <c r="T72" s="533"/>
      <c r="U72" s="533"/>
      <c r="V72" s="533"/>
      <c r="W72" s="533"/>
      <c r="X72" s="533"/>
      <c r="Y72" s="533"/>
      <c r="Z72" s="533"/>
      <c r="AA72" s="533"/>
      <c r="AB72" s="533"/>
      <c r="AC72" s="533"/>
    </row>
    <row r="73" spans="1:29" ht="15.75" customHeight="1">
      <c r="A73" s="533"/>
      <c r="B73" s="533"/>
      <c r="C73" s="533"/>
      <c r="D73" s="533"/>
      <c r="E73" s="533"/>
      <c r="F73" s="533"/>
      <c r="G73" s="533"/>
      <c r="H73" s="533"/>
      <c r="I73" s="533"/>
      <c r="J73" s="533"/>
      <c r="K73" s="533"/>
      <c r="L73" s="533"/>
      <c r="M73" s="533"/>
      <c r="N73" s="533"/>
      <c r="O73" s="533"/>
      <c r="P73" s="533"/>
      <c r="Q73" s="533"/>
      <c r="R73" s="533"/>
      <c r="S73" s="533"/>
      <c r="T73" s="533"/>
      <c r="U73" s="533"/>
      <c r="V73" s="533"/>
      <c r="W73" s="533"/>
      <c r="X73" s="533"/>
      <c r="Y73" s="533"/>
      <c r="Z73" s="533"/>
      <c r="AA73" s="533"/>
      <c r="AB73" s="533"/>
      <c r="AC73" s="533"/>
    </row>
    <row r="74" spans="1:29" ht="15.75" customHeight="1">
      <c r="A74" s="533"/>
      <c r="B74" s="533"/>
      <c r="C74" s="533"/>
      <c r="D74" s="533"/>
      <c r="E74" s="533"/>
      <c r="F74" s="533"/>
      <c r="G74" s="533"/>
      <c r="H74" s="533"/>
      <c r="I74" s="533"/>
      <c r="J74" s="533"/>
      <c r="K74" s="533"/>
      <c r="L74" s="533"/>
      <c r="M74" s="533"/>
      <c r="N74" s="533"/>
      <c r="O74" s="533"/>
      <c r="P74" s="533"/>
      <c r="Q74" s="533"/>
      <c r="R74" s="533"/>
      <c r="S74" s="533"/>
      <c r="T74" s="533"/>
      <c r="U74" s="533"/>
      <c r="V74" s="533"/>
      <c r="W74" s="533"/>
      <c r="X74" s="533"/>
      <c r="Y74" s="533"/>
      <c r="Z74" s="533"/>
      <c r="AA74" s="533"/>
      <c r="AB74" s="533"/>
      <c r="AC74" s="533"/>
    </row>
    <row r="75" spans="1:29" ht="15.75" customHeight="1">
      <c r="A75" s="533"/>
      <c r="B75" s="533"/>
      <c r="C75" s="533"/>
      <c r="D75" s="533"/>
      <c r="E75" s="533"/>
      <c r="F75" s="533"/>
      <c r="G75" s="533"/>
      <c r="H75" s="533"/>
      <c r="I75" s="533"/>
      <c r="J75" s="533"/>
      <c r="K75" s="533"/>
      <c r="L75" s="533"/>
      <c r="M75" s="533"/>
      <c r="N75" s="533"/>
      <c r="O75" s="533"/>
      <c r="P75" s="533"/>
      <c r="Q75" s="533"/>
      <c r="R75" s="533"/>
      <c r="S75" s="533"/>
      <c r="T75" s="533"/>
      <c r="U75" s="533"/>
      <c r="V75" s="533"/>
      <c r="W75" s="533"/>
      <c r="X75" s="533"/>
      <c r="Y75" s="533"/>
      <c r="Z75" s="533"/>
      <c r="AA75" s="533"/>
      <c r="AB75" s="533"/>
      <c r="AC75" s="533"/>
    </row>
    <row r="76" spans="1:29" ht="15.75" customHeight="1">
      <c r="A76" s="533"/>
      <c r="B76" s="533"/>
      <c r="C76" s="533"/>
      <c r="D76" s="533"/>
      <c r="E76" s="533"/>
      <c r="F76" s="533"/>
      <c r="G76" s="533"/>
      <c r="H76" s="533"/>
      <c r="I76" s="533"/>
      <c r="J76" s="533"/>
      <c r="K76" s="533"/>
      <c r="L76" s="533"/>
      <c r="M76" s="533"/>
      <c r="N76" s="533"/>
      <c r="O76" s="533"/>
      <c r="P76" s="533"/>
      <c r="Q76" s="533"/>
      <c r="R76" s="533"/>
      <c r="S76" s="533"/>
      <c r="T76" s="533"/>
      <c r="U76" s="533"/>
      <c r="V76" s="533"/>
      <c r="W76" s="533"/>
      <c r="X76" s="533"/>
      <c r="Y76" s="533"/>
      <c r="Z76" s="533"/>
      <c r="AA76" s="533"/>
      <c r="AB76" s="533"/>
      <c r="AC76" s="533"/>
    </row>
    <row r="77" spans="1:29" ht="15.75" customHeight="1">
      <c r="A77" s="533"/>
      <c r="B77" s="533"/>
      <c r="C77" s="533"/>
      <c r="D77" s="533"/>
      <c r="E77" s="533"/>
      <c r="F77" s="533"/>
      <c r="G77" s="533"/>
      <c r="H77" s="533"/>
      <c r="I77" s="533"/>
      <c r="J77" s="533"/>
      <c r="K77" s="533"/>
      <c r="L77" s="533"/>
      <c r="M77" s="533"/>
      <c r="N77" s="533"/>
      <c r="O77" s="533"/>
      <c r="P77" s="533"/>
      <c r="Q77" s="533"/>
      <c r="R77" s="533"/>
      <c r="S77" s="533"/>
      <c r="T77" s="533"/>
      <c r="U77" s="533"/>
      <c r="V77" s="533"/>
      <c r="W77" s="533"/>
      <c r="X77" s="533"/>
      <c r="Y77" s="533"/>
      <c r="Z77" s="533"/>
      <c r="AA77" s="533"/>
      <c r="AB77" s="533"/>
      <c r="AC77" s="533"/>
    </row>
    <row r="78" spans="1:29" ht="15.75" customHeight="1">
      <c r="A78" s="533"/>
      <c r="B78" s="533"/>
      <c r="C78" s="533"/>
      <c r="D78" s="533"/>
      <c r="E78" s="533"/>
      <c r="F78" s="533"/>
      <c r="G78" s="533"/>
      <c r="H78" s="533"/>
      <c r="I78" s="533"/>
      <c r="J78" s="533"/>
      <c r="K78" s="533"/>
      <c r="L78" s="533"/>
      <c r="M78" s="533"/>
      <c r="N78" s="533"/>
      <c r="O78" s="533"/>
      <c r="P78" s="533"/>
      <c r="Q78" s="533"/>
      <c r="R78" s="533"/>
      <c r="S78" s="533"/>
      <c r="T78" s="533"/>
      <c r="U78" s="533"/>
      <c r="V78" s="533"/>
      <c r="W78" s="533"/>
      <c r="X78" s="533"/>
      <c r="Y78" s="533"/>
      <c r="Z78" s="533"/>
      <c r="AA78" s="533"/>
      <c r="AB78" s="533"/>
      <c r="AC78" s="533"/>
    </row>
    <row r="79" spans="1:29" ht="15.75" customHeight="1">
      <c r="A79" s="533"/>
      <c r="B79" s="533"/>
      <c r="C79" s="533"/>
      <c r="D79" s="533"/>
      <c r="E79" s="533"/>
      <c r="F79" s="533"/>
      <c r="G79" s="533"/>
      <c r="H79" s="533"/>
      <c r="I79" s="533"/>
      <c r="J79" s="533"/>
      <c r="K79" s="533"/>
      <c r="L79" s="533"/>
      <c r="M79" s="533"/>
      <c r="N79" s="533"/>
      <c r="O79" s="533"/>
      <c r="P79" s="533"/>
      <c r="Q79" s="533"/>
      <c r="R79" s="533"/>
      <c r="S79" s="533"/>
      <c r="T79" s="533"/>
      <c r="U79" s="533"/>
      <c r="V79" s="533"/>
      <c r="W79" s="533"/>
      <c r="X79" s="533"/>
      <c r="Y79" s="533"/>
      <c r="Z79" s="533"/>
      <c r="AA79" s="533"/>
      <c r="AB79" s="533"/>
      <c r="AC79" s="533"/>
    </row>
    <row r="80" spans="1:29" ht="15.75" customHeight="1">
      <c r="A80" s="533"/>
      <c r="B80" s="533"/>
      <c r="C80" s="533"/>
      <c r="D80" s="533"/>
      <c r="E80" s="533"/>
      <c r="F80" s="533"/>
      <c r="G80" s="533"/>
      <c r="H80" s="533"/>
      <c r="I80" s="533"/>
      <c r="J80" s="533"/>
      <c r="K80" s="533"/>
      <c r="L80" s="533"/>
      <c r="M80" s="533"/>
      <c r="N80" s="533"/>
      <c r="O80" s="533"/>
      <c r="P80" s="533"/>
      <c r="Q80" s="533"/>
      <c r="R80" s="533"/>
      <c r="S80" s="533"/>
      <c r="T80" s="533"/>
      <c r="U80" s="533"/>
      <c r="V80" s="533"/>
      <c r="W80" s="533"/>
      <c r="X80" s="533"/>
      <c r="Y80" s="533"/>
      <c r="Z80" s="533"/>
      <c r="AA80" s="533"/>
      <c r="AB80" s="533"/>
      <c r="AC80" s="533"/>
    </row>
    <row r="81" spans="1:29" ht="15.75" customHeight="1">
      <c r="A81" s="533"/>
      <c r="B81" s="533"/>
      <c r="C81" s="533"/>
      <c r="D81" s="533"/>
      <c r="E81" s="533"/>
      <c r="F81" s="533"/>
      <c r="G81" s="533"/>
      <c r="H81" s="533"/>
      <c r="I81" s="533"/>
      <c r="J81" s="533"/>
      <c r="K81" s="533"/>
      <c r="L81" s="533"/>
      <c r="M81" s="533"/>
      <c r="N81" s="533"/>
      <c r="O81" s="533"/>
      <c r="P81" s="533"/>
      <c r="Q81" s="533"/>
      <c r="R81" s="533"/>
      <c r="S81" s="533"/>
      <c r="T81" s="533"/>
      <c r="U81" s="533"/>
      <c r="V81" s="533"/>
      <c r="W81" s="533"/>
      <c r="X81" s="533"/>
      <c r="Y81" s="533"/>
      <c r="Z81" s="533"/>
      <c r="AA81" s="533"/>
      <c r="AB81" s="533"/>
      <c r="AC81" s="533"/>
    </row>
    <row r="82" spans="1:29" ht="15.75" customHeight="1">
      <c r="A82" s="533"/>
      <c r="B82" s="533"/>
      <c r="C82" s="533"/>
      <c r="D82" s="533"/>
      <c r="E82" s="533"/>
      <c r="F82" s="533"/>
      <c r="G82" s="533"/>
      <c r="H82" s="533"/>
      <c r="I82" s="533"/>
      <c r="J82" s="533"/>
      <c r="K82" s="533"/>
      <c r="L82" s="533"/>
      <c r="M82" s="533"/>
      <c r="N82" s="533"/>
      <c r="O82" s="533"/>
      <c r="P82" s="533"/>
      <c r="Q82" s="533"/>
      <c r="R82" s="533"/>
      <c r="S82" s="533"/>
      <c r="T82" s="533"/>
      <c r="U82" s="533"/>
      <c r="V82" s="533"/>
      <c r="W82" s="533"/>
      <c r="X82" s="533"/>
      <c r="Y82" s="533"/>
      <c r="Z82" s="533"/>
      <c r="AA82" s="533"/>
      <c r="AB82" s="533"/>
      <c r="AC82" s="533"/>
    </row>
    <row r="83" spans="1:29" ht="15.75" customHeight="1">
      <c r="A83" s="533"/>
      <c r="B83" s="533"/>
      <c r="C83" s="533"/>
      <c r="D83" s="533"/>
      <c r="E83" s="533"/>
      <c r="F83" s="533"/>
      <c r="G83" s="533"/>
      <c r="H83" s="533"/>
      <c r="I83" s="533"/>
      <c r="J83" s="533"/>
      <c r="K83" s="533"/>
      <c r="L83" s="533"/>
      <c r="M83" s="533"/>
      <c r="N83" s="533"/>
      <c r="O83" s="533"/>
      <c r="P83" s="533"/>
      <c r="Q83" s="533"/>
      <c r="R83" s="533"/>
      <c r="S83" s="533"/>
      <c r="T83" s="533"/>
      <c r="U83" s="533"/>
      <c r="V83" s="533"/>
      <c r="W83" s="533"/>
      <c r="X83" s="533"/>
      <c r="Y83" s="533"/>
      <c r="Z83" s="533"/>
      <c r="AA83" s="533"/>
      <c r="AB83" s="533"/>
      <c r="AC83" s="533"/>
    </row>
    <row r="84" spans="1:29" ht="15.75" customHeight="1">
      <c r="A84" s="533"/>
      <c r="B84" s="533"/>
      <c r="C84" s="533"/>
      <c r="D84" s="533"/>
      <c r="E84" s="533"/>
      <c r="F84" s="533"/>
      <c r="G84" s="533"/>
      <c r="H84" s="533"/>
      <c r="I84" s="533"/>
      <c r="J84" s="533"/>
      <c r="K84" s="533"/>
      <c r="L84" s="533"/>
      <c r="M84" s="533"/>
      <c r="N84" s="533"/>
      <c r="O84" s="533"/>
      <c r="P84" s="533"/>
      <c r="Q84" s="533"/>
      <c r="R84" s="533"/>
      <c r="S84" s="533"/>
      <c r="T84" s="533"/>
      <c r="U84" s="533"/>
      <c r="V84" s="533"/>
      <c r="W84" s="533"/>
      <c r="X84" s="533"/>
      <c r="Y84" s="533"/>
      <c r="Z84" s="533"/>
      <c r="AA84" s="533"/>
      <c r="AB84" s="533"/>
      <c r="AC84" s="533"/>
    </row>
    <row r="85" spans="1:29" ht="15.75" customHeight="1">
      <c r="A85" s="533"/>
      <c r="B85" s="533"/>
      <c r="C85" s="533"/>
      <c r="D85" s="533"/>
      <c r="E85" s="533"/>
      <c r="F85" s="533"/>
      <c r="G85" s="533"/>
      <c r="H85" s="533"/>
      <c r="I85" s="533"/>
      <c r="J85" s="533"/>
      <c r="K85" s="533"/>
      <c r="L85" s="533"/>
      <c r="M85" s="533"/>
      <c r="N85" s="533"/>
      <c r="O85" s="533"/>
      <c r="P85" s="533"/>
      <c r="Q85" s="533"/>
      <c r="R85" s="533"/>
      <c r="S85" s="533"/>
      <c r="T85" s="533"/>
      <c r="U85" s="533"/>
      <c r="V85" s="533"/>
      <c r="W85" s="533"/>
      <c r="X85" s="533"/>
      <c r="Y85" s="533"/>
      <c r="Z85" s="533"/>
      <c r="AA85" s="533"/>
      <c r="AB85" s="533"/>
      <c r="AC85" s="533"/>
    </row>
    <row r="86" spans="1:29" ht="15.75" customHeight="1">
      <c r="A86" s="533"/>
      <c r="B86" s="533"/>
      <c r="C86" s="533"/>
      <c r="D86" s="533"/>
      <c r="E86" s="533"/>
      <c r="F86" s="533"/>
      <c r="G86" s="533"/>
      <c r="H86" s="533"/>
      <c r="I86" s="533"/>
      <c r="J86" s="533"/>
      <c r="K86" s="533"/>
      <c r="L86" s="533"/>
      <c r="M86" s="533"/>
      <c r="N86" s="533"/>
      <c r="O86" s="533"/>
      <c r="P86" s="533"/>
      <c r="Q86" s="533"/>
      <c r="R86" s="533"/>
      <c r="S86" s="533"/>
      <c r="T86" s="533"/>
      <c r="U86" s="533"/>
      <c r="V86" s="533"/>
      <c r="W86" s="533"/>
      <c r="X86" s="533"/>
      <c r="Y86" s="533"/>
      <c r="Z86" s="533"/>
      <c r="AA86" s="533"/>
      <c r="AB86" s="533"/>
      <c r="AC86" s="533"/>
    </row>
    <row r="87" spans="1:29" ht="15.75" customHeight="1">
      <c r="A87" s="533"/>
      <c r="B87" s="533"/>
      <c r="C87" s="533"/>
      <c r="D87" s="533"/>
      <c r="E87" s="533"/>
      <c r="F87" s="533"/>
      <c r="G87" s="533"/>
      <c r="H87" s="533"/>
      <c r="I87" s="533"/>
      <c r="J87" s="533"/>
      <c r="K87" s="533"/>
      <c r="L87" s="533"/>
      <c r="M87" s="533"/>
      <c r="N87" s="533"/>
      <c r="O87" s="533"/>
      <c r="P87" s="533"/>
      <c r="Q87" s="533"/>
      <c r="R87" s="533"/>
      <c r="S87" s="533"/>
      <c r="T87" s="533"/>
      <c r="U87" s="533"/>
      <c r="V87" s="533"/>
      <c r="W87" s="533"/>
      <c r="X87" s="533"/>
      <c r="Y87" s="533"/>
      <c r="Z87" s="533"/>
      <c r="AA87" s="533"/>
      <c r="AB87" s="533"/>
      <c r="AC87" s="533"/>
    </row>
    <row r="88" spans="1:29" ht="15.75" customHeight="1">
      <c r="A88" s="533"/>
      <c r="B88" s="533"/>
      <c r="C88" s="533"/>
      <c r="D88" s="533"/>
      <c r="E88" s="533"/>
      <c r="F88" s="533"/>
      <c r="G88" s="533"/>
      <c r="H88" s="533"/>
      <c r="I88" s="533"/>
      <c r="J88" s="533"/>
      <c r="K88" s="533"/>
      <c r="L88" s="533"/>
      <c r="M88" s="533"/>
      <c r="N88" s="533"/>
      <c r="O88" s="533"/>
      <c r="P88" s="533"/>
      <c r="Q88" s="533"/>
      <c r="R88" s="533"/>
      <c r="S88" s="533"/>
      <c r="T88" s="533"/>
      <c r="U88" s="533"/>
      <c r="V88" s="533"/>
      <c r="W88" s="533"/>
      <c r="X88" s="533"/>
      <c r="Y88" s="533"/>
      <c r="Z88" s="533"/>
      <c r="AA88" s="533"/>
      <c r="AB88" s="533"/>
      <c r="AC88" s="533"/>
    </row>
    <row r="89" spans="1:29" ht="15.75" customHeight="1">
      <c r="A89" s="533"/>
      <c r="B89" s="533"/>
      <c r="C89" s="533"/>
      <c r="D89" s="533"/>
      <c r="E89" s="533"/>
      <c r="F89" s="533"/>
      <c r="G89" s="533"/>
      <c r="H89" s="533"/>
      <c r="I89" s="533"/>
      <c r="J89" s="533"/>
      <c r="K89" s="533"/>
      <c r="L89" s="533"/>
      <c r="M89" s="533"/>
      <c r="N89" s="533"/>
      <c r="O89" s="533"/>
      <c r="P89" s="533"/>
      <c r="Q89" s="533"/>
      <c r="R89" s="533"/>
      <c r="S89" s="533"/>
      <c r="T89" s="533"/>
      <c r="U89" s="533"/>
      <c r="V89" s="533"/>
      <c r="W89" s="533"/>
      <c r="X89" s="533"/>
      <c r="Y89" s="533"/>
      <c r="Z89" s="533"/>
      <c r="AA89" s="533"/>
      <c r="AB89" s="533"/>
      <c r="AC89" s="533"/>
    </row>
    <row r="90" spans="1:29" ht="15.75" customHeight="1">
      <c r="A90" s="533"/>
      <c r="B90" s="533"/>
      <c r="C90" s="533"/>
      <c r="D90" s="533"/>
      <c r="E90" s="533"/>
      <c r="F90" s="533"/>
      <c r="G90" s="533"/>
      <c r="H90" s="533"/>
      <c r="I90" s="533"/>
      <c r="J90" s="533"/>
      <c r="K90" s="533"/>
      <c r="L90" s="533"/>
      <c r="M90" s="533"/>
      <c r="N90" s="533"/>
      <c r="O90" s="533"/>
      <c r="P90" s="533"/>
      <c r="Q90" s="533"/>
      <c r="R90" s="533"/>
      <c r="S90" s="533"/>
      <c r="T90" s="533"/>
      <c r="U90" s="533"/>
      <c r="V90" s="533"/>
      <c r="W90" s="533"/>
      <c r="X90" s="533"/>
      <c r="Y90" s="533"/>
      <c r="Z90" s="533"/>
      <c r="AA90" s="533"/>
      <c r="AB90" s="533"/>
      <c r="AC90" s="533"/>
    </row>
    <row r="91" spans="1:29" ht="15.75" customHeight="1">
      <c r="A91" s="533"/>
      <c r="B91" s="533"/>
      <c r="C91" s="533"/>
      <c r="D91" s="533"/>
      <c r="E91" s="533"/>
      <c r="F91" s="533"/>
      <c r="G91" s="533"/>
      <c r="H91" s="533"/>
      <c r="I91" s="533"/>
      <c r="J91" s="533"/>
      <c r="K91" s="533"/>
      <c r="L91" s="533"/>
      <c r="M91" s="533"/>
      <c r="N91" s="533"/>
      <c r="O91" s="533"/>
      <c r="P91" s="533"/>
      <c r="Q91" s="533"/>
      <c r="R91" s="533"/>
      <c r="S91" s="533"/>
      <c r="T91" s="533"/>
      <c r="U91" s="533"/>
      <c r="V91" s="533"/>
      <c r="W91" s="533"/>
      <c r="X91" s="533"/>
      <c r="Y91" s="533"/>
      <c r="Z91" s="533"/>
      <c r="AA91" s="533"/>
      <c r="AB91" s="533"/>
      <c r="AC91" s="533"/>
    </row>
    <row r="92" spans="1:29" ht="15.75" customHeight="1">
      <c r="A92" s="533"/>
      <c r="B92" s="533"/>
      <c r="C92" s="533"/>
      <c r="D92" s="533"/>
      <c r="E92" s="533"/>
      <c r="F92" s="533"/>
      <c r="G92" s="533"/>
      <c r="H92" s="533"/>
      <c r="I92" s="533"/>
      <c r="J92" s="533"/>
      <c r="K92" s="533"/>
      <c r="L92" s="533"/>
      <c r="M92" s="533"/>
      <c r="N92" s="533"/>
      <c r="O92" s="533"/>
      <c r="P92" s="533"/>
      <c r="Q92" s="533"/>
      <c r="R92" s="533"/>
      <c r="S92" s="533"/>
      <c r="T92" s="533"/>
      <c r="U92" s="533"/>
      <c r="V92" s="533"/>
      <c r="W92" s="533"/>
      <c r="X92" s="533"/>
      <c r="Y92" s="533"/>
      <c r="Z92" s="533"/>
      <c r="AA92" s="533"/>
      <c r="AB92" s="533"/>
      <c r="AC92" s="533"/>
    </row>
    <row r="93" spans="1:29" ht="15.75" customHeight="1">
      <c r="A93" s="533"/>
      <c r="B93" s="533"/>
      <c r="C93" s="533"/>
      <c r="D93" s="533"/>
      <c r="E93" s="533"/>
      <c r="F93" s="533"/>
      <c r="G93" s="533"/>
      <c r="H93" s="533"/>
      <c r="I93" s="533"/>
      <c r="J93" s="533"/>
      <c r="K93" s="533"/>
      <c r="L93" s="533"/>
      <c r="M93" s="533"/>
      <c r="N93" s="533"/>
      <c r="O93" s="533"/>
      <c r="P93" s="533"/>
      <c r="Q93" s="533"/>
      <c r="R93" s="533"/>
      <c r="S93" s="533"/>
      <c r="T93" s="533"/>
      <c r="U93" s="533"/>
      <c r="V93" s="533"/>
      <c r="W93" s="533"/>
      <c r="X93" s="533"/>
      <c r="Y93" s="533"/>
      <c r="Z93" s="533"/>
      <c r="AA93" s="533"/>
      <c r="AB93" s="533"/>
      <c r="AC93" s="533"/>
    </row>
    <row r="94" spans="1:29" ht="15.75" customHeight="1">
      <c r="A94" s="533"/>
      <c r="B94" s="533"/>
      <c r="C94" s="533"/>
      <c r="D94" s="533"/>
      <c r="E94" s="533"/>
      <c r="F94" s="533"/>
      <c r="G94" s="533"/>
      <c r="H94" s="533"/>
      <c r="I94" s="533"/>
      <c r="J94" s="533"/>
      <c r="K94" s="533"/>
      <c r="L94" s="533"/>
      <c r="M94" s="533"/>
      <c r="N94" s="533"/>
      <c r="O94" s="533"/>
      <c r="P94" s="533"/>
      <c r="Q94" s="533"/>
      <c r="R94" s="533"/>
      <c r="S94" s="533"/>
      <c r="T94" s="533"/>
      <c r="U94" s="533"/>
      <c r="V94" s="533"/>
      <c r="W94" s="533"/>
      <c r="X94" s="533"/>
      <c r="Y94" s="533"/>
      <c r="Z94" s="533"/>
      <c r="AA94" s="533"/>
      <c r="AB94" s="533"/>
      <c r="AC94" s="533"/>
    </row>
    <row r="95" spans="1:29" ht="15.75" customHeight="1">
      <c r="A95" s="533"/>
      <c r="B95" s="533"/>
      <c r="C95" s="533"/>
      <c r="D95" s="533"/>
      <c r="E95" s="533"/>
      <c r="F95" s="533"/>
      <c r="G95" s="533"/>
      <c r="H95" s="533"/>
      <c r="I95" s="533"/>
      <c r="J95" s="533"/>
      <c r="K95" s="533"/>
      <c r="L95" s="533"/>
      <c r="M95" s="533"/>
      <c r="N95" s="533"/>
      <c r="O95" s="533"/>
      <c r="P95" s="533"/>
      <c r="Q95" s="533"/>
      <c r="R95" s="533"/>
      <c r="S95" s="533"/>
      <c r="T95" s="533"/>
      <c r="U95" s="533"/>
      <c r="V95" s="533"/>
      <c r="W95" s="533"/>
      <c r="X95" s="533"/>
      <c r="Y95" s="533"/>
      <c r="Z95" s="533"/>
      <c r="AA95" s="533"/>
      <c r="AB95" s="533"/>
      <c r="AC95" s="533"/>
    </row>
    <row r="96" spans="1:29" ht="15.75" customHeight="1">
      <c r="A96" s="533"/>
      <c r="B96" s="533"/>
      <c r="C96" s="533"/>
      <c r="D96" s="533"/>
      <c r="E96" s="533"/>
      <c r="F96" s="533"/>
      <c r="G96" s="533"/>
      <c r="H96" s="533"/>
      <c r="I96" s="533"/>
      <c r="J96" s="533"/>
      <c r="K96" s="533"/>
      <c r="L96" s="533"/>
      <c r="M96" s="533"/>
      <c r="N96" s="533"/>
      <c r="O96" s="533"/>
      <c r="P96" s="533"/>
      <c r="Q96" s="533"/>
      <c r="R96" s="533"/>
      <c r="S96" s="533"/>
      <c r="T96" s="533"/>
      <c r="U96" s="533"/>
      <c r="V96" s="533"/>
      <c r="W96" s="533"/>
      <c r="X96" s="533"/>
      <c r="Y96" s="533"/>
      <c r="Z96" s="533"/>
      <c r="AA96" s="533"/>
      <c r="AB96" s="533"/>
      <c r="AC96" s="533"/>
    </row>
    <row r="97" spans="1:29" ht="15.75" customHeight="1">
      <c r="A97" s="533"/>
      <c r="B97" s="533"/>
      <c r="C97" s="533"/>
      <c r="D97" s="533"/>
      <c r="E97" s="533"/>
      <c r="F97" s="533"/>
      <c r="G97" s="533"/>
      <c r="H97" s="533"/>
      <c r="I97" s="533"/>
      <c r="J97" s="533"/>
      <c r="K97" s="533"/>
      <c r="L97" s="533"/>
      <c r="M97" s="533"/>
      <c r="N97" s="533"/>
      <c r="O97" s="533"/>
      <c r="P97" s="533"/>
      <c r="Q97" s="533"/>
      <c r="R97" s="533"/>
      <c r="S97" s="533"/>
      <c r="T97" s="533"/>
      <c r="U97" s="533"/>
      <c r="V97" s="533"/>
      <c r="W97" s="533"/>
      <c r="X97" s="533"/>
      <c r="Y97" s="533"/>
      <c r="Z97" s="533"/>
      <c r="AA97" s="533"/>
      <c r="AB97" s="533"/>
      <c r="AC97" s="533"/>
    </row>
    <row r="98" spans="1:29" ht="15.75" customHeight="1">
      <c r="A98" s="533"/>
      <c r="B98" s="533"/>
      <c r="C98" s="533"/>
      <c r="D98" s="533"/>
      <c r="E98" s="533"/>
      <c r="F98" s="533"/>
      <c r="G98" s="533"/>
      <c r="H98" s="533"/>
      <c r="I98" s="533"/>
      <c r="J98" s="533"/>
      <c r="K98" s="533"/>
      <c r="L98" s="533"/>
      <c r="M98" s="533"/>
      <c r="N98" s="533"/>
      <c r="O98" s="533"/>
      <c r="P98" s="533"/>
      <c r="Q98" s="533"/>
      <c r="R98" s="533"/>
      <c r="S98" s="533"/>
      <c r="T98" s="533"/>
      <c r="U98" s="533"/>
      <c r="V98" s="533"/>
      <c r="W98" s="533"/>
      <c r="X98" s="533"/>
      <c r="Y98" s="533"/>
      <c r="Z98" s="533"/>
      <c r="AA98" s="533"/>
      <c r="AB98" s="533"/>
      <c r="AC98" s="533"/>
    </row>
    <row r="99" spans="1:29" ht="15.75" customHeight="1">
      <c r="A99" s="533"/>
      <c r="B99" s="533"/>
      <c r="C99" s="533"/>
      <c r="D99" s="533"/>
      <c r="E99" s="533"/>
      <c r="F99" s="533"/>
      <c r="G99" s="533"/>
      <c r="H99" s="533"/>
      <c r="I99" s="533"/>
      <c r="J99" s="533"/>
      <c r="K99" s="533"/>
      <c r="L99" s="533"/>
      <c r="M99" s="533"/>
      <c r="N99" s="533"/>
      <c r="O99" s="533"/>
      <c r="P99" s="533"/>
      <c r="Q99" s="533"/>
      <c r="R99" s="533"/>
      <c r="S99" s="533"/>
      <c r="T99" s="533"/>
      <c r="U99" s="533"/>
      <c r="V99" s="533"/>
      <c r="W99" s="533"/>
      <c r="X99" s="533"/>
      <c r="Y99" s="533"/>
      <c r="Z99" s="533"/>
      <c r="AA99" s="533"/>
      <c r="AB99" s="533"/>
      <c r="AC99" s="533"/>
    </row>
    <row r="100" spans="1:29" ht="15.75" customHeight="1">
      <c r="A100" s="533"/>
      <c r="B100" s="533"/>
      <c r="C100" s="533"/>
      <c r="D100" s="533"/>
      <c r="E100" s="533"/>
      <c r="F100" s="533"/>
      <c r="G100" s="533"/>
      <c r="H100" s="533"/>
      <c r="I100" s="533"/>
      <c r="J100" s="533"/>
      <c r="K100" s="533"/>
      <c r="L100" s="533"/>
      <c r="M100" s="533"/>
      <c r="N100" s="533"/>
      <c r="O100" s="533"/>
      <c r="P100" s="533"/>
      <c r="Q100" s="533"/>
      <c r="R100" s="533"/>
      <c r="S100" s="533"/>
      <c r="T100" s="533"/>
      <c r="U100" s="533"/>
      <c r="V100" s="533"/>
      <c r="W100" s="533"/>
      <c r="X100" s="533"/>
      <c r="Y100" s="533"/>
      <c r="Z100" s="533"/>
      <c r="AA100" s="533"/>
      <c r="AB100" s="533"/>
      <c r="AC100" s="533"/>
    </row>
    <row r="101" spans="1:29" ht="15.75" customHeight="1">
      <c r="A101" s="533"/>
      <c r="B101" s="533"/>
      <c r="C101" s="533"/>
      <c r="D101" s="533"/>
      <c r="E101" s="533"/>
      <c r="F101" s="533"/>
      <c r="G101" s="533"/>
      <c r="H101" s="533"/>
      <c r="I101" s="533"/>
      <c r="J101" s="533"/>
      <c r="K101" s="533"/>
      <c r="L101" s="533"/>
      <c r="M101" s="533"/>
      <c r="N101" s="533"/>
      <c r="O101" s="533"/>
      <c r="P101" s="533"/>
      <c r="Q101" s="533"/>
      <c r="R101" s="533"/>
      <c r="S101" s="533"/>
      <c r="T101" s="533"/>
      <c r="U101" s="533"/>
      <c r="V101" s="533"/>
      <c r="W101" s="533"/>
      <c r="X101" s="533"/>
      <c r="Y101" s="533"/>
      <c r="Z101" s="533"/>
      <c r="AA101" s="533"/>
      <c r="AB101" s="533"/>
      <c r="AC101" s="533"/>
    </row>
    <row r="102" spans="1:29" ht="15.75" customHeight="1">
      <c r="A102" s="533"/>
      <c r="B102" s="533"/>
      <c r="C102" s="533"/>
      <c r="D102" s="533"/>
      <c r="E102" s="533"/>
      <c r="F102" s="533"/>
      <c r="G102" s="533"/>
      <c r="H102" s="533"/>
      <c r="I102" s="533"/>
      <c r="J102" s="533"/>
      <c r="K102" s="533"/>
      <c r="L102" s="533"/>
      <c r="M102" s="533"/>
      <c r="N102" s="533"/>
      <c r="O102" s="533"/>
      <c r="P102" s="533"/>
      <c r="Q102" s="533"/>
      <c r="R102" s="533"/>
      <c r="S102" s="533"/>
      <c r="T102" s="533"/>
      <c r="U102" s="533"/>
      <c r="V102" s="533"/>
      <c r="W102" s="533"/>
      <c r="X102" s="533"/>
      <c r="Y102" s="533"/>
      <c r="Z102" s="533"/>
      <c r="AA102" s="533"/>
      <c r="AB102" s="533"/>
      <c r="AC102" s="533"/>
    </row>
    <row r="103" spans="1:29" ht="15.75" customHeight="1">
      <c r="A103" s="533"/>
      <c r="B103" s="533"/>
      <c r="C103" s="533"/>
      <c r="D103" s="533"/>
      <c r="E103" s="533"/>
      <c r="F103" s="533"/>
      <c r="G103" s="533"/>
      <c r="H103" s="533"/>
      <c r="I103" s="533"/>
      <c r="J103" s="533"/>
      <c r="K103" s="533"/>
      <c r="L103" s="533"/>
      <c r="M103" s="533"/>
      <c r="N103" s="533"/>
      <c r="O103" s="533"/>
      <c r="P103" s="533"/>
      <c r="Q103" s="533"/>
      <c r="R103" s="533"/>
      <c r="S103" s="533"/>
      <c r="T103" s="533"/>
      <c r="U103" s="533"/>
      <c r="V103" s="533"/>
      <c r="W103" s="533"/>
      <c r="X103" s="533"/>
      <c r="Y103" s="533"/>
      <c r="Z103" s="533"/>
      <c r="AA103" s="533"/>
      <c r="AB103" s="533"/>
      <c r="AC103" s="533"/>
    </row>
    <row r="104" spans="1:29" ht="15.75" customHeight="1">
      <c r="A104" s="533"/>
      <c r="B104" s="533"/>
      <c r="C104" s="533"/>
      <c r="D104" s="533"/>
      <c r="E104" s="533"/>
      <c r="F104" s="533"/>
      <c r="G104" s="533"/>
      <c r="H104" s="533"/>
      <c r="I104" s="533"/>
      <c r="J104" s="533"/>
      <c r="K104" s="533"/>
      <c r="L104" s="533"/>
      <c r="M104" s="533"/>
      <c r="N104" s="533"/>
      <c r="O104" s="533"/>
      <c r="P104" s="533"/>
      <c r="Q104" s="533"/>
      <c r="R104" s="533"/>
      <c r="S104" s="533"/>
      <c r="T104" s="533"/>
      <c r="U104" s="533"/>
      <c r="V104" s="533"/>
      <c r="W104" s="533"/>
      <c r="X104" s="533"/>
      <c r="Y104" s="533"/>
      <c r="Z104" s="533"/>
      <c r="AA104" s="533"/>
      <c r="AB104" s="533"/>
      <c r="AC104" s="533"/>
    </row>
    <row r="105" spans="1:29" ht="15.75" customHeight="1">
      <c r="A105" s="533"/>
      <c r="B105" s="533"/>
      <c r="C105" s="533"/>
      <c r="D105" s="533"/>
      <c r="E105" s="533"/>
      <c r="F105" s="533"/>
      <c r="G105" s="533"/>
      <c r="H105" s="533"/>
      <c r="I105" s="533"/>
      <c r="J105" s="533"/>
      <c r="K105" s="533"/>
      <c r="L105" s="533"/>
      <c r="M105" s="533"/>
      <c r="N105" s="533"/>
      <c r="O105" s="533"/>
      <c r="P105" s="533"/>
      <c r="Q105" s="533"/>
      <c r="R105" s="533"/>
      <c r="S105" s="533"/>
      <c r="T105" s="533"/>
      <c r="U105" s="533"/>
      <c r="V105" s="533"/>
      <c r="W105" s="533"/>
      <c r="X105" s="533"/>
      <c r="Y105" s="533"/>
      <c r="Z105" s="533"/>
      <c r="AA105" s="533"/>
      <c r="AB105" s="533"/>
      <c r="AC105" s="533"/>
    </row>
    <row r="106" spans="1:29" ht="15.75" customHeight="1">
      <c r="A106" s="533"/>
      <c r="B106" s="533"/>
      <c r="C106" s="533"/>
      <c r="D106" s="533"/>
      <c r="E106" s="533"/>
      <c r="F106" s="533"/>
      <c r="G106" s="533"/>
      <c r="H106" s="533"/>
      <c r="I106" s="533"/>
      <c r="J106" s="533"/>
      <c r="K106" s="533"/>
      <c r="L106" s="533"/>
      <c r="M106" s="533"/>
      <c r="N106" s="533"/>
      <c r="O106" s="533"/>
      <c r="P106" s="533"/>
      <c r="Q106" s="533"/>
      <c r="R106" s="533"/>
      <c r="S106" s="533"/>
      <c r="T106" s="533"/>
      <c r="U106" s="533"/>
      <c r="V106" s="533"/>
      <c r="W106" s="533"/>
      <c r="X106" s="533"/>
      <c r="Y106" s="533"/>
      <c r="Z106" s="533"/>
      <c r="AA106" s="533"/>
      <c r="AB106" s="533"/>
      <c r="AC106" s="533"/>
    </row>
    <row r="107" spans="1:29" ht="15.75" customHeight="1">
      <c r="A107" s="533"/>
      <c r="B107" s="533"/>
      <c r="C107" s="533"/>
      <c r="D107" s="533"/>
      <c r="E107" s="533"/>
      <c r="F107" s="533"/>
      <c r="G107" s="533"/>
      <c r="H107" s="533"/>
      <c r="I107" s="533"/>
      <c r="J107" s="533"/>
      <c r="K107" s="533"/>
      <c r="L107" s="533"/>
      <c r="M107" s="533"/>
      <c r="N107" s="533"/>
      <c r="O107" s="533"/>
      <c r="P107" s="533"/>
      <c r="Q107" s="533"/>
      <c r="R107" s="533"/>
      <c r="S107" s="533"/>
      <c r="T107" s="533"/>
      <c r="U107" s="533"/>
      <c r="V107" s="533"/>
      <c r="W107" s="533"/>
      <c r="X107" s="533"/>
      <c r="Y107" s="533"/>
      <c r="Z107" s="533"/>
      <c r="AA107" s="533"/>
      <c r="AB107" s="533"/>
      <c r="AC107" s="533"/>
    </row>
    <row r="108" spans="1:29" ht="15.75" customHeight="1">
      <c r="A108" s="533"/>
      <c r="B108" s="533"/>
      <c r="C108" s="533"/>
      <c r="D108" s="533"/>
      <c r="E108" s="533"/>
      <c r="F108" s="533"/>
      <c r="G108" s="533"/>
      <c r="H108" s="533"/>
      <c r="I108" s="533"/>
      <c r="J108" s="533"/>
      <c r="K108" s="533"/>
      <c r="L108" s="533"/>
      <c r="M108" s="533"/>
      <c r="N108" s="533"/>
      <c r="O108" s="533"/>
      <c r="P108" s="533"/>
      <c r="Q108" s="533"/>
      <c r="R108" s="533"/>
      <c r="S108" s="533"/>
      <c r="T108" s="533"/>
      <c r="U108" s="533"/>
      <c r="V108" s="533"/>
      <c r="W108" s="533"/>
      <c r="X108" s="533"/>
      <c r="Y108" s="533"/>
      <c r="Z108" s="533"/>
      <c r="AA108" s="533"/>
      <c r="AB108" s="533"/>
      <c r="AC108" s="533"/>
    </row>
    <row r="109" spans="1:29" ht="15.75" customHeight="1">
      <c r="A109" s="533"/>
      <c r="B109" s="533"/>
      <c r="C109" s="533"/>
      <c r="D109" s="533"/>
      <c r="E109" s="533"/>
      <c r="F109" s="533"/>
      <c r="G109" s="533"/>
      <c r="H109" s="533"/>
      <c r="I109" s="533"/>
      <c r="J109" s="533"/>
      <c r="K109" s="533"/>
      <c r="L109" s="533"/>
      <c r="M109" s="533"/>
      <c r="N109" s="533"/>
      <c r="O109" s="533"/>
      <c r="P109" s="533"/>
      <c r="Q109" s="533"/>
      <c r="R109" s="533"/>
      <c r="S109" s="533"/>
      <c r="T109" s="533"/>
      <c r="U109" s="533"/>
      <c r="V109" s="533"/>
      <c r="W109" s="533"/>
      <c r="X109" s="533"/>
      <c r="Y109" s="533"/>
      <c r="Z109" s="533"/>
      <c r="AA109" s="533"/>
      <c r="AB109" s="533"/>
      <c r="AC109" s="533"/>
    </row>
    <row r="110" spans="1:29" ht="15.75" customHeight="1">
      <c r="A110" s="533"/>
      <c r="B110" s="533"/>
      <c r="C110" s="533"/>
      <c r="D110" s="533"/>
      <c r="E110" s="533"/>
      <c r="F110" s="533"/>
      <c r="G110" s="533"/>
      <c r="H110" s="533"/>
      <c r="I110" s="533"/>
      <c r="J110" s="533"/>
      <c r="K110" s="533"/>
      <c r="L110" s="533"/>
      <c r="M110" s="533"/>
      <c r="N110" s="533"/>
      <c r="O110" s="533"/>
      <c r="P110" s="533"/>
      <c r="Q110" s="533"/>
      <c r="R110" s="533"/>
      <c r="S110" s="533"/>
      <c r="T110" s="533"/>
      <c r="U110" s="533"/>
      <c r="V110" s="533"/>
      <c r="W110" s="533"/>
      <c r="X110" s="533"/>
      <c r="Y110" s="533"/>
      <c r="Z110" s="533"/>
      <c r="AA110" s="533"/>
      <c r="AB110" s="533"/>
      <c r="AC110" s="533"/>
    </row>
    <row r="111" spans="1:29" ht="15.75" customHeight="1">
      <c r="A111" s="533"/>
      <c r="B111" s="533"/>
      <c r="C111" s="533"/>
      <c r="D111" s="533"/>
      <c r="E111" s="533"/>
      <c r="F111" s="533"/>
      <c r="G111" s="533"/>
      <c r="H111" s="533"/>
      <c r="I111" s="533"/>
      <c r="J111" s="533"/>
      <c r="K111" s="533"/>
      <c r="L111" s="533"/>
      <c r="M111" s="533"/>
      <c r="N111" s="533"/>
      <c r="O111" s="533"/>
      <c r="P111" s="533"/>
      <c r="Q111" s="533"/>
      <c r="R111" s="533"/>
      <c r="S111" s="533"/>
      <c r="T111" s="533"/>
      <c r="U111" s="533"/>
      <c r="V111" s="533"/>
      <c r="W111" s="533"/>
      <c r="X111" s="533"/>
      <c r="Y111" s="533"/>
      <c r="Z111" s="533"/>
      <c r="AA111" s="533"/>
      <c r="AB111" s="533"/>
      <c r="AC111" s="533"/>
    </row>
    <row r="112" spans="1:29" ht="15.75" customHeight="1">
      <c r="A112" s="533"/>
      <c r="B112" s="533"/>
      <c r="C112" s="533"/>
      <c r="D112" s="533"/>
      <c r="E112" s="533"/>
      <c r="F112" s="533"/>
      <c r="G112" s="533"/>
      <c r="H112" s="533"/>
      <c r="I112" s="533"/>
      <c r="J112" s="533"/>
      <c r="K112" s="533"/>
      <c r="L112" s="533"/>
      <c r="M112" s="533"/>
      <c r="N112" s="533"/>
      <c r="O112" s="533"/>
      <c r="P112" s="533"/>
      <c r="Q112" s="533"/>
      <c r="R112" s="533"/>
      <c r="S112" s="533"/>
      <c r="T112" s="533"/>
      <c r="U112" s="533"/>
      <c r="V112" s="533"/>
      <c r="W112" s="533"/>
      <c r="X112" s="533"/>
      <c r="Y112" s="533"/>
      <c r="Z112" s="533"/>
      <c r="AA112" s="533"/>
      <c r="AB112" s="533"/>
      <c r="AC112" s="533"/>
    </row>
    <row r="113" spans="1:29" ht="15.75" customHeight="1">
      <c r="A113" s="533"/>
      <c r="B113" s="533"/>
      <c r="C113" s="533"/>
      <c r="D113" s="533"/>
      <c r="E113" s="533"/>
      <c r="F113" s="533"/>
      <c r="G113" s="533"/>
      <c r="H113" s="533"/>
      <c r="I113" s="533"/>
      <c r="J113" s="533"/>
      <c r="K113" s="533"/>
      <c r="L113" s="533"/>
      <c r="M113" s="533"/>
      <c r="N113" s="533"/>
      <c r="O113" s="533"/>
      <c r="P113" s="533"/>
      <c r="Q113" s="533"/>
      <c r="R113" s="533"/>
      <c r="S113" s="533"/>
      <c r="T113" s="533"/>
      <c r="U113" s="533"/>
      <c r="V113" s="533"/>
      <c r="W113" s="533"/>
      <c r="X113" s="533"/>
      <c r="Y113" s="533"/>
      <c r="Z113" s="533"/>
      <c r="AA113" s="533"/>
      <c r="AB113" s="533"/>
      <c r="AC113" s="533"/>
    </row>
    <row r="114" spans="1:29" ht="15.75" customHeight="1">
      <c r="A114" s="533"/>
      <c r="B114" s="533"/>
      <c r="C114" s="533"/>
      <c r="D114" s="533"/>
      <c r="E114" s="533"/>
      <c r="F114" s="533"/>
      <c r="G114" s="533"/>
      <c r="H114" s="533"/>
      <c r="I114" s="533"/>
      <c r="J114" s="533"/>
      <c r="K114" s="533"/>
      <c r="L114" s="533"/>
      <c r="M114" s="533"/>
      <c r="N114" s="533"/>
      <c r="O114" s="533"/>
      <c r="P114" s="533"/>
      <c r="Q114" s="533"/>
      <c r="R114" s="533"/>
      <c r="S114" s="533"/>
      <c r="T114" s="533"/>
      <c r="U114" s="533"/>
      <c r="V114" s="533"/>
      <c r="W114" s="533"/>
      <c r="X114" s="533"/>
      <c r="Y114" s="533"/>
      <c r="Z114" s="533"/>
      <c r="AA114" s="533"/>
      <c r="AB114" s="533"/>
      <c r="AC114" s="533"/>
    </row>
    <row r="115" spans="1:29" ht="15.75" customHeight="1">
      <c r="A115" s="533"/>
      <c r="B115" s="533"/>
      <c r="C115" s="533"/>
      <c r="D115" s="533"/>
      <c r="E115" s="533"/>
      <c r="F115" s="533"/>
      <c r="G115" s="533"/>
      <c r="H115" s="533"/>
      <c r="I115" s="533"/>
      <c r="J115" s="533"/>
      <c r="K115" s="533"/>
      <c r="L115" s="533"/>
      <c r="M115" s="533"/>
      <c r="N115" s="533"/>
      <c r="O115" s="533"/>
      <c r="P115" s="533"/>
      <c r="Q115" s="533"/>
      <c r="R115" s="533"/>
      <c r="S115" s="533"/>
      <c r="T115" s="533"/>
      <c r="U115" s="533"/>
      <c r="V115" s="533"/>
      <c r="W115" s="533"/>
      <c r="X115" s="533"/>
      <c r="Y115" s="533"/>
      <c r="Z115" s="533"/>
      <c r="AA115" s="533"/>
      <c r="AB115" s="533"/>
      <c r="AC115" s="533"/>
    </row>
    <row r="116" spans="1:29" ht="15.75" customHeight="1">
      <c r="A116" s="533"/>
      <c r="B116" s="533"/>
      <c r="C116" s="533"/>
      <c r="D116" s="533"/>
      <c r="E116" s="533"/>
      <c r="F116" s="533"/>
      <c r="G116" s="533"/>
      <c r="H116" s="533"/>
      <c r="I116" s="533"/>
      <c r="J116" s="533"/>
      <c r="K116" s="533"/>
      <c r="L116" s="533"/>
      <c r="M116" s="533"/>
      <c r="N116" s="533"/>
      <c r="O116" s="533"/>
      <c r="P116" s="533"/>
      <c r="Q116" s="533"/>
      <c r="R116" s="533"/>
      <c r="S116" s="533"/>
      <c r="T116" s="533"/>
      <c r="U116" s="533"/>
      <c r="V116" s="533"/>
      <c r="W116" s="533"/>
      <c r="X116" s="533"/>
      <c r="Y116" s="533"/>
      <c r="Z116" s="533"/>
      <c r="AA116" s="533"/>
      <c r="AB116" s="533"/>
      <c r="AC116" s="533"/>
    </row>
    <row r="117" spans="1:29" ht="15.75" customHeight="1">
      <c r="A117" s="533"/>
      <c r="B117" s="533"/>
      <c r="C117" s="533"/>
      <c r="D117" s="533"/>
      <c r="E117" s="533"/>
      <c r="F117" s="533"/>
      <c r="G117" s="533"/>
      <c r="H117" s="533"/>
      <c r="I117" s="533"/>
      <c r="J117" s="533"/>
      <c r="K117" s="533"/>
      <c r="L117" s="533"/>
      <c r="M117" s="533"/>
      <c r="N117" s="533"/>
      <c r="O117" s="533"/>
      <c r="P117" s="533"/>
      <c r="Q117" s="533"/>
      <c r="R117" s="533"/>
      <c r="S117" s="533"/>
      <c r="T117" s="533"/>
      <c r="U117" s="533"/>
      <c r="V117" s="533"/>
      <c r="W117" s="533"/>
      <c r="X117" s="533"/>
      <c r="Y117" s="533"/>
      <c r="Z117" s="533"/>
      <c r="AA117" s="533"/>
      <c r="AB117" s="533"/>
      <c r="AC117" s="533"/>
    </row>
    <row r="118" spans="1:29" ht="15.75" customHeight="1">
      <c r="A118" s="533"/>
      <c r="B118" s="533"/>
      <c r="C118" s="533"/>
      <c r="D118" s="533"/>
      <c r="E118" s="533"/>
      <c r="F118" s="533"/>
      <c r="G118" s="533"/>
      <c r="H118" s="533"/>
      <c r="I118" s="533"/>
      <c r="J118" s="533"/>
      <c r="K118" s="533"/>
      <c r="L118" s="533"/>
      <c r="M118" s="533"/>
      <c r="N118" s="533"/>
      <c r="O118" s="533"/>
      <c r="P118" s="533"/>
      <c r="Q118" s="533"/>
      <c r="R118" s="533"/>
      <c r="S118" s="533"/>
      <c r="T118" s="533"/>
      <c r="U118" s="533"/>
      <c r="V118" s="533"/>
      <c r="W118" s="533"/>
      <c r="X118" s="533"/>
      <c r="Y118" s="533"/>
      <c r="Z118" s="533"/>
      <c r="AA118" s="533"/>
      <c r="AB118" s="533"/>
      <c r="AC118" s="533"/>
    </row>
    <row r="119" spans="1:29" ht="15.75" customHeight="1">
      <c r="A119" s="533"/>
      <c r="B119" s="533"/>
      <c r="C119" s="533"/>
      <c r="D119" s="533"/>
      <c r="E119" s="533"/>
      <c r="F119" s="533"/>
      <c r="G119" s="533"/>
      <c r="H119" s="533"/>
      <c r="I119" s="533"/>
      <c r="J119" s="533"/>
      <c r="K119" s="533"/>
      <c r="L119" s="533"/>
      <c r="M119" s="533"/>
      <c r="N119" s="533"/>
      <c r="O119" s="533"/>
      <c r="P119" s="533"/>
      <c r="Q119" s="533"/>
      <c r="R119" s="533"/>
      <c r="S119" s="533"/>
      <c r="T119" s="533"/>
      <c r="U119" s="533"/>
      <c r="V119" s="533"/>
      <c r="W119" s="533"/>
      <c r="X119" s="533"/>
      <c r="Y119" s="533"/>
      <c r="Z119" s="533"/>
      <c r="AA119" s="533"/>
      <c r="AB119" s="533"/>
      <c r="AC119" s="533"/>
    </row>
    <row r="120" spans="1:29" ht="15.75" customHeight="1">
      <c r="A120" s="533"/>
      <c r="B120" s="533"/>
      <c r="C120" s="533"/>
      <c r="D120" s="533"/>
      <c r="E120" s="533"/>
      <c r="F120" s="533"/>
      <c r="G120" s="533"/>
      <c r="H120" s="533"/>
      <c r="I120" s="533"/>
      <c r="J120" s="533"/>
      <c r="K120" s="533"/>
      <c r="L120" s="533"/>
      <c r="M120" s="533"/>
      <c r="N120" s="533"/>
      <c r="O120" s="533"/>
      <c r="P120" s="533"/>
      <c r="Q120" s="533"/>
      <c r="R120" s="533"/>
      <c r="S120" s="533"/>
      <c r="T120" s="533"/>
      <c r="U120" s="533"/>
      <c r="V120" s="533"/>
      <c r="W120" s="533"/>
      <c r="X120" s="533"/>
      <c r="Y120" s="533"/>
      <c r="Z120" s="533"/>
      <c r="AA120" s="533"/>
      <c r="AB120" s="533"/>
      <c r="AC120" s="533"/>
    </row>
    <row r="121" spans="1:29" ht="15.75" customHeight="1">
      <c r="A121" s="533"/>
      <c r="B121" s="533"/>
      <c r="C121" s="533"/>
      <c r="D121" s="533"/>
      <c r="E121" s="533"/>
      <c r="F121" s="533"/>
      <c r="G121" s="533"/>
      <c r="H121" s="533"/>
      <c r="I121" s="533"/>
      <c r="J121" s="533"/>
      <c r="K121" s="533"/>
      <c r="L121" s="533"/>
      <c r="M121" s="533"/>
      <c r="N121" s="533"/>
      <c r="O121" s="533"/>
      <c r="P121" s="533"/>
      <c r="Q121" s="533"/>
      <c r="R121" s="533"/>
      <c r="S121" s="533"/>
      <c r="T121" s="533"/>
      <c r="U121" s="533"/>
      <c r="V121" s="533"/>
      <c r="W121" s="533"/>
      <c r="X121" s="533"/>
      <c r="Y121" s="533"/>
      <c r="Z121" s="533"/>
      <c r="AA121" s="533"/>
      <c r="AB121" s="533"/>
      <c r="AC121" s="533"/>
    </row>
    <row r="122" spans="1:29" ht="15.75" customHeight="1">
      <c r="A122" s="533"/>
      <c r="B122" s="533"/>
      <c r="C122" s="533"/>
      <c r="D122" s="533"/>
      <c r="E122" s="533"/>
      <c r="F122" s="533"/>
      <c r="G122" s="533"/>
      <c r="H122" s="533"/>
      <c r="I122" s="533"/>
      <c r="J122" s="533"/>
      <c r="K122" s="533"/>
      <c r="L122" s="533"/>
      <c r="M122" s="533"/>
      <c r="N122" s="533"/>
      <c r="O122" s="533"/>
      <c r="P122" s="533"/>
      <c r="Q122" s="533"/>
      <c r="R122" s="533"/>
      <c r="S122" s="533"/>
      <c r="T122" s="533"/>
      <c r="U122" s="533"/>
      <c r="V122" s="533"/>
      <c r="W122" s="533"/>
      <c r="X122" s="533"/>
      <c r="Y122" s="533"/>
      <c r="Z122" s="533"/>
      <c r="AA122" s="533"/>
      <c r="AB122" s="533"/>
      <c r="AC122" s="533"/>
    </row>
    <row r="123" spans="1:29" ht="15.75" customHeight="1">
      <c r="A123" s="533"/>
      <c r="B123" s="533"/>
      <c r="C123" s="533"/>
      <c r="D123" s="533"/>
      <c r="E123" s="533"/>
      <c r="F123" s="533"/>
      <c r="G123" s="533"/>
      <c r="H123" s="533"/>
      <c r="I123" s="533"/>
      <c r="J123" s="533"/>
      <c r="K123" s="533"/>
      <c r="L123" s="533"/>
      <c r="M123" s="533"/>
      <c r="N123" s="533"/>
      <c r="O123" s="533"/>
      <c r="P123" s="533"/>
      <c r="Q123" s="533"/>
      <c r="R123" s="533"/>
      <c r="S123" s="533"/>
      <c r="T123" s="533"/>
      <c r="U123" s="533"/>
      <c r="V123" s="533"/>
      <c r="W123" s="533"/>
      <c r="X123" s="533"/>
      <c r="Y123" s="533"/>
      <c r="Z123" s="533"/>
      <c r="AA123" s="533"/>
      <c r="AB123" s="533"/>
      <c r="AC123" s="533"/>
    </row>
    <row r="124" spans="1:29" ht="15.75" customHeight="1">
      <c r="A124" s="533"/>
      <c r="B124" s="533"/>
      <c r="C124" s="533"/>
      <c r="D124" s="533"/>
      <c r="E124" s="533"/>
      <c r="F124" s="533"/>
      <c r="G124" s="533"/>
      <c r="H124" s="533"/>
      <c r="I124" s="533"/>
      <c r="J124" s="533"/>
      <c r="K124" s="533"/>
      <c r="L124" s="533"/>
      <c r="M124" s="533"/>
      <c r="N124" s="533"/>
      <c r="O124" s="533"/>
      <c r="P124" s="533"/>
      <c r="Q124" s="533"/>
      <c r="R124" s="533"/>
      <c r="S124" s="533"/>
      <c r="T124" s="533"/>
      <c r="U124" s="533"/>
      <c r="V124" s="533"/>
      <c r="W124" s="533"/>
      <c r="X124" s="533"/>
      <c r="Y124" s="533"/>
      <c r="Z124" s="533"/>
      <c r="AA124" s="533"/>
      <c r="AB124" s="533"/>
      <c r="AC124" s="533"/>
    </row>
    <row r="125" spans="1:29" ht="15.75" customHeight="1">
      <c r="A125" s="533"/>
      <c r="B125" s="533"/>
      <c r="C125" s="533"/>
      <c r="D125" s="533"/>
      <c r="E125" s="533"/>
      <c r="F125" s="533"/>
      <c r="G125" s="533"/>
      <c r="H125" s="533"/>
      <c r="I125" s="533"/>
      <c r="J125" s="533"/>
      <c r="K125" s="533"/>
      <c r="L125" s="533"/>
      <c r="M125" s="533"/>
      <c r="N125" s="533"/>
      <c r="O125" s="533"/>
      <c r="P125" s="533"/>
      <c r="Q125" s="533"/>
      <c r="R125" s="533"/>
      <c r="S125" s="533"/>
      <c r="T125" s="533"/>
      <c r="U125" s="533"/>
      <c r="V125" s="533"/>
      <c r="W125" s="533"/>
      <c r="X125" s="533"/>
      <c r="Y125" s="533"/>
      <c r="Z125" s="533"/>
      <c r="AA125" s="533"/>
      <c r="AB125" s="533"/>
      <c r="AC125" s="533"/>
    </row>
    <row r="126" spans="1:29" ht="15.75" customHeight="1">
      <c r="A126" s="533"/>
      <c r="B126" s="533"/>
      <c r="C126" s="533"/>
      <c r="D126" s="533"/>
      <c r="E126" s="533"/>
      <c r="F126" s="533"/>
      <c r="G126" s="533"/>
      <c r="H126" s="533"/>
      <c r="I126" s="533"/>
      <c r="J126" s="533"/>
      <c r="K126" s="533"/>
      <c r="L126" s="533"/>
      <c r="M126" s="533"/>
      <c r="N126" s="533"/>
      <c r="O126" s="533"/>
      <c r="P126" s="533"/>
      <c r="Q126" s="533"/>
      <c r="R126" s="533"/>
      <c r="S126" s="533"/>
      <c r="T126" s="533"/>
      <c r="U126" s="533"/>
      <c r="V126" s="533"/>
      <c r="W126" s="533"/>
      <c r="X126" s="533"/>
      <c r="Y126" s="533"/>
      <c r="Z126" s="533"/>
      <c r="AA126" s="533"/>
      <c r="AB126" s="533"/>
      <c r="AC126" s="533"/>
    </row>
    <row r="127" spans="1:29" ht="15.75" customHeight="1">
      <c r="A127" s="533"/>
      <c r="B127" s="533"/>
      <c r="C127" s="533"/>
      <c r="D127" s="533"/>
      <c r="E127" s="533"/>
      <c r="F127" s="533"/>
      <c r="G127" s="533"/>
      <c r="H127" s="533"/>
      <c r="I127" s="533"/>
      <c r="J127" s="533"/>
      <c r="K127" s="533"/>
      <c r="L127" s="533"/>
      <c r="M127" s="533"/>
      <c r="N127" s="533"/>
      <c r="O127" s="533"/>
      <c r="P127" s="533"/>
      <c r="Q127" s="533"/>
      <c r="R127" s="533"/>
      <c r="S127" s="533"/>
      <c r="T127" s="533"/>
      <c r="U127" s="533"/>
      <c r="V127" s="533"/>
      <c r="W127" s="533"/>
      <c r="X127" s="533"/>
      <c r="Y127" s="533"/>
      <c r="Z127" s="533"/>
      <c r="AA127" s="533"/>
      <c r="AB127" s="533"/>
      <c r="AC127" s="533"/>
    </row>
    <row r="128" spans="1:29" ht="15.75" customHeight="1">
      <c r="A128" s="533"/>
      <c r="B128" s="533"/>
      <c r="C128" s="533"/>
      <c r="D128" s="533"/>
      <c r="E128" s="533"/>
      <c r="F128" s="533"/>
      <c r="G128" s="533"/>
      <c r="H128" s="533"/>
      <c r="I128" s="533"/>
      <c r="J128" s="533"/>
      <c r="K128" s="533"/>
      <c r="L128" s="533"/>
      <c r="M128" s="533"/>
      <c r="N128" s="533"/>
      <c r="O128" s="533"/>
      <c r="P128" s="533"/>
      <c r="Q128" s="533"/>
      <c r="R128" s="533"/>
      <c r="S128" s="533"/>
      <c r="T128" s="533"/>
      <c r="U128" s="533"/>
      <c r="V128" s="533"/>
      <c r="W128" s="533"/>
      <c r="X128" s="533"/>
      <c r="Y128" s="533"/>
      <c r="Z128" s="533"/>
      <c r="AA128" s="533"/>
      <c r="AB128" s="533"/>
      <c r="AC128" s="533"/>
    </row>
    <row r="129" spans="1:29" ht="15.75" customHeight="1">
      <c r="A129" s="533"/>
      <c r="B129" s="533"/>
      <c r="C129" s="533"/>
      <c r="D129" s="533"/>
      <c r="E129" s="533"/>
      <c r="F129" s="533"/>
      <c r="G129" s="533"/>
      <c r="H129" s="533"/>
      <c r="I129" s="533"/>
      <c r="J129" s="533"/>
      <c r="K129" s="533"/>
      <c r="L129" s="533"/>
      <c r="M129" s="533"/>
      <c r="N129" s="533"/>
      <c r="O129" s="533"/>
      <c r="P129" s="533"/>
      <c r="Q129" s="533"/>
      <c r="R129" s="533"/>
      <c r="S129" s="533"/>
      <c r="T129" s="533"/>
      <c r="U129" s="533"/>
      <c r="V129" s="533"/>
      <c r="W129" s="533"/>
      <c r="X129" s="533"/>
      <c r="Y129" s="533"/>
      <c r="Z129" s="533"/>
      <c r="AA129" s="533"/>
      <c r="AB129" s="533"/>
      <c r="AC129" s="533"/>
    </row>
    <row r="130" spans="1:29" ht="15.75" customHeight="1">
      <c r="A130" s="533"/>
      <c r="B130" s="533"/>
      <c r="C130" s="533"/>
      <c r="D130" s="533"/>
      <c r="E130" s="533"/>
      <c r="F130" s="533"/>
      <c r="G130" s="533"/>
      <c r="H130" s="533"/>
      <c r="I130" s="533"/>
      <c r="J130" s="533"/>
      <c r="K130" s="533"/>
      <c r="L130" s="533"/>
      <c r="M130" s="533"/>
      <c r="N130" s="533"/>
      <c r="O130" s="533"/>
      <c r="P130" s="533"/>
      <c r="Q130" s="533"/>
      <c r="R130" s="533"/>
      <c r="S130" s="533"/>
      <c r="T130" s="533"/>
      <c r="U130" s="533"/>
      <c r="V130" s="533"/>
      <c r="W130" s="533"/>
      <c r="X130" s="533"/>
      <c r="Y130" s="533"/>
      <c r="Z130" s="533"/>
      <c r="AA130" s="533"/>
      <c r="AB130" s="533"/>
      <c r="AC130" s="533"/>
    </row>
    <row r="131" spans="1:29" ht="15.75" customHeight="1">
      <c r="A131" s="533"/>
      <c r="B131" s="533"/>
      <c r="C131" s="533"/>
      <c r="D131" s="533"/>
      <c r="E131" s="533"/>
      <c r="F131" s="533"/>
      <c r="G131" s="533"/>
      <c r="H131" s="533"/>
      <c r="I131" s="533"/>
      <c r="J131" s="533"/>
      <c r="K131" s="533"/>
      <c r="L131" s="533"/>
      <c r="M131" s="533"/>
      <c r="N131" s="533"/>
      <c r="O131" s="533"/>
      <c r="P131" s="533"/>
      <c r="Q131" s="533"/>
      <c r="R131" s="533"/>
      <c r="S131" s="533"/>
      <c r="T131" s="533"/>
      <c r="U131" s="533"/>
      <c r="V131" s="533"/>
      <c r="W131" s="533"/>
      <c r="X131" s="533"/>
      <c r="Y131" s="533"/>
      <c r="Z131" s="533"/>
      <c r="AA131" s="533"/>
      <c r="AB131" s="533"/>
      <c r="AC131" s="533"/>
    </row>
    <row r="132" spans="1:29" ht="15.75" customHeight="1">
      <c r="A132" s="533"/>
      <c r="B132" s="533"/>
      <c r="C132" s="533"/>
      <c r="D132" s="533"/>
      <c r="E132" s="533"/>
      <c r="F132" s="533"/>
      <c r="G132" s="533"/>
      <c r="H132" s="533"/>
      <c r="I132" s="533"/>
      <c r="J132" s="533"/>
      <c r="K132" s="533"/>
      <c r="L132" s="533"/>
      <c r="M132" s="533"/>
      <c r="N132" s="533"/>
      <c r="O132" s="533"/>
      <c r="P132" s="533"/>
      <c r="Q132" s="533"/>
      <c r="R132" s="533"/>
      <c r="S132" s="533"/>
      <c r="T132" s="533"/>
      <c r="U132" s="533"/>
      <c r="V132" s="533"/>
      <c r="W132" s="533"/>
      <c r="X132" s="533"/>
      <c r="Y132" s="533"/>
      <c r="Z132" s="533"/>
      <c r="AA132" s="533"/>
      <c r="AB132" s="533"/>
      <c r="AC132" s="533"/>
    </row>
    <row r="133" spans="1:29" ht="15.75" customHeight="1">
      <c r="A133" s="533"/>
      <c r="B133" s="533"/>
      <c r="C133" s="533"/>
      <c r="D133" s="533"/>
      <c r="E133" s="533"/>
      <c r="F133" s="533"/>
      <c r="G133" s="533"/>
      <c r="H133" s="533"/>
      <c r="I133" s="533"/>
      <c r="J133" s="533"/>
      <c r="K133" s="533"/>
      <c r="L133" s="533"/>
      <c r="M133" s="533"/>
      <c r="N133" s="533"/>
      <c r="O133" s="533"/>
      <c r="P133" s="533"/>
      <c r="Q133" s="533"/>
      <c r="R133" s="533"/>
      <c r="S133" s="533"/>
      <c r="T133" s="533"/>
      <c r="U133" s="533"/>
      <c r="V133" s="533"/>
      <c r="W133" s="533"/>
      <c r="X133" s="533"/>
      <c r="Y133" s="533"/>
      <c r="Z133" s="533"/>
      <c r="AA133" s="533"/>
      <c r="AB133" s="533"/>
      <c r="AC133" s="533"/>
    </row>
    <row r="134" spans="1:29" ht="15.75" customHeight="1">
      <c r="A134" s="533"/>
      <c r="B134" s="533"/>
      <c r="C134" s="533"/>
      <c r="D134" s="533"/>
      <c r="E134" s="533"/>
      <c r="F134" s="533"/>
      <c r="G134" s="533"/>
      <c r="H134" s="533"/>
      <c r="I134" s="533"/>
      <c r="J134" s="533"/>
      <c r="K134" s="533"/>
      <c r="L134" s="533"/>
      <c r="M134" s="533"/>
      <c r="N134" s="533"/>
      <c r="O134" s="533"/>
      <c r="P134" s="533"/>
      <c r="Q134" s="533"/>
      <c r="R134" s="533"/>
      <c r="S134" s="533"/>
      <c r="T134" s="533"/>
      <c r="U134" s="533"/>
      <c r="V134" s="533"/>
      <c r="W134" s="533"/>
      <c r="X134" s="533"/>
      <c r="Y134" s="533"/>
      <c r="Z134" s="533"/>
      <c r="AA134" s="533"/>
      <c r="AB134" s="533"/>
      <c r="AC134" s="533"/>
    </row>
    <row r="135" spans="1:29" ht="15.75" customHeight="1">
      <c r="A135" s="533"/>
      <c r="B135" s="533"/>
      <c r="C135" s="533"/>
      <c r="D135" s="533"/>
      <c r="E135" s="533"/>
      <c r="F135" s="533"/>
      <c r="G135" s="533"/>
      <c r="H135" s="533"/>
      <c r="I135" s="533"/>
      <c r="J135" s="533"/>
      <c r="K135" s="533"/>
      <c r="L135" s="533"/>
      <c r="M135" s="533"/>
      <c r="N135" s="533"/>
      <c r="O135" s="533"/>
      <c r="P135" s="533"/>
      <c r="Q135" s="533"/>
      <c r="R135" s="533"/>
      <c r="S135" s="533"/>
      <c r="T135" s="533"/>
      <c r="U135" s="533"/>
      <c r="V135" s="533"/>
      <c r="W135" s="533"/>
      <c r="X135" s="533"/>
      <c r="Y135" s="533"/>
      <c r="Z135" s="533"/>
      <c r="AA135" s="533"/>
      <c r="AB135" s="533"/>
      <c r="AC135" s="533"/>
    </row>
    <row r="136" spans="1:29" ht="15.75" customHeight="1">
      <c r="A136" s="533"/>
      <c r="B136" s="533"/>
      <c r="C136" s="533"/>
      <c r="D136" s="533"/>
      <c r="E136" s="533"/>
      <c r="F136" s="533"/>
      <c r="G136" s="533"/>
      <c r="H136" s="533"/>
      <c r="I136" s="533"/>
      <c r="J136" s="533"/>
      <c r="K136" s="533"/>
      <c r="L136" s="533"/>
      <c r="M136" s="533"/>
      <c r="N136" s="533"/>
      <c r="O136" s="533"/>
      <c r="P136" s="533"/>
      <c r="Q136" s="533"/>
      <c r="R136" s="533"/>
      <c r="S136" s="533"/>
      <c r="T136" s="533"/>
      <c r="U136" s="533"/>
      <c r="V136" s="533"/>
      <c r="W136" s="533"/>
      <c r="X136" s="533"/>
      <c r="Y136" s="533"/>
      <c r="Z136" s="533"/>
      <c r="AA136" s="533"/>
      <c r="AB136" s="533"/>
      <c r="AC136" s="533"/>
    </row>
    <row r="137" spans="1:29" ht="15.75" customHeight="1">
      <c r="A137" s="533"/>
      <c r="B137" s="533"/>
      <c r="C137" s="533"/>
      <c r="D137" s="533"/>
      <c r="E137" s="533"/>
      <c r="F137" s="533"/>
      <c r="G137" s="533"/>
      <c r="H137" s="533"/>
      <c r="I137" s="533"/>
      <c r="J137" s="533"/>
      <c r="K137" s="533"/>
      <c r="L137" s="533"/>
      <c r="M137" s="533"/>
      <c r="N137" s="533"/>
      <c r="O137" s="533"/>
      <c r="P137" s="533"/>
      <c r="Q137" s="533"/>
      <c r="R137" s="533"/>
      <c r="S137" s="533"/>
      <c r="T137" s="533"/>
      <c r="U137" s="533"/>
      <c r="V137" s="533"/>
      <c r="W137" s="533"/>
      <c r="X137" s="533"/>
      <c r="Y137" s="533"/>
      <c r="Z137" s="533"/>
      <c r="AA137" s="533"/>
      <c r="AB137" s="533"/>
      <c r="AC137" s="533"/>
    </row>
    <row r="138" spans="1:29" ht="15.75" customHeight="1">
      <c r="A138" s="533"/>
      <c r="B138" s="533"/>
      <c r="C138" s="533"/>
      <c r="D138" s="533"/>
      <c r="E138" s="533"/>
      <c r="F138" s="533"/>
      <c r="G138" s="533"/>
      <c r="H138" s="533"/>
      <c r="I138" s="533"/>
      <c r="J138" s="533"/>
      <c r="K138" s="533"/>
      <c r="L138" s="533"/>
      <c r="M138" s="533"/>
      <c r="N138" s="533"/>
      <c r="O138" s="533"/>
      <c r="P138" s="533"/>
      <c r="Q138" s="533"/>
      <c r="R138" s="533"/>
      <c r="S138" s="533"/>
      <c r="T138" s="533"/>
      <c r="U138" s="533"/>
      <c r="V138" s="533"/>
      <c r="W138" s="533"/>
      <c r="X138" s="533"/>
      <c r="Y138" s="533"/>
      <c r="Z138" s="533"/>
      <c r="AA138" s="533"/>
      <c r="AB138" s="533"/>
      <c r="AC138" s="533"/>
    </row>
    <row r="139" spans="1:29" ht="15.75" customHeight="1">
      <c r="A139" s="533"/>
      <c r="B139" s="533"/>
      <c r="C139" s="533"/>
      <c r="D139" s="533"/>
      <c r="E139" s="533"/>
      <c r="F139" s="533"/>
      <c r="G139" s="533"/>
      <c r="H139" s="533"/>
      <c r="I139" s="533"/>
      <c r="J139" s="533"/>
      <c r="K139" s="533"/>
      <c r="L139" s="533"/>
      <c r="M139" s="533"/>
      <c r="N139" s="533"/>
      <c r="O139" s="533"/>
      <c r="P139" s="533"/>
      <c r="Q139" s="533"/>
      <c r="R139" s="533"/>
      <c r="S139" s="533"/>
      <c r="T139" s="533"/>
      <c r="U139" s="533"/>
      <c r="V139" s="533"/>
      <c r="W139" s="533"/>
      <c r="X139" s="533"/>
      <c r="Y139" s="533"/>
      <c r="Z139" s="533"/>
      <c r="AA139" s="533"/>
      <c r="AB139" s="533"/>
      <c r="AC139" s="533"/>
    </row>
    <row r="140" spans="1:29" ht="15.75" customHeight="1">
      <c r="A140" s="533"/>
      <c r="B140" s="533"/>
      <c r="C140" s="533"/>
      <c r="D140" s="533"/>
      <c r="E140" s="533"/>
      <c r="F140" s="533"/>
      <c r="G140" s="533"/>
      <c r="H140" s="533"/>
      <c r="I140" s="533"/>
      <c r="J140" s="533"/>
      <c r="K140" s="533"/>
      <c r="L140" s="533"/>
      <c r="M140" s="533"/>
      <c r="N140" s="533"/>
      <c r="O140" s="533"/>
      <c r="P140" s="533"/>
      <c r="Q140" s="533"/>
      <c r="R140" s="533"/>
      <c r="S140" s="533"/>
      <c r="T140" s="533"/>
      <c r="U140" s="533"/>
      <c r="V140" s="533"/>
      <c r="W140" s="533"/>
      <c r="X140" s="533"/>
      <c r="Y140" s="533"/>
      <c r="Z140" s="533"/>
      <c r="AA140" s="533"/>
      <c r="AB140" s="533"/>
      <c r="AC140" s="533"/>
    </row>
    <row r="141" spans="1:29" ht="15.75" customHeight="1">
      <c r="A141" s="533"/>
      <c r="B141" s="533"/>
      <c r="C141" s="533"/>
      <c r="D141" s="533"/>
      <c r="E141" s="533"/>
      <c r="F141" s="533"/>
      <c r="G141" s="533"/>
      <c r="H141" s="533"/>
      <c r="I141" s="533"/>
      <c r="J141" s="533"/>
      <c r="K141" s="533"/>
      <c r="L141" s="533"/>
      <c r="M141" s="533"/>
      <c r="N141" s="533"/>
      <c r="O141" s="533"/>
      <c r="P141" s="533"/>
      <c r="Q141" s="533"/>
      <c r="R141" s="533"/>
      <c r="S141" s="533"/>
      <c r="T141" s="533"/>
      <c r="U141" s="533"/>
      <c r="V141" s="533"/>
      <c r="W141" s="533"/>
      <c r="X141" s="533"/>
      <c r="Y141" s="533"/>
      <c r="Z141" s="533"/>
      <c r="AA141" s="533"/>
      <c r="AB141" s="533"/>
      <c r="AC141" s="533"/>
    </row>
    <row r="142" spans="1:29" ht="15.75" customHeight="1">
      <c r="A142" s="533"/>
      <c r="B142" s="533"/>
      <c r="C142" s="533"/>
      <c r="D142" s="533"/>
      <c r="E142" s="533"/>
      <c r="F142" s="533"/>
      <c r="G142" s="533"/>
      <c r="H142" s="533"/>
      <c r="I142" s="533"/>
      <c r="J142" s="533"/>
      <c r="K142" s="533"/>
      <c r="L142" s="533"/>
      <c r="M142" s="533"/>
      <c r="N142" s="533"/>
      <c r="O142" s="533"/>
      <c r="P142" s="533"/>
      <c r="Q142" s="533"/>
      <c r="R142" s="533"/>
      <c r="S142" s="533"/>
      <c r="T142" s="533"/>
      <c r="U142" s="533"/>
      <c r="V142" s="533"/>
      <c r="W142" s="533"/>
      <c r="X142" s="533"/>
      <c r="Y142" s="533"/>
      <c r="Z142" s="533"/>
      <c r="AA142" s="533"/>
      <c r="AB142" s="533"/>
      <c r="AC142" s="533"/>
    </row>
    <row r="143" spans="1:29" ht="15.75" customHeight="1">
      <c r="A143" s="533"/>
      <c r="B143" s="533"/>
      <c r="C143" s="533"/>
      <c r="D143" s="533"/>
      <c r="E143" s="533"/>
      <c r="F143" s="533"/>
      <c r="G143" s="533"/>
      <c r="H143" s="533"/>
      <c r="I143" s="533"/>
      <c r="J143" s="533"/>
      <c r="K143" s="533"/>
      <c r="L143" s="533"/>
      <c r="M143" s="533"/>
      <c r="N143" s="533"/>
      <c r="O143" s="533"/>
      <c r="P143" s="533"/>
      <c r="Q143" s="533"/>
      <c r="R143" s="533"/>
      <c r="S143" s="533"/>
      <c r="T143" s="533"/>
      <c r="U143" s="533"/>
      <c r="V143" s="533"/>
      <c r="W143" s="533"/>
      <c r="X143" s="533"/>
      <c r="Y143" s="533"/>
      <c r="Z143" s="533"/>
      <c r="AA143" s="533"/>
      <c r="AB143" s="533"/>
      <c r="AC143" s="533"/>
    </row>
    <row r="144" spans="1:29" ht="15.75" customHeight="1">
      <c r="A144" s="533"/>
      <c r="B144" s="533"/>
      <c r="C144" s="533"/>
      <c r="D144" s="533"/>
      <c r="E144" s="533"/>
      <c r="F144" s="533"/>
      <c r="G144" s="533"/>
      <c r="H144" s="533"/>
      <c r="I144" s="533"/>
      <c r="J144" s="533"/>
      <c r="K144" s="533"/>
      <c r="L144" s="533"/>
      <c r="M144" s="533"/>
      <c r="N144" s="533"/>
      <c r="O144" s="533"/>
      <c r="P144" s="533"/>
      <c r="Q144" s="533"/>
      <c r="R144" s="533"/>
      <c r="S144" s="533"/>
      <c r="T144" s="533"/>
      <c r="U144" s="533"/>
      <c r="V144" s="533"/>
      <c r="W144" s="533"/>
      <c r="X144" s="533"/>
      <c r="Y144" s="533"/>
      <c r="Z144" s="533"/>
      <c r="AA144" s="533"/>
      <c r="AB144" s="533"/>
      <c r="AC144" s="533"/>
    </row>
    <row r="145" spans="1:29" ht="15.75" customHeight="1">
      <c r="A145" s="533"/>
      <c r="B145" s="533"/>
      <c r="C145" s="533"/>
      <c r="D145" s="533"/>
      <c r="E145" s="533"/>
      <c r="F145" s="533"/>
      <c r="G145" s="533"/>
      <c r="H145" s="533"/>
      <c r="I145" s="533"/>
      <c r="J145" s="533"/>
      <c r="K145" s="533"/>
      <c r="L145" s="533"/>
      <c r="M145" s="533"/>
      <c r="N145" s="533"/>
      <c r="O145" s="533"/>
      <c r="P145" s="533"/>
      <c r="Q145" s="533"/>
      <c r="R145" s="533"/>
      <c r="S145" s="533"/>
      <c r="T145" s="533"/>
      <c r="U145" s="533"/>
      <c r="V145" s="533"/>
      <c r="W145" s="533"/>
      <c r="X145" s="533"/>
      <c r="Y145" s="533"/>
      <c r="Z145" s="533"/>
      <c r="AA145" s="533"/>
      <c r="AB145" s="533"/>
      <c r="AC145" s="533"/>
    </row>
    <row r="146" spans="1:29" ht="15.75" customHeight="1">
      <c r="A146" s="533"/>
      <c r="B146" s="533"/>
      <c r="C146" s="533"/>
      <c r="D146" s="533"/>
      <c r="E146" s="533"/>
      <c r="F146" s="533"/>
      <c r="G146" s="533"/>
      <c r="H146" s="533"/>
      <c r="I146" s="533"/>
      <c r="J146" s="533"/>
      <c r="K146" s="533"/>
      <c r="L146" s="533"/>
      <c r="M146" s="533"/>
      <c r="N146" s="533"/>
      <c r="O146" s="533"/>
      <c r="P146" s="533"/>
      <c r="Q146" s="533"/>
      <c r="R146" s="533"/>
      <c r="S146" s="533"/>
      <c r="T146" s="533"/>
      <c r="U146" s="533"/>
      <c r="V146" s="533"/>
      <c r="W146" s="533"/>
      <c r="X146" s="533"/>
      <c r="Y146" s="533"/>
      <c r="Z146" s="533"/>
      <c r="AA146" s="533"/>
      <c r="AB146" s="533"/>
      <c r="AC146" s="533"/>
    </row>
    <row r="147" spans="1:29" ht="15.75" customHeight="1">
      <c r="A147" s="533"/>
      <c r="B147" s="533"/>
      <c r="C147" s="533"/>
      <c r="D147" s="533"/>
      <c r="E147" s="533"/>
      <c r="F147" s="533"/>
      <c r="G147" s="533"/>
      <c r="H147" s="533"/>
      <c r="I147" s="533"/>
      <c r="J147" s="533"/>
      <c r="K147" s="533"/>
      <c r="L147" s="533"/>
      <c r="M147" s="533"/>
      <c r="N147" s="533"/>
      <c r="O147" s="533"/>
      <c r="P147" s="533"/>
      <c r="Q147" s="533"/>
      <c r="R147" s="533"/>
      <c r="S147" s="533"/>
      <c r="T147" s="533"/>
      <c r="U147" s="533"/>
      <c r="V147" s="533"/>
      <c r="W147" s="533"/>
      <c r="X147" s="533"/>
      <c r="Y147" s="533"/>
      <c r="Z147" s="533"/>
      <c r="AA147" s="533"/>
      <c r="AB147" s="533"/>
      <c r="AC147" s="533"/>
    </row>
    <row r="148" spans="1:29" ht="15.75" customHeight="1">
      <c r="A148" s="533"/>
      <c r="B148" s="533"/>
      <c r="C148" s="533"/>
      <c r="D148" s="533"/>
      <c r="E148" s="533"/>
      <c r="F148" s="533"/>
      <c r="G148" s="533"/>
      <c r="H148" s="533"/>
      <c r="I148" s="533"/>
      <c r="J148" s="533"/>
      <c r="K148" s="533"/>
      <c r="L148" s="533"/>
      <c r="M148" s="533"/>
      <c r="N148" s="533"/>
      <c r="O148" s="533"/>
      <c r="P148" s="533"/>
      <c r="Q148" s="533"/>
      <c r="R148" s="533"/>
      <c r="S148" s="533"/>
      <c r="T148" s="533"/>
      <c r="U148" s="533"/>
      <c r="V148" s="533"/>
      <c r="W148" s="533"/>
      <c r="X148" s="533"/>
      <c r="Y148" s="533"/>
      <c r="Z148" s="533"/>
      <c r="AA148" s="533"/>
      <c r="AB148" s="533"/>
      <c r="AC148" s="533"/>
    </row>
    <row r="149" spans="1:29" ht="15.75" customHeight="1">
      <c r="A149" s="533"/>
      <c r="B149" s="533"/>
      <c r="C149" s="533"/>
      <c r="D149" s="533"/>
      <c r="E149" s="533"/>
      <c r="F149" s="533"/>
      <c r="G149" s="533"/>
      <c r="H149" s="533"/>
      <c r="I149" s="533"/>
      <c r="J149" s="533"/>
      <c r="K149" s="533"/>
      <c r="L149" s="533"/>
      <c r="M149" s="533"/>
      <c r="N149" s="533"/>
      <c r="O149" s="533"/>
      <c r="P149" s="533"/>
      <c r="Q149" s="533"/>
      <c r="R149" s="533"/>
      <c r="S149" s="533"/>
      <c r="T149" s="533"/>
      <c r="U149" s="533"/>
      <c r="V149" s="533"/>
      <c r="W149" s="533"/>
      <c r="X149" s="533"/>
      <c r="Y149" s="533"/>
      <c r="Z149" s="533"/>
      <c r="AA149" s="533"/>
      <c r="AB149" s="533"/>
      <c r="AC149" s="533"/>
    </row>
    <row r="150" spans="1:29" ht="15.75" customHeight="1">
      <c r="A150" s="533"/>
      <c r="B150" s="533"/>
      <c r="C150" s="533"/>
      <c r="D150" s="533"/>
      <c r="E150" s="533"/>
      <c r="F150" s="533"/>
      <c r="G150" s="533"/>
      <c r="H150" s="533"/>
      <c r="I150" s="533"/>
      <c r="J150" s="533"/>
      <c r="K150" s="533"/>
      <c r="L150" s="533"/>
      <c r="M150" s="533"/>
      <c r="N150" s="533"/>
      <c r="O150" s="533"/>
      <c r="P150" s="533"/>
      <c r="Q150" s="533"/>
      <c r="R150" s="533"/>
      <c r="S150" s="533"/>
      <c r="T150" s="533"/>
      <c r="U150" s="533"/>
      <c r="V150" s="533"/>
      <c r="W150" s="533"/>
      <c r="X150" s="533"/>
      <c r="Y150" s="533"/>
      <c r="Z150" s="533"/>
      <c r="AA150" s="533"/>
      <c r="AB150" s="533"/>
      <c r="AC150" s="533"/>
    </row>
    <row r="151" spans="1:29" ht="15.75" customHeight="1">
      <c r="A151" s="533"/>
      <c r="B151" s="533"/>
      <c r="C151" s="533"/>
      <c r="D151" s="533"/>
      <c r="E151" s="533"/>
      <c r="F151" s="533"/>
      <c r="G151" s="533"/>
      <c r="H151" s="533"/>
      <c r="I151" s="533"/>
      <c r="J151" s="533"/>
      <c r="K151" s="533"/>
      <c r="L151" s="533"/>
      <c r="M151" s="533"/>
      <c r="N151" s="533"/>
      <c r="O151" s="533"/>
      <c r="P151" s="533"/>
      <c r="Q151" s="533"/>
      <c r="R151" s="533"/>
      <c r="S151" s="533"/>
      <c r="T151" s="533"/>
      <c r="U151" s="533"/>
      <c r="V151" s="533"/>
      <c r="W151" s="533"/>
      <c r="X151" s="533"/>
      <c r="Y151" s="533"/>
      <c r="Z151" s="533"/>
      <c r="AA151" s="533"/>
      <c r="AB151" s="533"/>
      <c r="AC151" s="533"/>
    </row>
    <row r="152" spans="1:29" ht="15.75" customHeight="1">
      <c r="A152" s="533"/>
      <c r="B152" s="533"/>
      <c r="C152" s="533"/>
      <c r="D152" s="533"/>
      <c r="E152" s="533"/>
      <c r="F152" s="533"/>
      <c r="G152" s="533"/>
      <c r="H152" s="533"/>
      <c r="I152" s="533"/>
      <c r="J152" s="533"/>
      <c r="K152" s="533"/>
      <c r="L152" s="533"/>
      <c r="M152" s="533"/>
      <c r="N152" s="533"/>
      <c r="O152" s="533"/>
      <c r="P152" s="533"/>
      <c r="Q152" s="533"/>
      <c r="R152" s="533"/>
      <c r="S152" s="533"/>
      <c r="T152" s="533"/>
      <c r="U152" s="533"/>
      <c r="V152" s="533"/>
      <c r="W152" s="533"/>
      <c r="X152" s="533"/>
      <c r="Y152" s="533"/>
      <c r="Z152" s="533"/>
      <c r="AA152" s="533"/>
      <c r="AB152" s="533"/>
      <c r="AC152" s="533"/>
    </row>
    <row r="153" spans="1:29" ht="15.75" customHeight="1">
      <c r="A153" s="533"/>
      <c r="B153" s="533"/>
      <c r="C153" s="533"/>
      <c r="D153" s="533"/>
      <c r="E153" s="533"/>
      <c r="F153" s="533"/>
      <c r="G153" s="533"/>
      <c r="H153" s="533"/>
      <c r="I153" s="533"/>
      <c r="J153" s="533"/>
      <c r="K153" s="533"/>
      <c r="L153" s="533"/>
      <c r="M153" s="533"/>
      <c r="N153" s="533"/>
      <c r="O153" s="533"/>
      <c r="P153" s="533"/>
      <c r="Q153" s="533"/>
      <c r="R153" s="533"/>
      <c r="S153" s="533"/>
      <c r="T153" s="533"/>
      <c r="U153" s="533"/>
      <c r="V153" s="533"/>
      <c r="W153" s="533"/>
      <c r="X153" s="533"/>
      <c r="Y153" s="533"/>
      <c r="Z153" s="533"/>
      <c r="AA153" s="533"/>
      <c r="AB153" s="533"/>
      <c r="AC153" s="533"/>
    </row>
    <row r="154" spans="1:29" ht="15.75" customHeight="1">
      <c r="A154" s="533"/>
      <c r="B154" s="533"/>
      <c r="C154" s="533"/>
      <c r="D154" s="533"/>
      <c r="E154" s="533"/>
      <c r="F154" s="533"/>
      <c r="G154" s="533"/>
      <c r="H154" s="533"/>
      <c r="I154" s="533"/>
      <c r="J154" s="533"/>
      <c r="K154" s="533"/>
      <c r="L154" s="533"/>
      <c r="M154" s="533"/>
      <c r="N154" s="533"/>
      <c r="O154" s="533"/>
      <c r="P154" s="533"/>
      <c r="Q154" s="533"/>
      <c r="R154" s="533"/>
      <c r="S154" s="533"/>
      <c r="T154" s="533"/>
      <c r="U154" s="533"/>
      <c r="V154" s="533"/>
      <c r="W154" s="533"/>
      <c r="X154" s="533"/>
      <c r="Y154" s="533"/>
      <c r="Z154" s="533"/>
      <c r="AA154" s="533"/>
      <c r="AB154" s="533"/>
      <c r="AC154" s="533"/>
    </row>
    <row r="155" spans="1:29" ht="15.75" customHeight="1">
      <c r="A155" s="533"/>
      <c r="B155" s="533"/>
      <c r="C155" s="533"/>
      <c r="D155" s="533"/>
      <c r="E155" s="533"/>
      <c r="F155" s="533"/>
      <c r="G155" s="533"/>
      <c r="H155" s="533"/>
      <c r="I155" s="533"/>
      <c r="J155" s="533"/>
      <c r="K155" s="533"/>
      <c r="L155" s="533"/>
      <c r="M155" s="533"/>
      <c r="N155" s="533"/>
      <c r="O155" s="533"/>
      <c r="P155" s="533"/>
      <c r="Q155" s="533"/>
      <c r="R155" s="533"/>
      <c r="S155" s="533"/>
      <c r="T155" s="533"/>
      <c r="U155" s="533"/>
      <c r="V155" s="533"/>
      <c r="W155" s="533"/>
      <c r="X155" s="533"/>
      <c r="Y155" s="533"/>
      <c r="Z155" s="533"/>
      <c r="AA155" s="533"/>
      <c r="AB155" s="533"/>
      <c r="AC155" s="533"/>
    </row>
    <row r="156" spans="1:29" ht="15.75" customHeight="1">
      <c r="A156" s="533"/>
      <c r="B156" s="533"/>
      <c r="C156" s="533"/>
      <c r="D156" s="533"/>
      <c r="E156" s="533"/>
      <c r="F156" s="533"/>
      <c r="G156" s="533"/>
      <c r="H156" s="533"/>
      <c r="I156" s="533"/>
      <c r="J156" s="533"/>
      <c r="K156" s="533"/>
      <c r="L156" s="533"/>
      <c r="M156" s="533"/>
      <c r="N156" s="533"/>
      <c r="O156" s="533"/>
      <c r="P156" s="533"/>
      <c r="Q156" s="533"/>
      <c r="R156" s="533"/>
      <c r="S156" s="533"/>
      <c r="T156" s="533"/>
      <c r="U156" s="533"/>
      <c r="V156" s="533"/>
      <c r="W156" s="533"/>
      <c r="X156" s="533"/>
      <c r="Y156" s="533"/>
      <c r="Z156" s="533"/>
      <c r="AA156" s="533"/>
      <c r="AB156" s="533"/>
      <c r="AC156" s="533"/>
    </row>
    <row r="157" spans="1:29" ht="15.75" customHeight="1">
      <c r="A157" s="533"/>
      <c r="B157" s="533"/>
      <c r="C157" s="533"/>
      <c r="D157" s="533"/>
      <c r="E157" s="533"/>
      <c r="F157" s="533"/>
      <c r="G157" s="533"/>
      <c r="H157" s="533"/>
      <c r="I157" s="533"/>
      <c r="J157" s="533"/>
      <c r="K157" s="533"/>
      <c r="L157" s="533"/>
      <c r="M157" s="533"/>
      <c r="N157" s="533"/>
      <c r="O157" s="533"/>
      <c r="P157" s="533"/>
      <c r="Q157" s="533"/>
      <c r="R157" s="533"/>
      <c r="S157" s="533"/>
      <c r="T157" s="533"/>
      <c r="U157" s="533"/>
      <c r="V157" s="533"/>
      <c r="W157" s="533"/>
      <c r="X157" s="533"/>
      <c r="Y157" s="533"/>
      <c r="Z157" s="533"/>
      <c r="AA157" s="533"/>
      <c r="AB157" s="533"/>
      <c r="AC157" s="533"/>
    </row>
    <row r="158" spans="1:29" ht="15.75" customHeight="1">
      <c r="A158" s="533"/>
      <c r="B158" s="533"/>
      <c r="C158" s="533"/>
      <c r="D158" s="533"/>
      <c r="E158" s="533"/>
      <c r="F158" s="533"/>
      <c r="G158" s="533"/>
      <c r="H158" s="533"/>
      <c r="I158" s="533"/>
      <c r="J158" s="533"/>
      <c r="K158" s="533"/>
      <c r="L158" s="533"/>
      <c r="M158" s="533"/>
      <c r="N158" s="533"/>
      <c r="O158" s="533"/>
      <c r="P158" s="533"/>
      <c r="Q158" s="533"/>
      <c r="R158" s="533"/>
      <c r="S158" s="533"/>
      <c r="T158" s="533"/>
      <c r="U158" s="533"/>
      <c r="V158" s="533"/>
      <c r="W158" s="533"/>
      <c r="X158" s="533"/>
      <c r="Y158" s="533"/>
      <c r="Z158" s="533"/>
      <c r="AA158" s="533"/>
      <c r="AB158" s="533"/>
      <c r="AC158" s="533"/>
    </row>
    <row r="159" spans="1:29" ht="15.75" customHeight="1">
      <c r="A159" s="533"/>
      <c r="B159" s="533"/>
      <c r="C159" s="533"/>
      <c r="D159" s="533"/>
      <c r="E159" s="533"/>
      <c r="F159" s="533"/>
      <c r="G159" s="533"/>
      <c r="H159" s="533"/>
      <c r="I159" s="533"/>
      <c r="J159" s="533"/>
      <c r="K159" s="533"/>
      <c r="L159" s="533"/>
      <c r="M159" s="533"/>
      <c r="N159" s="533"/>
      <c r="O159" s="533"/>
      <c r="P159" s="533"/>
      <c r="Q159" s="533"/>
      <c r="R159" s="533"/>
      <c r="S159" s="533"/>
      <c r="T159" s="533"/>
      <c r="U159" s="533"/>
      <c r="V159" s="533"/>
      <c r="W159" s="533"/>
      <c r="X159" s="533"/>
      <c r="Y159" s="533"/>
      <c r="Z159" s="533"/>
      <c r="AA159" s="533"/>
      <c r="AB159" s="533"/>
      <c r="AC159" s="533"/>
    </row>
    <row r="160" spans="1:29" ht="15.75" customHeight="1">
      <c r="A160" s="533"/>
      <c r="B160" s="533"/>
      <c r="C160" s="533"/>
      <c r="D160" s="533"/>
      <c r="E160" s="533"/>
      <c r="F160" s="533"/>
      <c r="G160" s="533"/>
      <c r="H160" s="533"/>
      <c r="I160" s="533"/>
      <c r="J160" s="533"/>
      <c r="K160" s="533"/>
      <c r="L160" s="533"/>
      <c r="M160" s="533"/>
      <c r="N160" s="533"/>
      <c r="O160" s="533"/>
      <c r="P160" s="533"/>
      <c r="Q160" s="533"/>
      <c r="R160" s="533"/>
      <c r="S160" s="533"/>
      <c r="T160" s="533"/>
      <c r="U160" s="533"/>
      <c r="V160" s="533"/>
      <c r="W160" s="533"/>
      <c r="X160" s="533"/>
      <c r="Y160" s="533"/>
      <c r="Z160" s="533"/>
      <c r="AA160" s="533"/>
      <c r="AB160" s="533"/>
      <c r="AC160" s="533"/>
    </row>
    <row r="161" spans="1:29" ht="15.75" customHeight="1">
      <c r="A161" s="533"/>
      <c r="B161" s="533"/>
      <c r="C161" s="533"/>
      <c r="D161" s="533"/>
      <c r="E161" s="533"/>
      <c r="F161" s="533"/>
      <c r="G161" s="533"/>
      <c r="H161" s="533"/>
      <c r="I161" s="533"/>
      <c r="J161" s="533"/>
      <c r="K161" s="533"/>
      <c r="L161" s="533"/>
      <c r="M161" s="533"/>
      <c r="N161" s="533"/>
      <c r="O161" s="533"/>
      <c r="P161" s="533"/>
      <c r="Q161" s="533"/>
      <c r="R161" s="533"/>
      <c r="S161" s="533"/>
      <c r="T161" s="533"/>
      <c r="U161" s="533"/>
      <c r="V161" s="533"/>
      <c r="W161" s="533"/>
      <c r="X161" s="533"/>
      <c r="Y161" s="533"/>
      <c r="Z161" s="533"/>
      <c r="AA161" s="533"/>
      <c r="AB161" s="533"/>
      <c r="AC161" s="533"/>
    </row>
    <row r="162" spans="1:29" ht="15.75" customHeight="1">
      <c r="A162" s="533"/>
      <c r="B162" s="533"/>
      <c r="C162" s="533"/>
      <c r="D162" s="533"/>
      <c r="E162" s="533"/>
      <c r="F162" s="533"/>
      <c r="G162" s="533"/>
      <c r="H162" s="533"/>
      <c r="I162" s="533"/>
      <c r="J162" s="533"/>
      <c r="K162" s="533"/>
      <c r="L162" s="533"/>
      <c r="M162" s="533"/>
      <c r="N162" s="533"/>
      <c r="O162" s="533"/>
      <c r="P162" s="533"/>
      <c r="Q162" s="533"/>
      <c r="R162" s="533"/>
      <c r="S162" s="533"/>
      <c r="T162" s="533"/>
      <c r="U162" s="533"/>
      <c r="V162" s="533"/>
      <c r="W162" s="533"/>
      <c r="X162" s="533"/>
      <c r="Y162" s="533"/>
      <c r="Z162" s="533"/>
      <c r="AA162" s="533"/>
      <c r="AB162" s="533"/>
      <c r="AC162" s="533"/>
    </row>
    <row r="163" spans="1:29" ht="15.75" customHeight="1">
      <c r="A163" s="533"/>
      <c r="B163" s="533"/>
      <c r="C163" s="533"/>
      <c r="D163" s="533"/>
      <c r="E163" s="533"/>
      <c r="F163" s="533"/>
      <c r="G163" s="533"/>
      <c r="H163" s="533"/>
      <c r="I163" s="533"/>
      <c r="J163" s="533"/>
      <c r="K163" s="533"/>
      <c r="L163" s="533"/>
      <c r="M163" s="533"/>
      <c r="N163" s="533"/>
      <c r="O163" s="533"/>
      <c r="P163" s="533"/>
      <c r="Q163" s="533"/>
      <c r="R163" s="533"/>
      <c r="S163" s="533"/>
      <c r="T163" s="533"/>
      <c r="U163" s="533"/>
      <c r="V163" s="533"/>
      <c r="W163" s="533"/>
      <c r="X163" s="533"/>
      <c r="Y163" s="533"/>
      <c r="Z163" s="533"/>
      <c r="AA163" s="533"/>
      <c r="AB163" s="533"/>
      <c r="AC163" s="533"/>
    </row>
    <row r="164" spans="1:29" ht="15.75" customHeight="1">
      <c r="A164" s="533"/>
      <c r="B164" s="533"/>
      <c r="C164" s="533"/>
      <c r="D164" s="533"/>
      <c r="E164" s="533"/>
      <c r="F164" s="533"/>
      <c r="G164" s="533"/>
      <c r="H164" s="533"/>
      <c r="I164" s="533"/>
      <c r="J164" s="533"/>
      <c r="K164" s="533"/>
      <c r="L164" s="533"/>
      <c r="M164" s="533"/>
      <c r="N164" s="533"/>
      <c r="O164" s="533"/>
      <c r="P164" s="533"/>
      <c r="Q164" s="533"/>
      <c r="R164" s="533"/>
      <c r="S164" s="533"/>
      <c r="T164" s="533"/>
      <c r="U164" s="533"/>
      <c r="V164" s="533"/>
      <c r="W164" s="533"/>
      <c r="X164" s="533"/>
      <c r="Y164" s="533"/>
      <c r="Z164" s="533"/>
      <c r="AA164" s="533"/>
      <c r="AB164" s="533"/>
      <c r="AC164" s="533"/>
    </row>
    <row r="165" spans="1:29" ht="15.75" customHeight="1">
      <c r="A165" s="533"/>
      <c r="B165" s="533"/>
      <c r="C165" s="533"/>
      <c r="D165" s="533"/>
      <c r="E165" s="533"/>
      <c r="F165" s="533"/>
      <c r="G165" s="533"/>
      <c r="H165" s="533"/>
      <c r="I165" s="533"/>
      <c r="J165" s="533"/>
      <c r="K165" s="533"/>
      <c r="L165" s="533"/>
      <c r="M165" s="533"/>
      <c r="N165" s="533"/>
      <c r="O165" s="533"/>
      <c r="P165" s="533"/>
      <c r="Q165" s="533"/>
      <c r="R165" s="533"/>
      <c r="S165" s="533"/>
      <c r="T165" s="533"/>
      <c r="U165" s="533"/>
      <c r="V165" s="533"/>
      <c r="W165" s="533"/>
      <c r="X165" s="533"/>
      <c r="Y165" s="533"/>
      <c r="Z165" s="533"/>
      <c r="AA165" s="533"/>
      <c r="AB165" s="533"/>
      <c r="AC165" s="533"/>
    </row>
    <row r="166" spans="1:29" ht="15.75" customHeight="1">
      <c r="A166" s="533"/>
      <c r="B166" s="533"/>
      <c r="C166" s="533"/>
      <c r="D166" s="533"/>
      <c r="E166" s="533"/>
      <c r="F166" s="533"/>
      <c r="G166" s="533"/>
      <c r="H166" s="533"/>
      <c r="I166" s="533"/>
      <c r="J166" s="533"/>
      <c r="K166" s="533"/>
      <c r="L166" s="533"/>
      <c r="M166" s="533"/>
      <c r="N166" s="533"/>
      <c r="O166" s="533"/>
      <c r="P166" s="533"/>
      <c r="Q166" s="533"/>
      <c r="R166" s="533"/>
      <c r="S166" s="533"/>
      <c r="T166" s="533"/>
      <c r="U166" s="533"/>
      <c r="V166" s="533"/>
      <c r="W166" s="533"/>
      <c r="X166" s="533"/>
      <c r="Y166" s="533"/>
      <c r="Z166" s="533"/>
      <c r="AA166" s="533"/>
      <c r="AB166" s="533"/>
      <c r="AC166" s="533"/>
    </row>
    <row r="167" spans="1:29" ht="15.75" customHeight="1">
      <c r="A167" s="533"/>
      <c r="B167" s="533"/>
      <c r="C167" s="533"/>
      <c r="D167" s="533"/>
      <c r="E167" s="533"/>
      <c r="F167" s="533"/>
      <c r="G167" s="533"/>
      <c r="H167" s="533"/>
      <c r="I167" s="533"/>
      <c r="J167" s="533"/>
      <c r="K167" s="533"/>
      <c r="L167" s="533"/>
      <c r="M167" s="533"/>
      <c r="N167" s="533"/>
      <c r="O167" s="533"/>
      <c r="P167" s="533"/>
      <c r="Q167" s="533"/>
      <c r="R167" s="533"/>
      <c r="S167" s="533"/>
      <c r="T167" s="533"/>
      <c r="U167" s="533"/>
      <c r="V167" s="533"/>
      <c r="W167" s="533"/>
      <c r="X167" s="533"/>
      <c r="Y167" s="533"/>
      <c r="Z167" s="533"/>
      <c r="AA167" s="533"/>
      <c r="AB167" s="533"/>
      <c r="AC167" s="533"/>
    </row>
    <row r="168" spans="1:29" ht="15.75" customHeight="1">
      <c r="A168" s="533"/>
      <c r="B168" s="533"/>
      <c r="C168" s="533"/>
      <c r="D168" s="533"/>
      <c r="E168" s="533"/>
      <c r="F168" s="533"/>
      <c r="G168" s="533"/>
      <c r="H168" s="533"/>
      <c r="I168" s="533"/>
      <c r="J168" s="533"/>
      <c r="K168" s="533"/>
      <c r="L168" s="533"/>
      <c r="M168" s="533"/>
      <c r="N168" s="533"/>
      <c r="O168" s="533"/>
      <c r="P168" s="533"/>
      <c r="Q168" s="533"/>
      <c r="R168" s="533"/>
      <c r="S168" s="533"/>
      <c r="T168" s="533"/>
      <c r="U168" s="533"/>
      <c r="V168" s="533"/>
      <c r="W168" s="533"/>
      <c r="X168" s="533"/>
      <c r="Y168" s="533"/>
      <c r="Z168" s="533"/>
      <c r="AA168" s="533"/>
      <c r="AB168" s="533"/>
      <c r="AC168" s="533"/>
    </row>
    <row r="169" spans="1:29" ht="15.75" customHeight="1">
      <c r="A169" s="533"/>
      <c r="B169" s="533"/>
      <c r="C169" s="533"/>
      <c r="D169" s="533"/>
      <c r="E169" s="533"/>
      <c r="F169" s="533"/>
      <c r="G169" s="533"/>
      <c r="H169" s="533"/>
      <c r="I169" s="533"/>
      <c r="J169" s="533"/>
      <c r="K169" s="533"/>
      <c r="L169" s="533"/>
      <c r="M169" s="533"/>
      <c r="N169" s="533"/>
      <c r="O169" s="533"/>
      <c r="P169" s="533"/>
      <c r="Q169" s="533"/>
      <c r="R169" s="533"/>
      <c r="S169" s="533"/>
      <c r="T169" s="533"/>
      <c r="U169" s="533"/>
      <c r="V169" s="533"/>
      <c r="W169" s="533"/>
      <c r="X169" s="533"/>
      <c r="Y169" s="533"/>
      <c r="Z169" s="533"/>
      <c r="AA169" s="533"/>
      <c r="AB169" s="533"/>
      <c r="AC169" s="533"/>
    </row>
    <row r="170" spans="1:29" ht="15.75" customHeight="1">
      <c r="A170" s="533"/>
      <c r="B170" s="533"/>
      <c r="C170" s="533"/>
      <c r="D170" s="533"/>
      <c r="E170" s="533"/>
      <c r="F170" s="533"/>
      <c r="G170" s="533"/>
      <c r="H170" s="533"/>
      <c r="I170" s="533"/>
      <c r="J170" s="533"/>
      <c r="K170" s="533"/>
      <c r="L170" s="533"/>
      <c r="M170" s="533"/>
      <c r="N170" s="533"/>
      <c r="O170" s="533"/>
      <c r="P170" s="533"/>
      <c r="Q170" s="533"/>
      <c r="R170" s="533"/>
      <c r="S170" s="533"/>
      <c r="T170" s="533"/>
      <c r="U170" s="533"/>
      <c r="V170" s="533"/>
      <c r="W170" s="533"/>
      <c r="X170" s="533"/>
      <c r="Y170" s="533"/>
      <c r="Z170" s="533"/>
      <c r="AA170" s="533"/>
      <c r="AB170" s="533"/>
      <c r="AC170" s="533"/>
    </row>
    <row r="171" spans="1:29" ht="15.75" customHeight="1">
      <c r="A171" s="533"/>
      <c r="B171" s="533"/>
      <c r="C171" s="533"/>
      <c r="D171" s="533"/>
      <c r="E171" s="533"/>
      <c r="F171" s="533"/>
      <c r="G171" s="533"/>
      <c r="H171" s="533"/>
      <c r="I171" s="533"/>
      <c r="J171" s="533"/>
      <c r="K171" s="533"/>
      <c r="L171" s="533"/>
      <c r="M171" s="533"/>
      <c r="N171" s="533"/>
      <c r="O171" s="533"/>
      <c r="P171" s="533"/>
      <c r="Q171" s="533"/>
      <c r="R171" s="533"/>
      <c r="S171" s="533"/>
      <c r="T171" s="533"/>
      <c r="U171" s="533"/>
      <c r="V171" s="533"/>
      <c r="W171" s="533"/>
      <c r="X171" s="533"/>
      <c r="Y171" s="533"/>
      <c r="Z171" s="533"/>
      <c r="AA171" s="533"/>
      <c r="AB171" s="533"/>
      <c r="AC171" s="533"/>
    </row>
    <row r="172" spans="1:29" ht="15.75" customHeight="1">
      <c r="A172" s="533"/>
      <c r="B172" s="533"/>
      <c r="C172" s="533"/>
      <c r="D172" s="533"/>
      <c r="E172" s="533"/>
      <c r="F172" s="533"/>
      <c r="G172" s="533"/>
      <c r="H172" s="533"/>
      <c r="I172" s="533"/>
      <c r="J172" s="533"/>
      <c r="K172" s="533"/>
      <c r="L172" s="533"/>
      <c r="M172" s="533"/>
      <c r="N172" s="533"/>
      <c r="O172" s="533"/>
      <c r="P172" s="533"/>
      <c r="Q172" s="533"/>
      <c r="R172" s="533"/>
      <c r="S172" s="533"/>
      <c r="T172" s="533"/>
      <c r="U172" s="533"/>
      <c r="V172" s="533"/>
      <c r="W172" s="533"/>
      <c r="X172" s="533"/>
      <c r="Y172" s="533"/>
      <c r="Z172" s="533"/>
      <c r="AA172" s="533"/>
      <c r="AB172" s="533"/>
      <c r="AC172" s="533"/>
    </row>
    <row r="173" spans="1:29" ht="15.75" customHeight="1">
      <c r="A173" s="533"/>
      <c r="B173" s="533"/>
      <c r="C173" s="533"/>
      <c r="D173" s="533"/>
      <c r="E173" s="533"/>
      <c r="F173" s="533"/>
      <c r="G173" s="533"/>
      <c r="H173" s="533"/>
      <c r="I173" s="533"/>
      <c r="J173" s="533"/>
      <c r="K173" s="533"/>
      <c r="L173" s="533"/>
      <c r="M173" s="533"/>
      <c r="N173" s="533"/>
      <c r="O173" s="533"/>
      <c r="P173" s="533"/>
      <c r="Q173" s="533"/>
      <c r="R173" s="533"/>
      <c r="S173" s="533"/>
      <c r="T173" s="533"/>
      <c r="U173" s="533"/>
      <c r="V173" s="533"/>
      <c r="W173" s="533"/>
      <c r="X173" s="533"/>
      <c r="Y173" s="533"/>
      <c r="Z173" s="533"/>
      <c r="AA173" s="533"/>
      <c r="AB173" s="533"/>
      <c r="AC173" s="533"/>
    </row>
    <row r="174" spans="1:29" ht="15.75" customHeight="1">
      <c r="A174" s="533"/>
      <c r="B174" s="533"/>
      <c r="C174" s="533"/>
      <c r="D174" s="533"/>
      <c r="E174" s="533"/>
      <c r="F174" s="533"/>
      <c r="G174" s="533"/>
      <c r="H174" s="533"/>
      <c r="I174" s="533"/>
      <c r="J174" s="533"/>
      <c r="K174" s="533"/>
      <c r="L174" s="533"/>
      <c r="M174" s="533"/>
      <c r="N174" s="533"/>
      <c r="O174" s="533"/>
      <c r="P174" s="533"/>
      <c r="Q174" s="533"/>
      <c r="R174" s="533"/>
      <c r="S174" s="533"/>
      <c r="T174" s="533"/>
      <c r="U174" s="533"/>
      <c r="V174" s="533"/>
      <c r="W174" s="533"/>
      <c r="X174" s="533"/>
      <c r="Y174" s="533"/>
      <c r="Z174" s="533"/>
      <c r="AA174" s="533"/>
      <c r="AB174" s="533"/>
      <c r="AC174" s="533"/>
    </row>
    <row r="175" spans="1:29" ht="15.75" customHeight="1">
      <c r="A175" s="533"/>
      <c r="B175" s="533"/>
      <c r="C175" s="533"/>
      <c r="D175" s="533"/>
      <c r="E175" s="533"/>
      <c r="F175" s="533"/>
      <c r="G175" s="533"/>
      <c r="H175" s="533"/>
      <c r="I175" s="533"/>
      <c r="J175" s="533"/>
      <c r="K175" s="533"/>
      <c r="L175" s="533"/>
      <c r="M175" s="533"/>
      <c r="N175" s="533"/>
      <c r="O175" s="533"/>
      <c r="P175" s="533"/>
      <c r="Q175" s="533"/>
      <c r="R175" s="533"/>
      <c r="S175" s="533"/>
      <c r="T175" s="533"/>
      <c r="U175" s="533"/>
      <c r="V175" s="533"/>
      <c r="W175" s="533"/>
      <c r="X175" s="533"/>
      <c r="Y175" s="533"/>
      <c r="Z175" s="533"/>
      <c r="AA175" s="533"/>
      <c r="AB175" s="533"/>
      <c r="AC175" s="533"/>
    </row>
    <row r="176" spans="1:29" ht="15.75" customHeight="1">
      <c r="A176" s="533"/>
      <c r="B176" s="533"/>
      <c r="C176" s="533"/>
      <c r="D176" s="533"/>
      <c r="E176" s="533"/>
      <c r="F176" s="533"/>
      <c r="G176" s="533"/>
      <c r="H176" s="533"/>
      <c r="I176" s="533"/>
      <c r="J176" s="533"/>
      <c r="K176" s="533"/>
      <c r="L176" s="533"/>
      <c r="M176" s="533"/>
      <c r="N176" s="533"/>
      <c r="O176" s="533"/>
      <c r="P176" s="533"/>
      <c r="Q176" s="533"/>
      <c r="R176" s="533"/>
      <c r="S176" s="533"/>
      <c r="T176" s="533"/>
      <c r="U176" s="533"/>
      <c r="V176" s="533"/>
      <c r="W176" s="533"/>
      <c r="X176" s="533"/>
      <c r="Y176" s="533"/>
      <c r="Z176" s="533"/>
      <c r="AA176" s="533"/>
      <c r="AB176" s="533"/>
      <c r="AC176" s="533"/>
    </row>
    <row r="177" spans="1:29" ht="15.75" customHeight="1">
      <c r="A177" s="533"/>
      <c r="B177" s="533"/>
      <c r="C177" s="533"/>
      <c r="D177" s="533"/>
      <c r="E177" s="533"/>
      <c r="F177" s="533"/>
      <c r="G177" s="533"/>
      <c r="H177" s="533"/>
      <c r="I177" s="533"/>
      <c r="J177" s="533"/>
      <c r="K177" s="533"/>
      <c r="L177" s="533"/>
      <c r="M177" s="533"/>
      <c r="N177" s="533"/>
      <c r="O177" s="533"/>
      <c r="P177" s="533"/>
      <c r="Q177" s="533"/>
      <c r="R177" s="533"/>
      <c r="S177" s="533"/>
      <c r="T177" s="533"/>
      <c r="U177" s="533"/>
      <c r="V177" s="533"/>
      <c r="W177" s="533"/>
      <c r="X177" s="533"/>
      <c r="Y177" s="533"/>
      <c r="Z177" s="533"/>
      <c r="AA177" s="533"/>
      <c r="AB177" s="533"/>
      <c r="AC177" s="533"/>
    </row>
    <row r="178" spans="1:29" ht="15.75" customHeight="1">
      <c r="A178" s="533"/>
      <c r="B178" s="533"/>
      <c r="C178" s="533"/>
      <c r="D178" s="533"/>
      <c r="E178" s="533"/>
      <c r="F178" s="533"/>
      <c r="G178" s="533"/>
      <c r="H178" s="533"/>
      <c r="I178" s="533"/>
      <c r="J178" s="533"/>
      <c r="K178" s="533"/>
      <c r="L178" s="533"/>
      <c r="M178" s="533"/>
      <c r="N178" s="533"/>
      <c r="O178" s="533"/>
      <c r="P178" s="533"/>
      <c r="Q178" s="533"/>
      <c r="R178" s="533"/>
      <c r="S178" s="533"/>
      <c r="T178" s="533"/>
      <c r="U178" s="533"/>
      <c r="V178" s="533"/>
      <c r="W178" s="533"/>
      <c r="X178" s="533"/>
      <c r="Y178" s="533"/>
      <c r="Z178" s="533"/>
      <c r="AA178" s="533"/>
      <c r="AB178" s="533"/>
      <c r="AC178" s="533"/>
    </row>
    <row r="179" spans="1:29" ht="15.75" customHeight="1">
      <c r="A179" s="533"/>
      <c r="B179" s="533"/>
      <c r="C179" s="533"/>
      <c r="D179" s="533"/>
      <c r="E179" s="533"/>
      <c r="F179" s="533"/>
      <c r="G179" s="533"/>
      <c r="H179" s="533"/>
      <c r="I179" s="533"/>
      <c r="J179" s="533"/>
      <c r="K179" s="533"/>
      <c r="L179" s="533"/>
      <c r="M179" s="533"/>
      <c r="N179" s="533"/>
      <c r="O179" s="533"/>
      <c r="P179" s="533"/>
      <c r="Q179" s="533"/>
      <c r="R179" s="533"/>
      <c r="S179" s="533"/>
      <c r="T179" s="533"/>
      <c r="U179" s="533"/>
      <c r="V179" s="533"/>
      <c r="W179" s="533"/>
      <c r="X179" s="533"/>
      <c r="Y179" s="533"/>
      <c r="Z179" s="533"/>
      <c r="AA179" s="533"/>
      <c r="AB179" s="533"/>
      <c r="AC179" s="533"/>
    </row>
    <row r="180" spans="1:29" ht="15.75" customHeight="1">
      <c r="A180" s="533"/>
      <c r="B180" s="533"/>
      <c r="C180" s="533"/>
      <c r="D180" s="533"/>
      <c r="E180" s="533"/>
      <c r="F180" s="533"/>
      <c r="G180" s="533"/>
      <c r="H180" s="533"/>
      <c r="I180" s="533"/>
      <c r="J180" s="533"/>
      <c r="K180" s="533"/>
      <c r="L180" s="533"/>
      <c r="M180" s="533"/>
      <c r="N180" s="533"/>
      <c r="O180" s="533"/>
      <c r="P180" s="533"/>
      <c r="Q180" s="533"/>
      <c r="R180" s="533"/>
      <c r="S180" s="533"/>
      <c r="T180" s="533"/>
      <c r="U180" s="533"/>
      <c r="V180" s="533"/>
      <c r="W180" s="533"/>
      <c r="X180" s="533"/>
      <c r="Y180" s="533"/>
      <c r="Z180" s="533"/>
      <c r="AA180" s="533"/>
      <c r="AB180" s="533"/>
      <c r="AC180" s="533"/>
    </row>
    <row r="181" spans="1:29" ht="15.75" customHeight="1">
      <c r="A181" s="533"/>
      <c r="B181" s="533"/>
      <c r="C181" s="533"/>
      <c r="D181" s="533"/>
      <c r="E181" s="533"/>
      <c r="F181" s="533"/>
      <c r="G181" s="533"/>
      <c r="H181" s="533"/>
      <c r="I181" s="533"/>
      <c r="J181" s="533"/>
      <c r="K181" s="533"/>
      <c r="L181" s="533"/>
      <c r="M181" s="533"/>
      <c r="N181" s="533"/>
      <c r="O181" s="533"/>
      <c r="P181" s="533"/>
      <c r="Q181" s="533"/>
      <c r="R181" s="533"/>
      <c r="S181" s="533"/>
      <c r="T181" s="533"/>
      <c r="U181" s="533"/>
      <c r="V181" s="533"/>
      <c r="W181" s="533"/>
      <c r="X181" s="533"/>
      <c r="Y181" s="533"/>
      <c r="Z181" s="533"/>
      <c r="AA181" s="533"/>
      <c r="AB181" s="533"/>
      <c r="AC181" s="533"/>
    </row>
    <row r="182" spans="1:29" ht="15.75" customHeight="1">
      <c r="A182" s="533"/>
      <c r="B182" s="533"/>
      <c r="C182" s="533"/>
      <c r="D182" s="533"/>
      <c r="E182" s="533"/>
      <c r="F182" s="533"/>
      <c r="G182" s="533"/>
      <c r="H182" s="533"/>
      <c r="I182" s="533"/>
      <c r="J182" s="533"/>
      <c r="K182" s="533"/>
      <c r="L182" s="533"/>
      <c r="M182" s="533"/>
      <c r="N182" s="533"/>
      <c r="O182" s="533"/>
      <c r="P182" s="533"/>
      <c r="Q182" s="533"/>
      <c r="R182" s="533"/>
      <c r="S182" s="533"/>
      <c r="T182" s="533"/>
      <c r="U182" s="533"/>
      <c r="V182" s="533"/>
      <c r="W182" s="533"/>
      <c r="X182" s="533"/>
      <c r="Y182" s="533"/>
      <c r="Z182" s="533"/>
      <c r="AA182" s="533"/>
      <c r="AB182" s="533"/>
      <c r="AC182" s="533"/>
    </row>
    <row r="183" spans="1:29" ht="15.75" customHeight="1">
      <c r="A183" s="533"/>
      <c r="B183" s="533"/>
      <c r="C183" s="533"/>
      <c r="D183" s="533"/>
      <c r="E183" s="533"/>
      <c r="F183" s="533"/>
      <c r="G183" s="533"/>
      <c r="H183" s="533"/>
      <c r="I183" s="533"/>
      <c r="J183" s="533"/>
      <c r="K183" s="533"/>
      <c r="L183" s="533"/>
      <c r="M183" s="533"/>
      <c r="N183" s="533"/>
      <c r="O183" s="533"/>
      <c r="P183" s="533"/>
      <c r="Q183" s="533"/>
      <c r="R183" s="533"/>
      <c r="S183" s="533"/>
      <c r="T183" s="533"/>
      <c r="U183" s="533"/>
      <c r="V183" s="533"/>
      <c r="W183" s="533"/>
      <c r="X183" s="533"/>
      <c r="Y183" s="533"/>
      <c r="Z183" s="533"/>
      <c r="AA183" s="533"/>
      <c r="AB183" s="533"/>
      <c r="AC183" s="533"/>
    </row>
    <row r="184" spans="1:29" ht="15.75" customHeight="1">
      <c r="A184" s="533"/>
      <c r="B184" s="533"/>
      <c r="C184" s="533"/>
      <c r="D184" s="533"/>
      <c r="E184" s="533"/>
      <c r="F184" s="533"/>
      <c r="G184" s="533"/>
      <c r="H184" s="533"/>
      <c r="I184" s="533"/>
      <c r="J184" s="533"/>
      <c r="K184" s="533"/>
      <c r="L184" s="533"/>
      <c r="M184" s="533"/>
      <c r="N184" s="533"/>
      <c r="O184" s="533"/>
      <c r="P184" s="533"/>
      <c r="Q184" s="533"/>
      <c r="R184" s="533"/>
      <c r="S184" s="533"/>
      <c r="T184" s="533"/>
      <c r="U184" s="533"/>
      <c r="V184" s="533"/>
      <c r="W184" s="533"/>
      <c r="X184" s="533"/>
      <c r="Y184" s="533"/>
      <c r="Z184" s="533"/>
      <c r="AA184" s="533"/>
      <c r="AB184" s="533"/>
      <c r="AC184" s="533"/>
    </row>
    <row r="185" spans="1:29" ht="15.75" customHeight="1">
      <c r="A185" s="533"/>
      <c r="B185" s="533"/>
      <c r="C185" s="533"/>
      <c r="D185" s="533"/>
      <c r="E185" s="533"/>
      <c r="F185" s="533"/>
      <c r="G185" s="533"/>
      <c r="H185" s="533"/>
      <c r="I185" s="533"/>
      <c r="J185" s="533"/>
      <c r="K185" s="533"/>
      <c r="L185" s="533"/>
      <c r="M185" s="533"/>
      <c r="N185" s="533"/>
      <c r="O185" s="533"/>
      <c r="P185" s="533"/>
      <c r="Q185" s="533"/>
      <c r="R185" s="533"/>
      <c r="S185" s="533"/>
      <c r="T185" s="533"/>
      <c r="U185" s="533"/>
      <c r="V185" s="533"/>
      <c r="W185" s="533"/>
      <c r="X185" s="533"/>
      <c r="Y185" s="533"/>
      <c r="Z185" s="533"/>
      <c r="AA185" s="533"/>
      <c r="AB185" s="533"/>
      <c r="AC185" s="533"/>
    </row>
    <row r="186" spans="1:29" ht="15.75" customHeight="1">
      <c r="A186" s="533"/>
      <c r="B186" s="533"/>
      <c r="C186" s="533"/>
      <c r="D186" s="533"/>
      <c r="E186" s="533"/>
      <c r="F186" s="533"/>
      <c r="G186" s="533"/>
      <c r="H186" s="533"/>
      <c r="I186" s="533"/>
      <c r="J186" s="533"/>
      <c r="K186" s="533"/>
      <c r="L186" s="533"/>
      <c r="M186" s="533"/>
      <c r="N186" s="533"/>
      <c r="O186" s="533"/>
      <c r="P186" s="533"/>
      <c r="Q186" s="533"/>
      <c r="R186" s="533"/>
      <c r="S186" s="533"/>
      <c r="T186" s="533"/>
      <c r="U186" s="533"/>
      <c r="V186" s="533"/>
      <c r="W186" s="533"/>
      <c r="X186" s="533"/>
      <c r="Y186" s="533"/>
      <c r="Z186" s="533"/>
      <c r="AA186" s="533"/>
      <c r="AB186" s="533"/>
      <c r="AC186" s="533"/>
    </row>
    <row r="187" spans="1:29" ht="15.75" customHeight="1">
      <c r="A187" s="533"/>
      <c r="B187" s="533"/>
      <c r="C187" s="533"/>
      <c r="D187" s="533"/>
      <c r="E187" s="533"/>
      <c r="F187" s="533"/>
      <c r="G187" s="533"/>
      <c r="H187" s="533"/>
      <c r="I187" s="533"/>
      <c r="J187" s="533"/>
      <c r="K187" s="533"/>
      <c r="L187" s="533"/>
      <c r="M187" s="533"/>
      <c r="N187" s="533"/>
      <c r="O187" s="533"/>
      <c r="P187" s="533"/>
      <c r="Q187" s="533"/>
      <c r="R187" s="533"/>
      <c r="S187" s="533"/>
      <c r="T187" s="533"/>
      <c r="U187" s="533"/>
      <c r="V187" s="533"/>
      <c r="W187" s="533"/>
      <c r="X187" s="533"/>
      <c r="Y187" s="533"/>
      <c r="Z187" s="533"/>
      <c r="AA187" s="533"/>
      <c r="AB187" s="533"/>
      <c r="AC187" s="533"/>
    </row>
    <row r="188" spans="1:29" ht="15.75" customHeight="1">
      <c r="A188" s="533"/>
      <c r="B188" s="533"/>
      <c r="C188" s="533"/>
      <c r="D188" s="533"/>
      <c r="E188" s="533"/>
      <c r="F188" s="533"/>
      <c r="G188" s="533"/>
      <c r="H188" s="533"/>
      <c r="I188" s="533"/>
      <c r="J188" s="533"/>
      <c r="K188" s="533"/>
      <c r="L188" s="533"/>
      <c r="M188" s="533"/>
      <c r="N188" s="533"/>
      <c r="O188" s="533"/>
      <c r="P188" s="533"/>
      <c r="Q188" s="533"/>
      <c r="R188" s="533"/>
      <c r="S188" s="533"/>
      <c r="T188" s="533"/>
      <c r="U188" s="533"/>
      <c r="V188" s="533"/>
      <c r="W188" s="533"/>
      <c r="X188" s="533"/>
      <c r="Y188" s="533"/>
      <c r="Z188" s="533"/>
      <c r="AA188" s="533"/>
      <c r="AB188" s="533"/>
      <c r="AC188" s="533"/>
    </row>
    <row r="189" spans="1:29" ht="15.75" customHeight="1">
      <c r="A189" s="533"/>
      <c r="B189" s="533"/>
      <c r="C189" s="533"/>
      <c r="D189" s="533"/>
      <c r="E189" s="533"/>
      <c r="F189" s="533"/>
      <c r="G189" s="533"/>
      <c r="H189" s="533"/>
      <c r="I189" s="533"/>
      <c r="J189" s="533"/>
      <c r="K189" s="533"/>
      <c r="L189" s="533"/>
      <c r="M189" s="533"/>
      <c r="N189" s="533"/>
      <c r="O189" s="533"/>
      <c r="P189" s="533"/>
      <c r="Q189" s="533"/>
      <c r="R189" s="533"/>
      <c r="S189" s="533"/>
      <c r="T189" s="533"/>
      <c r="U189" s="533"/>
      <c r="V189" s="533"/>
      <c r="W189" s="533"/>
      <c r="X189" s="533"/>
      <c r="Y189" s="533"/>
      <c r="Z189" s="533"/>
      <c r="AA189" s="533"/>
      <c r="AB189" s="533"/>
      <c r="AC189" s="533"/>
    </row>
    <row r="190" spans="1:29" ht="15.75" customHeight="1">
      <c r="A190" s="533"/>
      <c r="B190" s="533"/>
      <c r="C190" s="533"/>
      <c r="D190" s="533"/>
      <c r="E190" s="533"/>
      <c r="F190" s="533"/>
      <c r="G190" s="533"/>
      <c r="H190" s="533"/>
      <c r="I190" s="533"/>
      <c r="J190" s="533"/>
      <c r="K190" s="533"/>
      <c r="L190" s="533"/>
      <c r="M190" s="533"/>
      <c r="N190" s="533"/>
      <c r="O190" s="533"/>
      <c r="P190" s="533"/>
      <c r="Q190" s="533"/>
      <c r="R190" s="533"/>
      <c r="S190" s="533"/>
      <c r="T190" s="533"/>
      <c r="U190" s="533"/>
      <c r="V190" s="533"/>
      <c r="W190" s="533"/>
      <c r="X190" s="533"/>
      <c r="Y190" s="533"/>
      <c r="Z190" s="533"/>
      <c r="AA190" s="533"/>
      <c r="AB190" s="533"/>
      <c r="AC190" s="533"/>
    </row>
    <row r="191" spans="1:29" ht="15.75" customHeight="1">
      <c r="A191" s="533"/>
      <c r="B191" s="533"/>
      <c r="C191" s="533"/>
      <c r="D191" s="533"/>
      <c r="E191" s="533"/>
      <c r="F191" s="533"/>
      <c r="G191" s="533"/>
      <c r="H191" s="533"/>
      <c r="I191" s="533"/>
      <c r="J191" s="533"/>
      <c r="K191" s="533"/>
      <c r="L191" s="533"/>
      <c r="M191" s="533"/>
      <c r="N191" s="533"/>
      <c r="O191" s="533"/>
      <c r="P191" s="533"/>
      <c r="Q191" s="533"/>
      <c r="R191" s="533"/>
      <c r="S191" s="533"/>
      <c r="T191" s="533"/>
      <c r="U191" s="533"/>
      <c r="V191" s="533"/>
      <c r="W191" s="533"/>
      <c r="X191" s="533"/>
      <c r="Y191" s="533"/>
      <c r="Z191" s="533"/>
      <c r="AA191" s="533"/>
      <c r="AB191" s="533"/>
      <c r="AC191" s="533"/>
    </row>
    <row r="192" spans="1:29" ht="15.75" customHeight="1">
      <c r="A192" s="533"/>
      <c r="B192" s="533"/>
      <c r="C192" s="533"/>
      <c r="D192" s="533"/>
      <c r="E192" s="533"/>
      <c r="F192" s="533"/>
      <c r="G192" s="533"/>
      <c r="H192" s="533"/>
      <c r="I192" s="533"/>
      <c r="J192" s="533"/>
      <c r="K192" s="533"/>
      <c r="L192" s="533"/>
      <c r="M192" s="533"/>
      <c r="N192" s="533"/>
      <c r="O192" s="533"/>
      <c r="P192" s="533"/>
      <c r="Q192" s="533"/>
      <c r="R192" s="533"/>
      <c r="S192" s="533"/>
      <c r="T192" s="533"/>
      <c r="U192" s="533"/>
      <c r="V192" s="533"/>
      <c r="W192" s="533"/>
      <c r="X192" s="533"/>
      <c r="Y192" s="533"/>
      <c r="Z192" s="533"/>
      <c r="AA192" s="533"/>
      <c r="AB192" s="533"/>
      <c r="AC192" s="533"/>
    </row>
    <row r="193" spans="1:29" ht="15.75" customHeight="1">
      <c r="A193" s="533"/>
      <c r="B193" s="533"/>
      <c r="C193" s="533"/>
      <c r="D193" s="533"/>
      <c r="E193" s="533"/>
      <c r="F193" s="533"/>
      <c r="G193" s="533"/>
      <c r="H193" s="533"/>
      <c r="I193" s="533"/>
      <c r="J193" s="533"/>
      <c r="K193" s="533"/>
      <c r="L193" s="533"/>
      <c r="M193" s="533"/>
      <c r="N193" s="533"/>
      <c r="O193" s="533"/>
      <c r="P193" s="533"/>
      <c r="Q193" s="533"/>
      <c r="R193" s="533"/>
      <c r="S193" s="533"/>
      <c r="T193" s="533"/>
      <c r="U193" s="533"/>
      <c r="V193" s="533"/>
      <c r="W193" s="533"/>
      <c r="X193" s="533"/>
      <c r="Y193" s="533"/>
      <c r="Z193" s="533"/>
      <c r="AA193" s="533"/>
      <c r="AB193" s="533"/>
      <c r="AC193" s="533"/>
    </row>
    <row r="194" spans="1:29" ht="15.75" customHeight="1">
      <c r="A194" s="533"/>
      <c r="B194" s="533"/>
      <c r="C194" s="533"/>
      <c r="D194" s="533"/>
      <c r="E194" s="533"/>
      <c r="F194" s="533"/>
      <c r="G194" s="533"/>
      <c r="H194" s="533"/>
      <c r="I194" s="533"/>
      <c r="J194" s="533"/>
      <c r="K194" s="533"/>
      <c r="L194" s="533"/>
      <c r="M194" s="533"/>
      <c r="N194" s="533"/>
      <c r="O194" s="533"/>
      <c r="P194" s="533"/>
      <c r="Q194" s="533"/>
      <c r="R194" s="533"/>
      <c r="S194" s="533"/>
      <c r="T194" s="533"/>
      <c r="U194" s="533"/>
      <c r="V194" s="533"/>
      <c r="W194" s="533"/>
      <c r="X194" s="533"/>
      <c r="Y194" s="533"/>
      <c r="Z194" s="533"/>
      <c r="AA194" s="533"/>
      <c r="AB194" s="533"/>
      <c r="AC194" s="533"/>
    </row>
    <row r="195" spans="1:29" ht="15.75" customHeight="1">
      <c r="A195" s="533"/>
      <c r="B195" s="533"/>
      <c r="C195" s="533"/>
      <c r="D195" s="533"/>
      <c r="E195" s="533"/>
      <c r="F195" s="533"/>
      <c r="G195" s="533"/>
      <c r="H195" s="533"/>
      <c r="I195" s="533"/>
      <c r="J195" s="533"/>
      <c r="K195" s="533"/>
      <c r="L195" s="533"/>
      <c r="M195" s="533"/>
      <c r="N195" s="533"/>
      <c r="O195" s="533"/>
      <c r="P195" s="533"/>
      <c r="Q195" s="533"/>
      <c r="R195" s="533"/>
      <c r="S195" s="533"/>
      <c r="T195" s="533"/>
      <c r="U195" s="533"/>
      <c r="V195" s="533"/>
      <c r="W195" s="533"/>
      <c r="X195" s="533"/>
      <c r="Y195" s="533"/>
      <c r="Z195" s="533"/>
      <c r="AA195" s="533"/>
      <c r="AB195" s="533"/>
      <c r="AC195" s="533"/>
    </row>
    <row r="196" spans="1:29" ht="15.75" customHeight="1">
      <c r="A196" s="533"/>
      <c r="B196" s="533"/>
      <c r="C196" s="533"/>
      <c r="D196" s="533"/>
      <c r="E196" s="533"/>
      <c r="F196" s="533"/>
      <c r="G196" s="533"/>
      <c r="H196" s="533"/>
      <c r="I196" s="533"/>
      <c r="J196" s="533"/>
      <c r="K196" s="533"/>
      <c r="L196" s="533"/>
      <c r="M196" s="533"/>
      <c r="N196" s="533"/>
      <c r="O196" s="533"/>
      <c r="P196" s="533"/>
      <c r="Q196" s="533"/>
      <c r="R196" s="533"/>
      <c r="S196" s="533"/>
      <c r="T196" s="533"/>
      <c r="U196" s="533"/>
      <c r="V196" s="533"/>
      <c r="W196" s="533"/>
      <c r="X196" s="533"/>
      <c r="Y196" s="533"/>
      <c r="Z196" s="533"/>
      <c r="AA196" s="533"/>
      <c r="AB196" s="533"/>
      <c r="AC196" s="533"/>
    </row>
    <row r="197" spans="1:29" ht="15.75" customHeight="1">
      <c r="A197" s="533"/>
      <c r="B197" s="533"/>
      <c r="C197" s="533"/>
      <c r="D197" s="533"/>
      <c r="E197" s="533"/>
      <c r="F197" s="533"/>
      <c r="G197" s="533"/>
      <c r="H197" s="533"/>
      <c r="I197" s="533"/>
      <c r="J197" s="533"/>
      <c r="K197" s="533"/>
      <c r="L197" s="533"/>
      <c r="M197" s="533"/>
      <c r="N197" s="533"/>
      <c r="O197" s="533"/>
      <c r="P197" s="533"/>
      <c r="Q197" s="533"/>
      <c r="R197" s="533"/>
      <c r="S197" s="533"/>
      <c r="T197" s="533"/>
      <c r="U197" s="533"/>
      <c r="V197" s="533"/>
      <c r="W197" s="533"/>
      <c r="X197" s="533"/>
      <c r="Y197" s="533"/>
      <c r="Z197" s="533"/>
      <c r="AA197" s="533"/>
      <c r="AB197" s="533"/>
      <c r="AC197" s="533"/>
    </row>
    <row r="198" spans="1:29" ht="15.75" customHeight="1">
      <c r="A198" s="533"/>
      <c r="B198" s="533"/>
      <c r="C198" s="533"/>
      <c r="D198" s="533"/>
      <c r="E198" s="533"/>
      <c r="F198" s="533"/>
      <c r="G198" s="533"/>
      <c r="H198" s="533"/>
      <c r="I198" s="533"/>
      <c r="J198" s="533"/>
      <c r="K198" s="533"/>
      <c r="L198" s="533"/>
      <c r="M198" s="533"/>
      <c r="N198" s="533"/>
      <c r="O198" s="533"/>
      <c r="P198" s="533"/>
      <c r="Q198" s="533"/>
      <c r="R198" s="533"/>
      <c r="S198" s="533"/>
      <c r="T198" s="533"/>
      <c r="U198" s="533"/>
      <c r="V198" s="533"/>
      <c r="W198" s="533"/>
      <c r="X198" s="533"/>
      <c r="Y198" s="533"/>
      <c r="Z198" s="533"/>
      <c r="AA198" s="533"/>
      <c r="AB198" s="533"/>
      <c r="AC198" s="533"/>
    </row>
    <row r="199" spans="1:29" ht="15.75" customHeight="1">
      <c r="A199" s="533"/>
      <c r="B199" s="533"/>
      <c r="C199" s="533"/>
      <c r="D199" s="533"/>
      <c r="E199" s="533"/>
      <c r="F199" s="533"/>
      <c r="G199" s="533"/>
      <c r="H199" s="533"/>
      <c r="I199" s="533"/>
      <c r="J199" s="533"/>
      <c r="K199" s="533"/>
      <c r="L199" s="533"/>
      <c r="M199" s="533"/>
      <c r="N199" s="533"/>
      <c r="O199" s="533"/>
      <c r="P199" s="533"/>
      <c r="Q199" s="533"/>
      <c r="R199" s="533"/>
      <c r="S199" s="533"/>
      <c r="T199" s="533"/>
      <c r="U199" s="533"/>
      <c r="V199" s="533"/>
      <c r="W199" s="533"/>
      <c r="X199" s="533"/>
      <c r="Y199" s="533"/>
      <c r="Z199" s="533"/>
      <c r="AA199" s="533"/>
      <c r="AB199" s="533"/>
      <c r="AC199" s="533"/>
    </row>
    <row r="200" spans="1:29" ht="15.75" customHeight="1">
      <c r="A200" s="533"/>
      <c r="B200" s="533"/>
      <c r="C200" s="533"/>
      <c r="D200" s="533"/>
      <c r="E200" s="533"/>
      <c r="F200" s="533"/>
      <c r="G200" s="533"/>
      <c r="H200" s="533"/>
      <c r="I200" s="533"/>
      <c r="J200" s="533"/>
      <c r="K200" s="533"/>
      <c r="L200" s="533"/>
      <c r="M200" s="533"/>
      <c r="N200" s="533"/>
      <c r="O200" s="533"/>
      <c r="P200" s="533"/>
      <c r="Q200" s="533"/>
      <c r="R200" s="533"/>
      <c r="S200" s="533"/>
      <c r="T200" s="533"/>
      <c r="U200" s="533"/>
      <c r="V200" s="533"/>
      <c r="W200" s="533"/>
      <c r="X200" s="533"/>
      <c r="Y200" s="533"/>
      <c r="Z200" s="533"/>
      <c r="AA200" s="533"/>
      <c r="AB200" s="533"/>
      <c r="AC200" s="533"/>
    </row>
    <row r="201" spans="1:29" ht="15.75" customHeight="1">
      <c r="A201" s="533"/>
      <c r="B201" s="533"/>
      <c r="C201" s="533"/>
      <c r="D201" s="533"/>
      <c r="E201" s="533"/>
      <c r="F201" s="533"/>
      <c r="G201" s="533"/>
      <c r="H201" s="533"/>
      <c r="I201" s="533"/>
      <c r="J201" s="533"/>
      <c r="K201" s="533"/>
      <c r="L201" s="533"/>
      <c r="M201" s="533"/>
      <c r="N201" s="533"/>
      <c r="O201" s="533"/>
      <c r="P201" s="533"/>
      <c r="Q201" s="533"/>
      <c r="R201" s="533"/>
      <c r="S201" s="533"/>
      <c r="T201" s="533"/>
      <c r="U201" s="533"/>
      <c r="V201" s="533"/>
      <c r="W201" s="533"/>
      <c r="X201" s="533"/>
      <c r="Y201" s="533"/>
      <c r="Z201" s="533"/>
      <c r="AA201" s="533"/>
      <c r="AB201" s="533"/>
      <c r="AC201" s="533"/>
    </row>
    <row r="202" spans="1:29" ht="15.75" customHeight="1">
      <c r="A202" s="533"/>
      <c r="B202" s="533"/>
      <c r="C202" s="533"/>
      <c r="D202" s="533"/>
      <c r="E202" s="533"/>
      <c r="F202" s="533"/>
      <c r="G202" s="533"/>
      <c r="H202" s="533"/>
      <c r="I202" s="533"/>
      <c r="J202" s="533"/>
      <c r="K202" s="533"/>
      <c r="L202" s="533"/>
      <c r="M202" s="533"/>
      <c r="N202" s="533"/>
      <c r="O202" s="533"/>
      <c r="P202" s="533"/>
      <c r="Q202" s="533"/>
      <c r="R202" s="533"/>
      <c r="S202" s="533"/>
      <c r="T202" s="533"/>
      <c r="U202" s="533"/>
      <c r="V202" s="533"/>
      <c r="W202" s="533"/>
      <c r="X202" s="533"/>
      <c r="Y202" s="533"/>
      <c r="Z202" s="533"/>
      <c r="AA202" s="533"/>
      <c r="AB202" s="533"/>
      <c r="AC202" s="533"/>
    </row>
    <row r="203" spans="1:29" ht="15.75" customHeight="1">
      <c r="A203" s="533"/>
      <c r="B203" s="533"/>
      <c r="C203" s="533"/>
      <c r="D203" s="533"/>
      <c r="E203" s="533"/>
      <c r="F203" s="533"/>
      <c r="G203" s="533"/>
      <c r="H203" s="533"/>
      <c r="I203" s="533"/>
      <c r="J203" s="533"/>
      <c r="K203" s="533"/>
      <c r="L203" s="533"/>
      <c r="M203" s="533"/>
      <c r="N203" s="533"/>
      <c r="O203" s="533"/>
      <c r="P203" s="533"/>
      <c r="Q203" s="533"/>
      <c r="R203" s="533"/>
      <c r="S203" s="533"/>
      <c r="T203" s="533"/>
      <c r="U203" s="533"/>
      <c r="V203" s="533"/>
      <c r="W203" s="533"/>
      <c r="X203" s="533"/>
      <c r="Y203" s="533"/>
      <c r="Z203" s="533"/>
      <c r="AA203" s="533"/>
      <c r="AB203" s="533"/>
      <c r="AC203" s="533"/>
    </row>
    <row r="204" spans="1:29" ht="15.75" customHeight="1">
      <c r="A204" s="533"/>
      <c r="B204" s="533"/>
      <c r="C204" s="533"/>
      <c r="D204" s="533"/>
      <c r="E204" s="533"/>
      <c r="F204" s="533"/>
      <c r="G204" s="533"/>
      <c r="H204" s="533"/>
      <c r="I204" s="533"/>
      <c r="J204" s="533"/>
      <c r="K204" s="533"/>
      <c r="L204" s="533"/>
      <c r="M204" s="533"/>
      <c r="N204" s="533"/>
      <c r="O204" s="533"/>
      <c r="P204" s="533"/>
      <c r="Q204" s="533"/>
      <c r="R204" s="533"/>
      <c r="S204" s="533"/>
      <c r="T204" s="533"/>
      <c r="U204" s="533"/>
      <c r="V204" s="533"/>
      <c r="W204" s="533"/>
      <c r="X204" s="533"/>
      <c r="Y204" s="533"/>
      <c r="Z204" s="533"/>
      <c r="AA204" s="533"/>
      <c r="AB204" s="533"/>
      <c r="AC204" s="533"/>
    </row>
    <row r="205" spans="1:29" ht="15.75" customHeight="1">
      <c r="A205" s="533"/>
      <c r="B205" s="533"/>
      <c r="C205" s="533"/>
      <c r="D205" s="533"/>
      <c r="E205" s="533"/>
      <c r="F205" s="533"/>
      <c r="G205" s="533"/>
      <c r="H205" s="533"/>
      <c r="I205" s="533"/>
      <c r="J205" s="533"/>
      <c r="K205" s="533"/>
      <c r="L205" s="533"/>
      <c r="M205" s="533"/>
      <c r="N205" s="533"/>
      <c r="O205" s="533"/>
      <c r="P205" s="533"/>
      <c r="Q205" s="533"/>
      <c r="R205" s="533"/>
      <c r="S205" s="533"/>
      <c r="T205" s="533"/>
      <c r="U205" s="533"/>
      <c r="V205" s="533"/>
      <c r="W205" s="533"/>
      <c r="X205" s="533"/>
      <c r="Y205" s="533"/>
      <c r="Z205" s="533"/>
      <c r="AA205" s="533"/>
      <c r="AB205" s="533"/>
      <c r="AC205" s="533"/>
    </row>
    <row r="206" spans="1:29" ht="15.75" customHeight="1">
      <c r="A206" s="533"/>
      <c r="B206" s="533"/>
      <c r="C206" s="533"/>
      <c r="D206" s="533"/>
      <c r="E206" s="533"/>
      <c r="F206" s="533"/>
      <c r="G206" s="533"/>
      <c r="H206" s="533"/>
      <c r="I206" s="533"/>
      <c r="J206" s="533"/>
      <c r="K206" s="533"/>
      <c r="L206" s="533"/>
      <c r="M206" s="533"/>
      <c r="N206" s="533"/>
      <c r="O206" s="533"/>
      <c r="P206" s="533"/>
      <c r="Q206" s="533"/>
      <c r="R206" s="533"/>
      <c r="S206" s="533"/>
      <c r="T206" s="533"/>
      <c r="U206" s="533"/>
      <c r="V206" s="533"/>
      <c r="W206" s="533"/>
      <c r="X206" s="533"/>
      <c r="Y206" s="533"/>
      <c r="Z206" s="533"/>
      <c r="AA206" s="533"/>
      <c r="AB206" s="533"/>
      <c r="AC206" s="533"/>
    </row>
    <row r="207" spans="1:29" ht="15.75" customHeight="1">
      <c r="A207" s="533"/>
      <c r="B207" s="533"/>
      <c r="C207" s="533"/>
      <c r="D207" s="533"/>
      <c r="E207" s="533"/>
      <c r="F207" s="533"/>
      <c r="G207" s="533"/>
      <c r="H207" s="533"/>
      <c r="I207" s="533"/>
      <c r="J207" s="533"/>
      <c r="K207" s="533"/>
      <c r="L207" s="533"/>
      <c r="M207" s="533"/>
      <c r="N207" s="533"/>
      <c r="O207" s="533"/>
      <c r="P207" s="533"/>
      <c r="Q207" s="533"/>
      <c r="R207" s="533"/>
      <c r="S207" s="533"/>
      <c r="T207" s="533"/>
      <c r="U207" s="533"/>
      <c r="V207" s="533"/>
      <c r="W207" s="533"/>
      <c r="X207" s="533"/>
      <c r="Y207" s="533"/>
      <c r="Z207" s="533"/>
      <c r="AA207" s="533"/>
      <c r="AB207" s="533"/>
      <c r="AC207" s="533"/>
    </row>
    <row r="208" spans="1:29" ht="15.75" customHeight="1">
      <c r="A208" s="533"/>
      <c r="B208" s="533"/>
      <c r="C208" s="533"/>
      <c r="D208" s="533"/>
      <c r="E208" s="533"/>
      <c r="F208" s="533"/>
      <c r="G208" s="533"/>
      <c r="H208" s="533"/>
      <c r="I208" s="533"/>
      <c r="J208" s="533"/>
      <c r="K208" s="533"/>
      <c r="L208" s="533"/>
      <c r="M208" s="533"/>
      <c r="N208" s="533"/>
      <c r="O208" s="533"/>
      <c r="P208" s="533"/>
      <c r="Q208" s="533"/>
      <c r="R208" s="533"/>
      <c r="S208" s="533"/>
      <c r="T208" s="533"/>
      <c r="U208" s="533"/>
      <c r="V208" s="533"/>
      <c r="W208" s="533"/>
      <c r="X208" s="533"/>
      <c r="Y208" s="533"/>
      <c r="Z208" s="533"/>
      <c r="AA208" s="533"/>
      <c r="AB208" s="533"/>
      <c r="AC208" s="533"/>
    </row>
    <row r="209" spans="1:29" ht="15.75" customHeight="1">
      <c r="A209" s="533"/>
      <c r="B209" s="533"/>
      <c r="C209" s="533"/>
      <c r="D209" s="533"/>
      <c r="E209" s="533"/>
      <c r="F209" s="533"/>
      <c r="G209" s="533"/>
      <c r="H209" s="533"/>
      <c r="I209" s="533"/>
      <c r="J209" s="533"/>
      <c r="K209" s="533"/>
      <c r="L209" s="533"/>
      <c r="M209" s="533"/>
      <c r="N209" s="533"/>
      <c r="O209" s="533"/>
      <c r="P209" s="533"/>
      <c r="Q209" s="533"/>
      <c r="R209" s="533"/>
      <c r="S209" s="533"/>
      <c r="T209" s="533"/>
      <c r="U209" s="533"/>
      <c r="V209" s="533"/>
      <c r="W209" s="533"/>
      <c r="X209" s="533"/>
      <c r="Y209" s="533"/>
      <c r="Z209" s="533"/>
      <c r="AA209" s="533"/>
      <c r="AB209" s="533"/>
      <c r="AC209" s="533"/>
    </row>
    <row r="210" spans="1:29" ht="15.75" customHeight="1">
      <c r="A210" s="533"/>
      <c r="B210" s="533"/>
      <c r="C210" s="533"/>
      <c r="D210" s="533"/>
      <c r="E210" s="533"/>
      <c r="F210" s="533"/>
      <c r="G210" s="533"/>
      <c r="H210" s="533"/>
      <c r="I210" s="533"/>
      <c r="J210" s="533"/>
      <c r="K210" s="533"/>
      <c r="L210" s="533"/>
      <c r="M210" s="533"/>
      <c r="N210" s="533"/>
      <c r="O210" s="533"/>
      <c r="P210" s="533"/>
      <c r="Q210" s="533"/>
      <c r="R210" s="533"/>
      <c r="S210" s="533"/>
      <c r="T210" s="533"/>
      <c r="U210" s="533"/>
      <c r="V210" s="533"/>
      <c r="W210" s="533"/>
      <c r="X210" s="533"/>
      <c r="Y210" s="533"/>
      <c r="Z210" s="533"/>
      <c r="AA210" s="533"/>
      <c r="AB210" s="533"/>
      <c r="AC210" s="533"/>
    </row>
    <row r="211" spans="1:29" ht="15.75" customHeight="1">
      <c r="A211" s="533"/>
      <c r="B211" s="533"/>
      <c r="C211" s="533"/>
      <c r="D211" s="533"/>
      <c r="E211" s="533"/>
      <c r="F211" s="533"/>
      <c r="G211" s="533"/>
      <c r="H211" s="533"/>
      <c r="I211" s="533"/>
      <c r="J211" s="533"/>
      <c r="K211" s="533"/>
      <c r="L211" s="533"/>
      <c r="M211" s="533"/>
      <c r="N211" s="533"/>
      <c r="O211" s="533"/>
      <c r="P211" s="533"/>
      <c r="Q211" s="533"/>
      <c r="R211" s="533"/>
      <c r="S211" s="533"/>
      <c r="T211" s="533"/>
      <c r="U211" s="533"/>
      <c r="V211" s="533"/>
      <c r="W211" s="533"/>
      <c r="X211" s="533"/>
      <c r="Y211" s="533"/>
      <c r="Z211" s="533"/>
      <c r="AA211" s="533"/>
      <c r="AB211" s="533"/>
      <c r="AC211" s="533"/>
    </row>
    <row r="212" spans="1:29" ht="15.75" customHeight="1">
      <c r="A212" s="533"/>
      <c r="B212" s="533"/>
      <c r="C212" s="533"/>
      <c r="D212" s="533"/>
      <c r="E212" s="533"/>
      <c r="F212" s="533"/>
      <c r="G212" s="533"/>
      <c r="H212" s="533"/>
      <c r="I212" s="533"/>
      <c r="J212" s="533"/>
      <c r="K212" s="533"/>
      <c r="L212" s="533"/>
      <c r="M212" s="533"/>
      <c r="N212" s="533"/>
      <c r="O212" s="533"/>
      <c r="P212" s="533"/>
      <c r="Q212" s="533"/>
      <c r="R212" s="533"/>
      <c r="S212" s="533"/>
      <c r="T212" s="533"/>
      <c r="U212" s="533"/>
      <c r="V212" s="533"/>
      <c r="W212" s="533"/>
      <c r="X212" s="533"/>
      <c r="Y212" s="533"/>
      <c r="Z212" s="533"/>
      <c r="AA212" s="533"/>
      <c r="AB212" s="533"/>
      <c r="AC212" s="533"/>
    </row>
    <row r="213" spans="1:29" ht="15.75" customHeight="1">
      <c r="A213" s="533"/>
      <c r="B213" s="533"/>
      <c r="C213" s="533"/>
      <c r="D213" s="533"/>
      <c r="E213" s="533"/>
      <c r="F213" s="533"/>
      <c r="G213" s="533"/>
      <c r="H213" s="533"/>
      <c r="I213" s="533"/>
      <c r="J213" s="533"/>
      <c r="K213" s="533"/>
      <c r="L213" s="533"/>
      <c r="M213" s="533"/>
      <c r="N213" s="533"/>
      <c r="O213" s="533"/>
      <c r="P213" s="533"/>
      <c r="Q213" s="533"/>
      <c r="R213" s="533"/>
      <c r="S213" s="533"/>
      <c r="T213" s="533"/>
      <c r="U213" s="533"/>
      <c r="V213" s="533"/>
      <c r="W213" s="533"/>
      <c r="X213" s="533"/>
      <c r="Y213" s="533"/>
      <c r="Z213" s="533"/>
      <c r="AA213" s="533"/>
      <c r="AB213" s="533"/>
      <c r="AC213" s="533"/>
    </row>
    <row r="214" spans="1:29" ht="15.75" customHeight="1">
      <c r="A214" s="533"/>
      <c r="B214" s="533"/>
      <c r="C214" s="533"/>
      <c r="D214" s="533"/>
      <c r="E214" s="533"/>
      <c r="F214" s="533"/>
      <c r="G214" s="533"/>
      <c r="H214" s="533"/>
      <c r="I214" s="533"/>
      <c r="J214" s="533"/>
      <c r="K214" s="533"/>
      <c r="L214" s="533"/>
      <c r="M214" s="533"/>
      <c r="N214" s="533"/>
      <c r="O214" s="533"/>
      <c r="P214" s="533"/>
      <c r="Q214" s="533"/>
      <c r="R214" s="533"/>
      <c r="S214" s="533"/>
      <c r="T214" s="533"/>
      <c r="U214" s="533"/>
      <c r="V214" s="533"/>
      <c r="W214" s="533"/>
      <c r="X214" s="533"/>
      <c r="Y214" s="533"/>
      <c r="Z214" s="533"/>
      <c r="AA214" s="533"/>
      <c r="AB214" s="533"/>
      <c r="AC214" s="533"/>
    </row>
    <row r="215" spans="1:29" ht="15.75" customHeight="1">
      <c r="A215" s="533"/>
      <c r="B215" s="533"/>
      <c r="C215" s="533"/>
      <c r="D215" s="533"/>
      <c r="E215" s="533"/>
      <c r="F215" s="533"/>
      <c r="G215" s="533"/>
      <c r="H215" s="533"/>
      <c r="I215" s="533"/>
      <c r="J215" s="533"/>
      <c r="K215" s="533"/>
      <c r="L215" s="533"/>
      <c r="M215" s="533"/>
      <c r="N215" s="533"/>
      <c r="O215" s="533"/>
      <c r="P215" s="533"/>
      <c r="Q215" s="533"/>
      <c r="R215" s="533"/>
      <c r="S215" s="533"/>
      <c r="T215" s="533"/>
      <c r="U215" s="533"/>
      <c r="V215" s="533"/>
      <c r="W215" s="533"/>
      <c r="X215" s="533"/>
      <c r="Y215" s="533"/>
      <c r="Z215" s="533"/>
      <c r="AA215" s="533"/>
      <c r="AB215" s="533"/>
      <c r="AC215" s="533"/>
    </row>
    <row r="216" spans="1:29" ht="15.75" customHeight="1">
      <c r="A216" s="533"/>
      <c r="B216" s="533"/>
      <c r="C216" s="533"/>
      <c r="D216" s="533"/>
      <c r="E216" s="533"/>
      <c r="F216" s="533"/>
      <c r="G216" s="533"/>
      <c r="H216" s="533"/>
      <c r="I216" s="533"/>
      <c r="J216" s="533"/>
      <c r="K216" s="533"/>
      <c r="L216" s="533"/>
      <c r="M216" s="533"/>
      <c r="N216" s="533"/>
      <c r="O216" s="533"/>
      <c r="P216" s="533"/>
      <c r="Q216" s="533"/>
      <c r="R216" s="533"/>
      <c r="S216" s="533"/>
      <c r="T216" s="533"/>
      <c r="U216" s="533"/>
      <c r="V216" s="533"/>
      <c r="W216" s="533"/>
      <c r="X216" s="533"/>
      <c r="Y216" s="533"/>
      <c r="Z216" s="533"/>
      <c r="AA216" s="533"/>
      <c r="AB216" s="533"/>
      <c r="AC216" s="533"/>
    </row>
    <row r="217" spans="1:29" ht="15.75" customHeight="1">
      <c r="A217" s="533"/>
      <c r="B217" s="533"/>
      <c r="C217" s="533"/>
      <c r="D217" s="533"/>
      <c r="E217" s="533"/>
      <c r="F217" s="533"/>
      <c r="G217" s="533"/>
      <c r="H217" s="533"/>
      <c r="I217" s="533"/>
      <c r="J217" s="533"/>
      <c r="K217" s="533"/>
      <c r="L217" s="533"/>
      <c r="M217" s="533"/>
      <c r="N217" s="533"/>
      <c r="O217" s="533"/>
      <c r="P217" s="533"/>
      <c r="Q217" s="533"/>
      <c r="R217" s="533"/>
      <c r="S217" s="533"/>
      <c r="T217" s="533"/>
      <c r="U217" s="533"/>
      <c r="V217" s="533"/>
      <c r="W217" s="533"/>
      <c r="X217" s="533"/>
      <c r="Y217" s="533"/>
      <c r="Z217" s="533"/>
      <c r="AA217" s="533"/>
      <c r="AB217" s="533"/>
      <c r="AC217" s="533"/>
    </row>
    <row r="218" spans="1:29" ht="15.75" customHeight="1">
      <c r="A218" s="533"/>
      <c r="B218" s="533"/>
      <c r="C218" s="533"/>
      <c r="D218" s="533"/>
      <c r="E218" s="533"/>
      <c r="F218" s="533"/>
      <c r="G218" s="533"/>
      <c r="H218" s="533"/>
      <c r="I218" s="533"/>
      <c r="J218" s="533"/>
      <c r="K218" s="533"/>
      <c r="L218" s="533"/>
      <c r="M218" s="533"/>
      <c r="N218" s="533"/>
      <c r="O218" s="533"/>
      <c r="P218" s="533"/>
      <c r="Q218" s="533"/>
      <c r="R218" s="533"/>
      <c r="S218" s="533"/>
      <c r="T218" s="533"/>
      <c r="U218" s="533"/>
      <c r="V218" s="533"/>
      <c r="W218" s="533"/>
      <c r="X218" s="533"/>
      <c r="Y218" s="533"/>
      <c r="Z218" s="533"/>
      <c r="AA218" s="533"/>
      <c r="AB218" s="533"/>
      <c r="AC218" s="533"/>
    </row>
    <row r="219" spans="1:29" ht="15.75" customHeight="1">
      <c r="A219" s="533"/>
      <c r="B219" s="533"/>
      <c r="C219" s="533"/>
      <c r="D219" s="533"/>
      <c r="E219" s="533"/>
      <c r="F219" s="533"/>
      <c r="G219" s="533"/>
      <c r="H219" s="533"/>
      <c r="I219" s="533"/>
      <c r="J219" s="533"/>
      <c r="K219" s="533"/>
      <c r="L219" s="533"/>
      <c r="M219" s="533"/>
      <c r="N219" s="533"/>
      <c r="O219" s="533"/>
      <c r="P219" s="533"/>
      <c r="Q219" s="533"/>
      <c r="R219" s="533"/>
      <c r="S219" s="533"/>
      <c r="T219" s="533"/>
      <c r="U219" s="533"/>
      <c r="V219" s="533"/>
      <c r="W219" s="533"/>
      <c r="X219" s="533"/>
      <c r="Y219" s="533"/>
      <c r="Z219" s="533"/>
      <c r="AA219" s="533"/>
      <c r="AB219" s="533"/>
      <c r="AC219" s="533"/>
    </row>
    <row r="220" spans="1:29" ht="15.75" customHeight="1">
      <c r="A220" s="533"/>
      <c r="B220" s="533"/>
      <c r="C220" s="533"/>
      <c r="D220" s="533"/>
      <c r="E220" s="533"/>
      <c r="F220" s="533"/>
      <c r="G220" s="533"/>
      <c r="H220" s="533"/>
      <c r="I220" s="533"/>
      <c r="J220" s="533"/>
      <c r="K220" s="533"/>
      <c r="L220" s="533"/>
      <c r="M220" s="533"/>
      <c r="N220" s="533"/>
      <c r="O220" s="533"/>
      <c r="P220" s="533"/>
      <c r="Q220" s="533"/>
      <c r="R220" s="533"/>
      <c r="S220" s="533"/>
      <c r="T220" s="533"/>
      <c r="U220" s="533"/>
      <c r="V220" s="533"/>
      <c r="W220" s="533"/>
      <c r="X220" s="533"/>
      <c r="Y220" s="533"/>
      <c r="Z220" s="533"/>
      <c r="AA220" s="533"/>
      <c r="AB220" s="533"/>
      <c r="AC220" s="533"/>
    </row>
    <row r="221" spans="1:29" ht="15.75" customHeight="1">
      <c r="A221" s="533"/>
      <c r="B221" s="533"/>
      <c r="C221" s="533"/>
      <c r="D221" s="533"/>
      <c r="E221" s="533"/>
      <c r="F221" s="533"/>
      <c r="G221" s="533"/>
      <c r="H221" s="533"/>
      <c r="I221" s="533"/>
      <c r="J221" s="533"/>
      <c r="K221" s="533"/>
      <c r="L221" s="533"/>
      <c r="M221" s="533"/>
      <c r="N221" s="533"/>
      <c r="O221" s="533"/>
      <c r="P221" s="533"/>
      <c r="Q221" s="533"/>
      <c r="R221" s="533"/>
      <c r="S221" s="533"/>
      <c r="T221" s="533"/>
      <c r="U221" s="533"/>
      <c r="V221" s="533"/>
      <c r="W221" s="533"/>
      <c r="X221" s="533"/>
      <c r="Y221" s="533"/>
      <c r="Z221" s="533"/>
      <c r="AA221" s="533"/>
      <c r="AB221" s="533"/>
      <c r="AC221" s="533"/>
    </row>
    <row r="222" spans="1:29" ht="15.75" customHeight="1">
      <c r="A222" s="533"/>
      <c r="B222" s="533"/>
      <c r="C222" s="533"/>
      <c r="D222" s="533"/>
      <c r="E222" s="533"/>
      <c r="F222" s="533"/>
      <c r="G222" s="533"/>
      <c r="H222" s="533"/>
      <c r="I222" s="533"/>
      <c r="J222" s="533"/>
      <c r="K222" s="533"/>
      <c r="L222" s="533"/>
      <c r="M222" s="533"/>
      <c r="N222" s="533"/>
      <c r="O222" s="533"/>
      <c r="P222" s="533"/>
      <c r="Q222" s="533"/>
      <c r="R222" s="533"/>
      <c r="S222" s="533"/>
      <c r="T222" s="533"/>
      <c r="U222" s="533"/>
      <c r="V222" s="533"/>
      <c r="W222" s="533"/>
      <c r="X222" s="533"/>
      <c r="Y222" s="533"/>
      <c r="Z222" s="533"/>
      <c r="AA222" s="533"/>
      <c r="AB222" s="533"/>
      <c r="AC222" s="533"/>
    </row>
    <row r="223" spans="1:29" ht="15.75" customHeight="1">
      <c r="A223" s="533"/>
      <c r="B223" s="533"/>
      <c r="C223" s="533"/>
      <c r="D223" s="533"/>
      <c r="E223" s="533"/>
      <c r="F223" s="533"/>
      <c r="G223" s="533"/>
      <c r="H223" s="533"/>
      <c r="I223" s="533"/>
      <c r="J223" s="533"/>
      <c r="K223" s="533"/>
      <c r="L223" s="533"/>
      <c r="M223" s="533"/>
      <c r="N223" s="533"/>
      <c r="O223" s="533"/>
      <c r="P223" s="533"/>
      <c r="Q223" s="533"/>
      <c r="R223" s="533"/>
      <c r="S223" s="533"/>
      <c r="T223" s="533"/>
      <c r="U223" s="533"/>
      <c r="V223" s="533"/>
      <c r="W223" s="533"/>
      <c r="X223" s="533"/>
      <c r="Y223" s="533"/>
      <c r="Z223" s="533"/>
      <c r="AA223" s="533"/>
      <c r="AB223" s="533"/>
      <c r="AC223" s="533"/>
    </row>
    <row r="224" spans="1:29" ht="15.75" customHeight="1">
      <c r="A224" s="533"/>
      <c r="B224" s="533"/>
      <c r="C224" s="533"/>
      <c r="D224" s="533"/>
      <c r="E224" s="533"/>
      <c r="F224" s="533"/>
      <c r="G224" s="533"/>
      <c r="H224" s="533"/>
      <c r="I224" s="533"/>
      <c r="J224" s="533"/>
      <c r="K224" s="533"/>
      <c r="L224" s="533"/>
      <c r="M224" s="533"/>
      <c r="N224" s="533"/>
      <c r="O224" s="533"/>
      <c r="P224" s="533"/>
      <c r="Q224" s="533"/>
      <c r="R224" s="533"/>
      <c r="S224" s="533"/>
      <c r="T224" s="533"/>
      <c r="U224" s="533"/>
      <c r="V224" s="533"/>
      <c r="W224" s="533"/>
      <c r="X224" s="533"/>
      <c r="Y224" s="533"/>
      <c r="Z224" s="533"/>
      <c r="AA224" s="533"/>
      <c r="AB224" s="533"/>
      <c r="AC224" s="533"/>
    </row>
    <row r="225" spans="1:29" ht="15.75" customHeight="1">
      <c r="A225" s="533"/>
      <c r="B225" s="533"/>
      <c r="C225" s="533"/>
      <c r="D225" s="533"/>
      <c r="E225" s="533"/>
      <c r="F225" s="533"/>
      <c r="G225" s="533"/>
      <c r="H225" s="533"/>
      <c r="I225" s="533"/>
      <c r="J225" s="533"/>
      <c r="K225" s="533"/>
      <c r="L225" s="533"/>
      <c r="M225" s="533"/>
      <c r="N225" s="533"/>
      <c r="O225" s="533"/>
      <c r="P225" s="533"/>
      <c r="Q225" s="533"/>
      <c r="R225" s="533"/>
      <c r="S225" s="533"/>
      <c r="T225" s="533"/>
      <c r="U225" s="533"/>
      <c r="V225" s="533"/>
      <c r="W225" s="533"/>
      <c r="X225" s="533"/>
      <c r="Y225" s="533"/>
      <c r="Z225" s="533"/>
      <c r="AA225" s="533"/>
      <c r="AB225" s="533"/>
      <c r="AC225" s="533"/>
    </row>
    <row r="226" spans="1:29" ht="15.75" customHeight="1">
      <c r="A226" s="533"/>
      <c r="B226" s="533"/>
      <c r="C226" s="533"/>
      <c r="D226" s="533"/>
      <c r="E226" s="533"/>
      <c r="F226" s="533"/>
      <c r="G226" s="533"/>
      <c r="H226" s="533"/>
      <c r="I226" s="533"/>
      <c r="J226" s="533"/>
      <c r="K226" s="533"/>
      <c r="L226" s="533"/>
      <c r="M226" s="533"/>
      <c r="N226" s="533"/>
      <c r="O226" s="533"/>
      <c r="P226" s="533"/>
      <c r="Q226" s="533"/>
      <c r="R226" s="533"/>
      <c r="S226" s="533"/>
      <c r="T226" s="533"/>
      <c r="U226" s="533"/>
      <c r="V226" s="533"/>
      <c r="W226" s="533"/>
      <c r="X226" s="533"/>
      <c r="Y226" s="533"/>
      <c r="Z226" s="533"/>
      <c r="AA226" s="533"/>
      <c r="AB226" s="533"/>
      <c r="AC226" s="533"/>
    </row>
    <row r="227" spans="1:29" ht="15.75" customHeight="1">
      <c r="A227" s="533"/>
      <c r="B227" s="533"/>
      <c r="C227" s="533"/>
      <c r="D227" s="533"/>
      <c r="E227" s="533"/>
      <c r="F227" s="533"/>
      <c r="G227" s="533"/>
      <c r="H227" s="533"/>
      <c r="I227" s="533"/>
      <c r="J227" s="533"/>
      <c r="K227" s="533"/>
      <c r="L227" s="533"/>
      <c r="M227" s="533"/>
      <c r="N227" s="533"/>
      <c r="O227" s="533"/>
      <c r="P227" s="533"/>
      <c r="Q227" s="533"/>
      <c r="R227" s="533"/>
      <c r="S227" s="533"/>
      <c r="T227" s="533"/>
      <c r="U227" s="533"/>
      <c r="V227" s="533"/>
      <c r="W227" s="533"/>
      <c r="X227" s="533"/>
      <c r="Y227" s="533"/>
      <c r="Z227" s="533"/>
      <c r="AA227" s="533"/>
      <c r="AB227" s="533"/>
      <c r="AC227" s="533"/>
    </row>
    <row r="228" spans="1:29" ht="15.75" customHeight="1">
      <c r="A228" s="533"/>
      <c r="B228" s="533"/>
      <c r="C228" s="533"/>
      <c r="D228" s="533"/>
      <c r="E228" s="533"/>
      <c r="F228" s="533"/>
      <c r="G228" s="533"/>
      <c r="H228" s="533"/>
      <c r="I228" s="533"/>
      <c r="J228" s="533"/>
      <c r="K228" s="533"/>
      <c r="L228" s="533"/>
      <c r="M228" s="533"/>
      <c r="N228" s="533"/>
      <c r="O228" s="533"/>
      <c r="P228" s="533"/>
      <c r="Q228" s="533"/>
      <c r="R228" s="533"/>
      <c r="S228" s="533"/>
      <c r="T228" s="533"/>
      <c r="U228" s="533"/>
      <c r="V228" s="533"/>
      <c r="W228" s="533"/>
      <c r="X228" s="533"/>
      <c r="Y228" s="533"/>
      <c r="Z228" s="533"/>
      <c r="AA228" s="533"/>
      <c r="AB228" s="533"/>
      <c r="AC228" s="533"/>
    </row>
    <row r="229" spans="1:29" ht="15.75" customHeight="1">
      <c r="A229" s="533"/>
      <c r="B229" s="533"/>
      <c r="C229" s="533"/>
      <c r="D229" s="533"/>
      <c r="E229" s="533"/>
      <c r="F229" s="533"/>
      <c r="G229" s="533"/>
      <c r="H229" s="533"/>
      <c r="I229" s="533"/>
      <c r="J229" s="533"/>
      <c r="K229" s="533"/>
      <c r="L229" s="533"/>
      <c r="M229" s="533"/>
      <c r="N229" s="533"/>
      <c r="O229" s="533"/>
      <c r="P229" s="533"/>
      <c r="Q229" s="533"/>
      <c r="R229" s="533"/>
      <c r="S229" s="533"/>
      <c r="T229" s="533"/>
      <c r="U229" s="533"/>
      <c r="V229" s="533"/>
      <c r="W229" s="533"/>
      <c r="X229" s="533"/>
      <c r="Y229" s="533"/>
      <c r="Z229" s="533"/>
      <c r="AA229" s="533"/>
      <c r="AB229" s="533"/>
      <c r="AC229" s="533"/>
    </row>
    <row r="230" spans="1:29" ht="15.75" customHeight="1">
      <c r="A230" s="533"/>
      <c r="B230" s="533"/>
      <c r="C230" s="533"/>
      <c r="D230" s="533"/>
      <c r="E230" s="533"/>
      <c r="F230" s="533"/>
      <c r="G230" s="533"/>
      <c r="H230" s="533"/>
      <c r="I230" s="533"/>
      <c r="J230" s="533"/>
      <c r="K230" s="533"/>
      <c r="L230" s="533"/>
      <c r="M230" s="533"/>
      <c r="N230" s="533"/>
      <c r="O230" s="533"/>
      <c r="P230" s="533"/>
      <c r="Q230" s="533"/>
      <c r="R230" s="533"/>
      <c r="S230" s="533"/>
      <c r="T230" s="533"/>
      <c r="U230" s="533"/>
      <c r="V230" s="533"/>
      <c r="W230" s="533"/>
      <c r="X230" s="533"/>
      <c r="Y230" s="533"/>
      <c r="Z230" s="533"/>
      <c r="AA230" s="533"/>
      <c r="AB230" s="533"/>
      <c r="AC230" s="533"/>
    </row>
    <row r="231" spans="1:29" ht="15.75" customHeight="1">
      <c r="A231" s="533"/>
      <c r="B231" s="533"/>
      <c r="C231" s="533"/>
      <c r="D231" s="533"/>
      <c r="E231" s="533"/>
      <c r="F231" s="533"/>
      <c r="G231" s="533"/>
      <c r="H231" s="533"/>
      <c r="I231" s="533"/>
      <c r="J231" s="533"/>
      <c r="K231" s="533"/>
      <c r="L231" s="533"/>
      <c r="M231" s="533"/>
      <c r="N231" s="533"/>
      <c r="O231" s="533"/>
      <c r="P231" s="533"/>
      <c r="Q231" s="533"/>
      <c r="R231" s="533"/>
      <c r="S231" s="533"/>
      <c r="T231" s="533"/>
      <c r="U231" s="533"/>
      <c r="V231" s="533"/>
      <c r="W231" s="533"/>
      <c r="X231" s="533"/>
      <c r="Y231" s="533"/>
      <c r="Z231" s="533"/>
      <c r="AA231" s="533"/>
      <c r="AB231" s="533"/>
      <c r="AC231" s="533"/>
    </row>
    <row r="232" spans="1:29" ht="15.75" customHeight="1">
      <c r="A232" s="533"/>
      <c r="B232" s="533"/>
      <c r="C232" s="533"/>
      <c r="D232" s="533"/>
      <c r="E232" s="533"/>
      <c r="F232" s="533"/>
      <c r="G232" s="533"/>
      <c r="H232" s="533"/>
      <c r="I232" s="533"/>
      <c r="J232" s="533"/>
      <c r="K232" s="533"/>
      <c r="L232" s="533"/>
      <c r="M232" s="533"/>
      <c r="N232" s="533"/>
      <c r="O232" s="533"/>
      <c r="P232" s="533"/>
      <c r="Q232" s="533"/>
      <c r="R232" s="533"/>
      <c r="S232" s="533"/>
      <c r="T232" s="533"/>
      <c r="U232" s="533"/>
      <c r="V232" s="533"/>
      <c r="W232" s="533"/>
      <c r="X232" s="533"/>
      <c r="Y232" s="533"/>
      <c r="Z232" s="533"/>
      <c r="AA232" s="533"/>
      <c r="AB232" s="533"/>
      <c r="AC232" s="533"/>
    </row>
    <row r="233" spans="1:29" ht="15.75" customHeight="1">
      <c r="A233" s="533"/>
      <c r="B233" s="533"/>
      <c r="C233" s="533"/>
      <c r="D233" s="533"/>
      <c r="E233" s="533"/>
      <c r="F233" s="533"/>
      <c r="G233" s="533"/>
      <c r="H233" s="533"/>
      <c r="I233" s="533"/>
      <c r="J233" s="533"/>
      <c r="K233" s="533"/>
      <c r="L233" s="533"/>
      <c r="M233" s="533"/>
      <c r="N233" s="533"/>
      <c r="O233" s="533"/>
      <c r="P233" s="533"/>
      <c r="Q233" s="533"/>
      <c r="R233" s="533"/>
      <c r="S233" s="533"/>
      <c r="T233" s="533"/>
      <c r="U233" s="533"/>
      <c r="V233" s="533"/>
      <c r="W233" s="533"/>
      <c r="X233" s="533"/>
      <c r="Y233" s="533"/>
      <c r="Z233" s="533"/>
      <c r="AA233" s="533"/>
      <c r="AB233" s="533"/>
      <c r="AC233" s="533"/>
    </row>
    <row r="234" spans="1:29" ht="15.75" customHeight="1">
      <c r="A234" s="533"/>
      <c r="B234" s="533"/>
      <c r="C234" s="533"/>
      <c r="D234" s="533"/>
      <c r="E234" s="533"/>
      <c r="F234" s="533"/>
      <c r="G234" s="533"/>
      <c r="H234" s="533"/>
      <c r="I234" s="533"/>
      <c r="J234" s="533"/>
      <c r="K234" s="533"/>
      <c r="L234" s="533"/>
      <c r="M234" s="533"/>
      <c r="N234" s="533"/>
      <c r="O234" s="533"/>
      <c r="P234" s="533"/>
      <c r="Q234" s="533"/>
      <c r="R234" s="533"/>
      <c r="S234" s="533"/>
      <c r="T234" s="533"/>
      <c r="U234" s="533"/>
      <c r="V234" s="533"/>
      <c r="W234" s="533"/>
      <c r="X234" s="533"/>
      <c r="Y234" s="533"/>
      <c r="Z234" s="533"/>
      <c r="AA234" s="533"/>
      <c r="AB234" s="533"/>
      <c r="AC234" s="533"/>
    </row>
    <row r="235" spans="1:29" ht="15.75" customHeight="1">
      <c r="A235" s="533"/>
      <c r="B235" s="533"/>
      <c r="C235" s="533"/>
      <c r="D235" s="533"/>
      <c r="E235" s="533"/>
      <c r="F235" s="533"/>
      <c r="G235" s="533"/>
      <c r="H235" s="533"/>
      <c r="I235" s="533"/>
      <c r="J235" s="533"/>
      <c r="K235" s="533"/>
      <c r="L235" s="533"/>
      <c r="M235" s="533"/>
      <c r="N235" s="533"/>
      <c r="O235" s="533"/>
      <c r="P235" s="533"/>
      <c r="Q235" s="533"/>
      <c r="R235" s="533"/>
      <c r="S235" s="533"/>
      <c r="T235" s="533"/>
      <c r="U235" s="533"/>
      <c r="V235" s="533"/>
      <c r="W235" s="533"/>
      <c r="X235" s="533"/>
      <c r="Y235" s="533"/>
      <c r="Z235" s="533"/>
      <c r="AA235" s="533"/>
      <c r="AB235" s="533"/>
      <c r="AC235" s="533"/>
    </row>
    <row r="236" spans="1:29" ht="15.75" customHeight="1">
      <c r="A236" s="533"/>
      <c r="B236" s="533"/>
      <c r="C236" s="533"/>
      <c r="D236" s="533"/>
      <c r="E236" s="533"/>
      <c r="F236" s="533"/>
      <c r="G236" s="533"/>
      <c r="H236" s="533"/>
      <c r="I236" s="533"/>
      <c r="J236" s="533"/>
      <c r="K236" s="533"/>
      <c r="L236" s="533"/>
      <c r="M236" s="533"/>
      <c r="N236" s="533"/>
      <c r="O236" s="533"/>
      <c r="P236" s="533"/>
      <c r="Q236" s="533"/>
      <c r="R236" s="533"/>
      <c r="S236" s="533"/>
      <c r="T236" s="533"/>
      <c r="U236" s="533"/>
      <c r="V236" s="533"/>
      <c r="W236" s="533"/>
      <c r="X236" s="533"/>
      <c r="Y236" s="533"/>
      <c r="Z236" s="533"/>
      <c r="AA236" s="533"/>
      <c r="AB236" s="533"/>
      <c r="AC236" s="533"/>
    </row>
    <row r="237" spans="1:29" ht="15.75" customHeight="1">
      <c r="A237" s="533"/>
      <c r="B237" s="533"/>
      <c r="C237" s="533"/>
      <c r="D237" s="533"/>
      <c r="E237" s="533"/>
      <c r="F237" s="533"/>
      <c r="G237" s="533"/>
      <c r="H237" s="533"/>
      <c r="I237" s="533"/>
      <c r="J237" s="533"/>
      <c r="K237" s="533"/>
      <c r="L237" s="533"/>
      <c r="M237" s="533"/>
      <c r="N237" s="533"/>
      <c r="O237" s="533"/>
      <c r="P237" s="533"/>
      <c r="Q237" s="533"/>
      <c r="R237" s="533"/>
      <c r="S237" s="533"/>
      <c r="T237" s="533"/>
      <c r="U237" s="533"/>
      <c r="V237" s="533"/>
      <c r="W237" s="533"/>
      <c r="X237" s="533"/>
      <c r="Y237" s="533"/>
      <c r="Z237" s="533"/>
      <c r="AA237" s="533"/>
      <c r="AB237" s="533"/>
      <c r="AC237" s="533"/>
    </row>
    <row r="238" spans="1:29" ht="15.75" customHeight="1">
      <c r="A238" s="533"/>
      <c r="B238" s="533"/>
      <c r="C238" s="533"/>
      <c r="D238" s="533"/>
      <c r="E238" s="533"/>
      <c r="F238" s="533"/>
      <c r="G238" s="533"/>
      <c r="H238" s="533"/>
      <c r="I238" s="533"/>
      <c r="J238" s="533"/>
      <c r="K238" s="533"/>
      <c r="L238" s="533"/>
      <c r="M238" s="533"/>
      <c r="N238" s="533"/>
      <c r="O238" s="533"/>
      <c r="P238" s="533"/>
      <c r="Q238" s="533"/>
      <c r="R238" s="533"/>
      <c r="S238" s="533"/>
      <c r="T238" s="533"/>
      <c r="U238" s="533"/>
      <c r="V238" s="533"/>
      <c r="W238" s="533"/>
      <c r="X238" s="533"/>
      <c r="Y238" s="533"/>
      <c r="Z238" s="533"/>
      <c r="AA238" s="533"/>
      <c r="AB238" s="533"/>
      <c r="AC238" s="533"/>
    </row>
    <row r="239" spans="1:29" ht="15.75" customHeight="1">
      <c r="A239" s="533"/>
      <c r="B239" s="533"/>
      <c r="C239" s="533"/>
      <c r="D239" s="533"/>
      <c r="E239" s="533"/>
      <c r="F239" s="533"/>
      <c r="G239" s="533"/>
      <c r="H239" s="533"/>
      <c r="I239" s="533"/>
      <c r="J239" s="533"/>
      <c r="K239" s="533"/>
      <c r="L239" s="533"/>
      <c r="M239" s="533"/>
      <c r="N239" s="533"/>
      <c r="O239" s="533"/>
      <c r="P239" s="533"/>
      <c r="Q239" s="533"/>
      <c r="R239" s="533"/>
      <c r="S239" s="533"/>
      <c r="T239" s="533"/>
      <c r="U239" s="533"/>
      <c r="V239" s="533"/>
      <c r="W239" s="533"/>
      <c r="X239" s="533"/>
      <c r="Y239" s="533"/>
      <c r="Z239" s="533"/>
      <c r="AA239" s="533"/>
      <c r="AB239" s="533"/>
      <c r="AC239" s="533"/>
    </row>
    <row r="240" spans="1:29" ht="15.75" customHeight="1">
      <c r="A240" s="533"/>
      <c r="B240" s="533"/>
      <c r="C240" s="533"/>
      <c r="D240" s="533"/>
      <c r="E240" s="533"/>
      <c r="F240" s="533"/>
      <c r="G240" s="533"/>
      <c r="H240" s="533"/>
      <c r="I240" s="533"/>
      <c r="J240" s="533"/>
      <c r="K240" s="533"/>
      <c r="L240" s="533"/>
      <c r="M240" s="533"/>
      <c r="N240" s="533"/>
      <c r="O240" s="533"/>
      <c r="P240" s="533"/>
      <c r="Q240" s="533"/>
      <c r="R240" s="533"/>
      <c r="S240" s="533"/>
      <c r="T240" s="533"/>
      <c r="U240" s="533"/>
      <c r="V240" s="533"/>
      <c r="W240" s="533"/>
      <c r="X240" s="533"/>
      <c r="Y240" s="533"/>
      <c r="Z240" s="533"/>
      <c r="AA240" s="533"/>
      <c r="AB240" s="533"/>
      <c r="AC240" s="533"/>
    </row>
    <row r="241" spans="1:29" ht="15.75" customHeight="1">
      <c r="A241" s="533"/>
      <c r="B241" s="533"/>
      <c r="C241" s="533"/>
      <c r="D241" s="533"/>
      <c r="E241" s="533"/>
      <c r="F241" s="533"/>
      <c r="G241" s="533"/>
      <c r="H241" s="533"/>
      <c r="I241" s="533"/>
      <c r="J241" s="533"/>
      <c r="K241" s="533"/>
      <c r="L241" s="533"/>
      <c r="M241" s="533"/>
      <c r="N241" s="533"/>
      <c r="O241" s="533"/>
      <c r="P241" s="533"/>
      <c r="Q241" s="533"/>
      <c r="R241" s="533"/>
      <c r="S241" s="533"/>
      <c r="T241" s="533"/>
      <c r="U241" s="533"/>
      <c r="V241" s="533"/>
      <c r="W241" s="533"/>
      <c r="X241" s="533"/>
      <c r="Y241" s="533"/>
      <c r="Z241" s="533"/>
      <c r="AA241" s="533"/>
      <c r="AB241" s="533"/>
      <c r="AC241" s="533"/>
    </row>
    <row r="242" spans="1:29" ht="15.75" customHeight="1">
      <c r="A242" s="533"/>
      <c r="B242" s="533"/>
      <c r="C242" s="533"/>
      <c r="D242" s="533"/>
      <c r="E242" s="533"/>
      <c r="F242" s="533"/>
      <c r="G242" s="533"/>
      <c r="H242" s="533"/>
      <c r="I242" s="533"/>
      <c r="J242" s="533"/>
      <c r="K242" s="533"/>
      <c r="L242" s="533"/>
      <c r="M242" s="533"/>
      <c r="N242" s="533"/>
      <c r="O242" s="533"/>
      <c r="P242" s="533"/>
      <c r="Q242" s="533"/>
      <c r="R242" s="533"/>
      <c r="S242" s="533"/>
      <c r="T242" s="533"/>
      <c r="U242" s="533"/>
      <c r="V242" s="533"/>
      <c r="W242" s="533"/>
      <c r="X242" s="533"/>
      <c r="Y242" s="533"/>
      <c r="Z242" s="533"/>
      <c r="AA242" s="533"/>
      <c r="AB242" s="533"/>
      <c r="AC242" s="533"/>
    </row>
    <row r="243" spans="1:29" ht="15.75" customHeight="1">
      <c r="A243" s="533"/>
      <c r="B243" s="533"/>
      <c r="C243" s="533"/>
      <c r="D243" s="533"/>
      <c r="E243" s="533"/>
      <c r="F243" s="533"/>
      <c r="G243" s="533"/>
      <c r="H243" s="533"/>
      <c r="I243" s="533"/>
      <c r="J243" s="533"/>
      <c r="K243" s="533"/>
      <c r="L243" s="533"/>
      <c r="M243" s="533"/>
      <c r="N243" s="533"/>
      <c r="O243" s="533"/>
      <c r="P243" s="533"/>
      <c r="Q243" s="533"/>
      <c r="R243" s="533"/>
      <c r="S243" s="533"/>
      <c r="T243" s="533"/>
      <c r="U243" s="533"/>
      <c r="V243" s="533"/>
      <c r="W243" s="533"/>
      <c r="X243" s="533"/>
      <c r="Y243" s="533"/>
      <c r="Z243" s="533"/>
      <c r="AA243" s="533"/>
      <c r="AB243" s="533"/>
      <c r="AC243" s="533"/>
    </row>
    <row r="244" spans="1:29" ht="15.75" customHeight="1">
      <c r="A244" s="533"/>
      <c r="B244" s="533"/>
      <c r="C244" s="533"/>
      <c r="D244" s="533"/>
      <c r="E244" s="533"/>
      <c r="F244" s="533"/>
      <c r="G244" s="533"/>
      <c r="H244" s="533"/>
      <c r="I244" s="533"/>
      <c r="J244" s="533"/>
      <c r="K244" s="533"/>
      <c r="L244" s="533"/>
      <c r="M244" s="533"/>
      <c r="N244" s="533"/>
      <c r="O244" s="533"/>
      <c r="P244" s="533"/>
      <c r="Q244" s="533"/>
      <c r="R244" s="533"/>
      <c r="S244" s="533"/>
      <c r="T244" s="533"/>
      <c r="U244" s="533"/>
      <c r="V244" s="533"/>
      <c r="W244" s="533"/>
      <c r="X244" s="533"/>
      <c r="Y244" s="533"/>
      <c r="Z244" s="533"/>
      <c r="AA244" s="533"/>
      <c r="AB244" s="533"/>
      <c r="AC244" s="533"/>
    </row>
    <row r="245" spans="1:29" ht="15.75" customHeight="1">
      <c r="A245" s="533"/>
      <c r="B245" s="533"/>
      <c r="C245" s="533"/>
      <c r="D245" s="533"/>
      <c r="E245" s="533"/>
      <c r="F245" s="533"/>
      <c r="G245" s="533"/>
      <c r="H245" s="533"/>
      <c r="I245" s="533"/>
      <c r="J245" s="533"/>
      <c r="K245" s="533"/>
      <c r="L245" s="533"/>
      <c r="M245" s="533"/>
      <c r="N245" s="533"/>
      <c r="O245" s="533"/>
      <c r="P245" s="533"/>
      <c r="Q245" s="533"/>
      <c r="R245" s="533"/>
      <c r="S245" s="533"/>
      <c r="T245" s="533"/>
      <c r="U245" s="533"/>
      <c r="V245" s="533"/>
      <c r="W245" s="533"/>
      <c r="X245" s="533"/>
      <c r="Y245" s="533"/>
      <c r="Z245" s="533"/>
      <c r="AA245" s="533"/>
      <c r="AB245" s="533"/>
      <c r="AC245" s="533"/>
    </row>
    <row r="246" spans="1:29" ht="15.75" customHeight="1">
      <c r="A246" s="533"/>
      <c r="B246" s="533"/>
      <c r="C246" s="533"/>
      <c r="D246" s="533"/>
      <c r="E246" s="533"/>
      <c r="F246" s="533"/>
      <c r="G246" s="533"/>
      <c r="H246" s="533"/>
      <c r="I246" s="533"/>
      <c r="J246" s="533"/>
      <c r="K246" s="533"/>
      <c r="L246" s="533"/>
      <c r="M246" s="533"/>
      <c r="N246" s="533"/>
      <c r="O246" s="533"/>
      <c r="P246" s="533"/>
      <c r="Q246" s="533"/>
      <c r="R246" s="533"/>
      <c r="S246" s="533"/>
      <c r="T246" s="533"/>
      <c r="U246" s="533"/>
      <c r="V246" s="533"/>
      <c r="W246" s="533"/>
      <c r="X246" s="533"/>
      <c r="Y246" s="533"/>
      <c r="Z246" s="533"/>
      <c r="AA246" s="533"/>
      <c r="AB246" s="533"/>
      <c r="AC246" s="533"/>
    </row>
    <row r="247" spans="1:29" ht="15.75" customHeight="1">
      <c r="A247" s="533"/>
      <c r="B247" s="533"/>
      <c r="C247" s="533"/>
      <c r="D247" s="533"/>
      <c r="E247" s="533"/>
      <c r="F247" s="533"/>
      <c r="G247" s="533"/>
      <c r="H247" s="533"/>
      <c r="I247" s="533"/>
      <c r="J247" s="533"/>
      <c r="K247" s="533"/>
      <c r="L247" s="533"/>
      <c r="M247" s="533"/>
      <c r="N247" s="533"/>
      <c r="O247" s="533"/>
      <c r="P247" s="533"/>
      <c r="Q247" s="533"/>
      <c r="R247" s="533"/>
      <c r="S247" s="533"/>
      <c r="T247" s="533"/>
      <c r="U247" s="533"/>
      <c r="V247" s="533"/>
      <c r="W247" s="533"/>
      <c r="X247" s="533"/>
      <c r="Y247" s="533"/>
      <c r="Z247" s="533"/>
      <c r="AA247" s="533"/>
      <c r="AB247" s="533"/>
      <c r="AC247" s="533"/>
    </row>
    <row r="248" spans="1:29" ht="15.75" customHeight="1">
      <c r="A248" s="533"/>
      <c r="B248" s="533"/>
      <c r="C248" s="533"/>
      <c r="D248" s="533"/>
      <c r="E248" s="533"/>
      <c r="F248" s="533"/>
      <c r="G248" s="533"/>
      <c r="H248" s="533"/>
      <c r="I248" s="533"/>
      <c r="J248" s="533"/>
      <c r="K248" s="533"/>
      <c r="L248" s="533"/>
      <c r="M248" s="533"/>
      <c r="N248" s="533"/>
      <c r="O248" s="533"/>
      <c r="P248" s="533"/>
      <c r="Q248" s="533"/>
      <c r="R248" s="533"/>
      <c r="S248" s="533"/>
      <c r="T248" s="533"/>
      <c r="U248" s="533"/>
      <c r="V248" s="533"/>
      <c r="W248" s="533"/>
      <c r="X248" s="533"/>
      <c r="Y248" s="533"/>
      <c r="Z248" s="533"/>
      <c r="AA248" s="533"/>
      <c r="AB248" s="533"/>
      <c r="AC248" s="533"/>
    </row>
    <row r="249" spans="1:29" ht="15.75" customHeight="1">
      <c r="A249" s="533"/>
      <c r="B249" s="533"/>
      <c r="C249" s="533"/>
      <c r="D249" s="533"/>
      <c r="E249" s="533"/>
      <c r="F249" s="533"/>
      <c r="G249" s="533"/>
      <c r="H249" s="533"/>
      <c r="I249" s="533"/>
      <c r="J249" s="533"/>
      <c r="K249" s="533"/>
      <c r="L249" s="533"/>
      <c r="M249" s="533"/>
      <c r="N249" s="533"/>
      <c r="O249" s="533"/>
      <c r="P249" s="533"/>
      <c r="Q249" s="533"/>
      <c r="R249" s="533"/>
      <c r="S249" s="533"/>
      <c r="T249" s="533"/>
      <c r="U249" s="533"/>
      <c r="V249" s="533"/>
      <c r="W249" s="533"/>
      <c r="X249" s="533"/>
      <c r="Y249" s="533"/>
      <c r="Z249" s="533"/>
      <c r="AA249" s="533"/>
      <c r="AB249" s="533"/>
      <c r="AC249" s="533"/>
    </row>
    <row r="250" spans="1:29" ht="15.75" customHeight="1">
      <c r="A250" s="533"/>
      <c r="B250" s="533"/>
      <c r="C250" s="533"/>
      <c r="D250" s="533"/>
      <c r="E250" s="533"/>
      <c r="F250" s="533"/>
      <c r="G250" s="533"/>
      <c r="H250" s="533"/>
      <c r="I250" s="533"/>
      <c r="J250" s="533"/>
      <c r="K250" s="533"/>
      <c r="L250" s="533"/>
      <c r="M250" s="533"/>
      <c r="N250" s="533"/>
      <c r="O250" s="533"/>
      <c r="P250" s="533"/>
      <c r="Q250" s="533"/>
      <c r="R250" s="533"/>
      <c r="S250" s="533"/>
      <c r="T250" s="533"/>
      <c r="U250" s="533"/>
      <c r="V250" s="533"/>
      <c r="W250" s="533"/>
      <c r="X250" s="533"/>
      <c r="Y250" s="533"/>
      <c r="Z250" s="533"/>
      <c r="AA250" s="533"/>
      <c r="AB250" s="533"/>
      <c r="AC250" s="533"/>
    </row>
    <row r="251" spans="1:29" ht="15.75" customHeight="1">
      <c r="A251" s="533"/>
      <c r="B251" s="533"/>
      <c r="C251" s="533"/>
      <c r="D251" s="533"/>
      <c r="E251" s="533"/>
      <c r="F251" s="533"/>
      <c r="G251" s="533"/>
      <c r="H251" s="533"/>
      <c r="I251" s="533"/>
      <c r="J251" s="533"/>
      <c r="K251" s="533"/>
      <c r="L251" s="533"/>
      <c r="M251" s="533"/>
      <c r="N251" s="533"/>
      <c r="O251" s="533"/>
      <c r="P251" s="533"/>
      <c r="Q251" s="533"/>
      <c r="R251" s="533"/>
      <c r="S251" s="533"/>
      <c r="T251" s="533"/>
      <c r="U251" s="533"/>
      <c r="V251" s="533"/>
      <c r="W251" s="533"/>
      <c r="X251" s="533"/>
      <c r="Y251" s="533"/>
      <c r="Z251" s="533"/>
      <c r="AA251" s="533"/>
      <c r="AB251" s="533"/>
      <c r="AC251" s="533"/>
    </row>
    <row r="252" spans="1:29" ht="15.75" customHeight="1">
      <c r="A252" s="533"/>
      <c r="B252" s="533"/>
      <c r="C252" s="533"/>
      <c r="D252" s="533"/>
      <c r="E252" s="533"/>
      <c r="F252" s="533"/>
      <c r="G252" s="533"/>
      <c r="H252" s="533"/>
      <c r="I252" s="533"/>
      <c r="J252" s="533"/>
      <c r="K252" s="533"/>
      <c r="L252" s="533"/>
      <c r="M252" s="533"/>
      <c r="N252" s="533"/>
      <c r="O252" s="533"/>
      <c r="P252" s="533"/>
      <c r="Q252" s="533"/>
      <c r="R252" s="533"/>
      <c r="S252" s="533"/>
      <c r="T252" s="533"/>
      <c r="U252" s="533"/>
      <c r="V252" s="533"/>
      <c r="W252" s="533"/>
      <c r="X252" s="533"/>
      <c r="Y252" s="533"/>
      <c r="Z252" s="533"/>
      <c r="AA252" s="533"/>
      <c r="AB252" s="533"/>
      <c r="AC252" s="533"/>
    </row>
    <row r="253" spans="1:29" ht="15.75" customHeight="1">
      <c r="A253" s="533"/>
      <c r="B253" s="533"/>
      <c r="C253" s="533"/>
      <c r="D253" s="533"/>
      <c r="E253" s="533"/>
      <c r="F253" s="533"/>
      <c r="G253" s="533"/>
      <c r="H253" s="533"/>
      <c r="I253" s="533"/>
      <c r="J253" s="533"/>
      <c r="K253" s="533"/>
      <c r="L253" s="533"/>
      <c r="M253" s="533"/>
      <c r="N253" s="533"/>
      <c r="O253" s="533"/>
      <c r="P253" s="533"/>
      <c r="Q253" s="533"/>
      <c r="R253" s="533"/>
      <c r="S253" s="533"/>
      <c r="T253" s="533"/>
      <c r="U253" s="533"/>
      <c r="V253" s="533"/>
      <c r="W253" s="533"/>
      <c r="X253" s="533"/>
      <c r="Y253" s="533"/>
      <c r="Z253" s="533"/>
      <c r="AA253" s="533"/>
      <c r="AB253" s="533"/>
      <c r="AC253" s="533"/>
    </row>
    <row r="254" spans="1:29" ht="15.75" customHeight="1">
      <c r="A254" s="533"/>
      <c r="B254" s="533"/>
      <c r="C254" s="533"/>
      <c r="D254" s="533"/>
      <c r="E254" s="533"/>
      <c r="F254" s="533"/>
      <c r="G254" s="533"/>
      <c r="H254" s="533"/>
      <c r="I254" s="533"/>
      <c r="J254" s="533"/>
      <c r="K254" s="533"/>
      <c r="L254" s="533"/>
      <c r="M254" s="533"/>
      <c r="N254" s="533"/>
      <c r="O254" s="533"/>
      <c r="P254" s="533"/>
      <c r="Q254" s="533"/>
      <c r="R254" s="533"/>
      <c r="S254" s="533"/>
      <c r="T254" s="533"/>
      <c r="U254" s="533"/>
      <c r="V254" s="533"/>
      <c r="W254" s="533"/>
      <c r="X254" s="533"/>
      <c r="Y254" s="533"/>
      <c r="Z254" s="533"/>
      <c r="AA254" s="533"/>
      <c r="AB254" s="533"/>
      <c r="AC254" s="533"/>
    </row>
    <row r="255" spans="1:29" ht="15.75" customHeight="1">
      <c r="A255" s="533"/>
      <c r="B255" s="533"/>
      <c r="C255" s="533"/>
      <c r="D255" s="533"/>
      <c r="E255" s="533"/>
      <c r="F255" s="533"/>
      <c r="G255" s="533"/>
      <c r="H255" s="533"/>
      <c r="I255" s="533"/>
      <c r="J255" s="533"/>
      <c r="K255" s="533"/>
      <c r="L255" s="533"/>
      <c r="M255" s="533"/>
      <c r="N255" s="533"/>
      <c r="O255" s="533"/>
      <c r="P255" s="533"/>
      <c r="Q255" s="533"/>
      <c r="R255" s="533"/>
      <c r="S255" s="533"/>
      <c r="T255" s="533"/>
      <c r="U255" s="533"/>
      <c r="V255" s="533"/>
      <c r="W255" s="533"/>
      <c r="X255" s="533"/>
      <c r="Y255" s="533"/>
      <c r="Z255" s="533"/>
      <c r="AA255" s="533"/>
      <c r="AB255" s="533"/>
      <c r="AC255" s="533"/>
    </row>
    <row r="256" spans="1:29" ht="15.75" customHeight="1">
      <c r="A256" s="533"/>
      <c r="B256" s="533"/>
      <c r="C256" s="533"/>
      <c r="D256" s="533"/>
      <c r="E256" s="533"/>
      <c r="F256" s="533"/>
      <c r="G256" s="533"/>
      <c r="H256" s="533"/>
      <c r="I256" s="533"/>
      <c r="J256" s="533"/>
      <c r="K256" s="533"/>
      <c r="L256" s="533"/>
      <c r="M256" s="533"/>
      <c r="N256" s="533"/>
      <c r="O256" s="533"/>
      <c r="P256" s="533"/>
      <c r="Q256" s="533"/>
      <c r="R256" s="533"/>
      <c r="S256" s="533"/>
      <c r="T256" s="533"/>
      <c r="U256" s="533"/>
      <c r="V256" s="533"/>
      <c r="W256" s="533"/>
      <c r="X256" s="533"/>
      <c r="Y256" s="533"/>
      <c r="Z256" s="533"/>
      <c r="AA256" s="533"/>
      <c r="AB256" s="533"/>
      <c r="AC256" s="533"/>
    </row>
    <row r="257" spans="1:29" ht="15.75" customHeight="1">
      <c r="A257" s="533"/>
      <c r="B257" s="533"/>
      <c r="C257" s="533"/>
      <c r="D257" s="533"/>
      <c r="E257" s="533"/>
      <c r="F257" s="533"/>
      <c r="G257" s="533"/>
      <c r="H257" s="533"/>
      <c r="I257" s="533"/>
      <c r="J257" s="533"/>
      <c r="K257" s="533"/>
      <c r="L257" s="533"/>
      <c r="M257" s="533"/>
      <c r="N257" s="533"/>
      <c r="O257" s="533"/>
      <c r="P257" s="533"/>
      <c r="Q257" s="533"/>
      <c r="R257" s="533"/>
      <c r="S257" s="533"/>
      <c r="T257" s="533"/>
      <c r="U257" s="533"/>
      <c r="V257" s="533"/>
      <c r="W257" s="533"/>
      <c r="X257" s="533"/>
      <c r="Y257" s="533"/>
      <c r="Z257" s="533"/>
      <c r="AA257" s="533"/>
      <c r="AB257" s="533"/>
      <c r="AC257" s="533"/>
    </row>
    <row r="258" spans="1:29" ht="15.75" customHeight="1">
      <c r="A258" s="533"/>
      <c r="B258" s="533"/>
      <c r="C258" s="533"/>
      <c r="D258" s="533"/>
      <c r="E258" s="533"/>
      <c r="F258" s="533"/>
      <c r="G258" s="533"/>
      <c r="H258" s="533"/>
      <c r="I258" s="533"/>
      <c r="J258" s="533"/>
      <c r="K258" s="533"/>
      <c r="L258" s="533"/>
      <c r="M258" s="533"/>
      <c r="N258" s="533"/>
      <c r="O258" s="533"/>
      <c r="P258" s="533"/>
      <c r="Q258" s="533"/>
      <c r="R258" s="533"/>
      <c r="S258" s="533"/>
      <c r="T258" s="533"/>
      <c r="U258" s="533"/>
      <c r="V258" s="533"/>
      <c r="W258" s="533"/>
      <c r="X258" s="533"/>
      <c r="Y258" s="533"/>
      <c r="Z258" s="533"/>
      <c r="AA258" s="533"/>
      <c r="AB258" s="533"/>
      <c r="AC258" s="533"/>
    </row>
    <row r="259" spans="1:29" ht="15.75" customHeight="1">
      <c r="A259" s="533"/>
      <c r="B259" s="533"/>
      <c r="C259" s="533"/>
      <c r="D259" s="533"/>
      <c r="E259" s="533"/>
      <c r="F259" s="533"/>
      <c r="G259" s="533"/>
      <c r="H259" s="533"/>
      <c r="I259" s="533"/>
      <c r="J259" s="533"/>
      <c r="K259" s="533"/>
      <c r="L259" s="533"/>
      <c r="M259" s="533"/>
      <c r="N259" s="533"/>
      <c r="O259" s="533"/>
      <c r="P259" s="533"/>
      <c r="Q259" s="533"/>
      <c r="R259" s="533"/>
      <c r="S259" s="533"/>
      <c r="T259" s="533"/>
      <c r="U259" s="533"/>
      <c r="V259" s="533"/>
      <c r="W259" s="533"/>
      <c r="X259" s="533"/>
      <c r="Y259" s="533"/>
      <c r="Z259" s="533"/>
      <c r="AA259" s="533"/>
      <c r="AB259" s="533"/>
      <c r="AC259" s="533"/>
    </row>
    <row r="260" spans="1:29" ht="15.75" customHeight="1">
      <c r="A260" s="533"/>
      <c r="B260" s="533"/>
      <c r="C260" s="533"/>
      <c r="D260" s="533"/>
      <c r="E260" s="533"/>
      <c r="F260" s="533"/>
      <c r="G260" s="533"/>
      <c r="H260" s="533"/>
      <c r="I260" s="533"/>
      <c r="J260" s="533"/>
      <c r="K260" s="533"/>
      <c r="L260" s="533"/>
      <c r="M260" s="533"/>
      <c r="N260" s="533"/>
      <c r="O260" s="533"/>
      <c r="P260" s="533"/>
      <c r="Q260" s="533"/>
      <c r="R260" s="533"/>
      <c r="S260" s="533"/>
      <c r="T260" s="533"/>
      <c r="U260" s="533"/>
      <c r="V260" s="533"/>
      <c r="W260" s="533"/>
      <c r="X260" s="533"/>
      <c r="Y260" s="533"/>
      <c r="Z260" s="533"/>
      <c r="AA260" s="533"/>
      <c r="AB260" s="533"/>
      <c r="AC260" s="533"/>
    </row>
    <row r="261" spans="1:29" ht="15.75" customHeight="1">
      <c r="A261" s="533"/>
      <c r="B261" s="533"/>
      <c r="C261" s="533"/>
      <c r="D261" s="533"/>
      <c r="E261" s="533"/>
      <c r="F261" s="533"/>
      <c r="G261" s="533"/>
      <c r="H261" s="533"/>
      <c r="I261" s="533"/>
      <c r="J261" s="533"/>
      <c r="K261" s="533"/>
      <c r="L261" s="533"/>
      <c r="M261" s="533"/>
      <c r="N261" s="533"/>
      <c r="O261" s="533"/>
      <c r="P261" s="533"/>
      <c r="Q261" s="533"/>
      <c r="R261" s="533"/>
      <c r="S261" s="533"/>
      <c r="T261" s="533"/>
      <c r="U261" s="533"/>
      <c r="V261" s="533"/>
      <c r="W261" s="533"/>
      <c r="X261" s="533"/>
      <c r="Y261" s="533"/>
      <c r="Z261" s="533"/>
      <c r="AA261" s="533"/>
      <c r="AB261" s="533"/>
      <c r="AC261" s="533"/>
    </row>
    <row r="262" spans="1:29" ht="15.75" customHeight="1">
      <c r="A262" s="533"/>
      <c r="B262" s="533"/>
      <c r="C262" s="533"/>
      <c r="D262" s="533"/>
      <c r="E262" s="533"/>
      <c r="F262" s="533"/>
      <c r="G262" s="533"/>
      <c r="H262" s="533"/>
      <c r="I262" s="533"/>
      <c r="J262" s="533"/>
      <c r="K262" s="533"/>
      <c r="L262" s="533"/>
      <c r="M262" s="533"/>
      <c r="N262" s="533"/>
      <c r="O262" s="533"/>
      <c r="P262" s="533"/>
      <c r="Q262" s="533"/>
      <c r="R262" s="533"/>
      <c r="S262" s="533"/>
      <c r="T262" s="533"/>
      <c r="U262" s="533"/>
      <c r="V262" s="533"/>
      <c r="W262" s="533"/>
      <c r="X262" s="533"/>
      <c r="Y262" s="533"/>
      <c r="Z262" s="533"/>
      <c r="AA262" s="533"/>
      <c r="AB262" s="533"/>
      <c r="AC262" s="533"/>
    </row>
    <row r="263" spans="1:29" ht="15.75" customHeight="1">
      <c r="A263" s="533"/>
      <c r="B263" s="533"/>
      <c r="C263" s="533"/>
      <c r="D263" s="533"/>
      <c r="E263" s="533"/>
      <c r="F263" s="533"/>
      <c r="G263" s="533"/>
      <c r="H263" s="533"/>
      <c r="I263" s="533"/>
      <c r="J263" s="533"/>
      <c r="K263" s="533"/>
      <c r="L263" s="533"/>
      <c r="M263" s="533"/>
      <c r="N263" s="533"/>
      <c r="O263" s="533"/>
      <c r="P263" s="533"/>
      <c r="Q263" s="533"/>
      <c r="R263" s="533"/>
      <c r="S263" s="533"/>
      <c r="T263" s="533"/>
      <c r="U263" s="533"/>
      <c r="V263" s="533"/>
      <c r="W263" s="533"/>
      <c r="X263" s="533"/>
      <c r="Y263" s="533"/>
      <c r="Z263" s="533"/>
      <c r="AA263" s="533"/>
      <c r="AB263" s="533"/>
      <c r="AC263" s="533"/>
    </row>
    <row r="264" spans="1:29" ht="15.75" customHeight="1">
      <c r="A264" s="533"/>
      <c r="B264" s="533"/>
      <c r="C264" s="533"/>
      <c r="D264" s="533"/>
      <c r="E264" s="533"/>
      <c r="F264" s="533"/>
      <c r="G264" s="533"/>
      <c r="H264" s="533"/>
      <c r="I264" s="533"/>
      <c r="J264" s="533"/>
      <c r="K264" s="533"/>
      <c r="L264" s="533"/>
      <c r="M264" s="533"/>
      <c r="N264" s="533"/>
      <c r="O264" s="533"/>
      <c r="P264" s="533"/>
      <c r="Q264" s="533"/>
      <c r="R264" s="533"/>
      <c r="S264" s="533"/>
      <c r="T264" s="533"/>
      <c r="U264" s="533"/>
      <c r="V264" s="533"/>
      <c r="W264" s="533"/>
      <c r="X264" s="533"/>
      <c r="Y264" s="533"/>
      <c r="Z264" s="533"/>
      <c r="AA264" s="533"/>
      <c r="AB264" s="533"/>
      <c r="AC264" s="533"/>
    </row>
    <row r="265" spans="1:29" ht="15.75" customHeight="1">
      <c r="A265" s="533"/>
      <c r="B265" s="533"/>
      <c r="C265" s="533"/>
      <c r="D265" s="533"/>
      <c r="E265" s="533"/>
      <c r="F265" s="533"/>
      <c r="G265" s="533"/>
      <c r="H265" s="533"/>
      <c r="I265" s="533"/>
      <c r="J265" s="533"/>
      <c r="K265" s="533"/>
      <c r="L265" s="533"/>
      <c r="M265" s="533"/>
      <c r="N265" s="533"/>
      <c r="O265" s="533"/>
      <c r="P265" s="533"/>
      <c r="Q265" s="533"/>
      <c r="R265" s="533"/>
      <c r="S265" s="533"/>
      <c r="T265" s="533"/>
      <c r="U265" s="533"/>
      <c r="V265" s="533"/>
      <c r="W265" s="533"/>
      <c r="X265" s="533"/>
      <c r="Y265" s="533"/>
      <c r="Z265" s="533"/>
      <c r="AA265" s="533"/>
      <c r="AB265" s="533"/>
      <c r="AC265" s="533"/>
    </row>
    <row r="266" spans="1:29" ht="15.75" customHeight="1">
      <c r="A266" s="533"/>
      <c r="B266" s="533"/>
      <c r="C266" s="533"/>
      <c r="D266" s="533"/>
      <c r="E266" s="533"/>
      <c r="F266" s="533"/>
      <c r="G266" s="533"/>
      <c r="H266" s="533"/>
      <c r="I266" s="533"/>
      <c r="J266" s="533"/>
      <c r="K266" s="533"/>
      <c r="L266" s="533"/>
      <c r="M266" s="533"/>
      <c r="N266" s="533"/>
      <c r="O266" s="533"/>
      <c r="P266" s="533"/>
      <c r="Q266" s="533"/>
      <c r="R266" s="533"/>
      <c r="S266" s="533"/>
      <c r="T266" s="533"/>
      <c r="U266" s="533"/>
      <c r="V266" s="533"/>
      <c r="W266" s="533"/>
      <c r="X266" s="533"/>
      <c r="Y266" s="533"/>
      <c r="Z266" s="533"/>
      <c r="AA266" s="533"/>
      <c r="AB266" s="533"/>
      <c r="AC266" s="533"/>
    </row>
    <row r="267" spans="1:29" ht="15.75" customHeight="1">
      <c r="A267" s="533"/>
      <c r="B267" s="533"/>
      <c r="C267" s="533"/>
      <c r="D267" s="533"/>
      <c r="E267" s="533"/>
      <c r="F267" s="533"/>
      <c r="G267" s="533"/>
      <c r="H267" s="533"/>
      <c r="I267" s="533"/>
      <c r="J267" s="533"/>
      <c r="K267" s="533"/>
      <c r="L267" s="533"/>
      <c r="M267" s="533"/>
      <c r="N267" s="533"/>
      <c r="O267" s="533"/>
      <c r="P267" s="533"/>
      <c r="Q267" s="533"/>
      <c r="R267" s="533"/>
      <c r="S267" s="533"/>
      <c r="T267" s="533"/>
      <c r="U267" s="533"/>
      <c r="V267" s="533"/>
      <c r="W267" s="533"/>
      <c r="X267" s="533"/>
      <c r="Y267" s="533"/>
      <c r="Z267" s="533"/>
      <c r="AA267" s="533"/>
      <c r="AB267" s="533"/>
      <c r="AC267" s="533"/>
    </row>
    <row r="268" spans="1:29" ht="15.75" customHeight="1">
      <c r="A268" s="533"/>
      <c r="B268" s="533"/>
      <c r="C268" s="533"/>
      <c r="D268" s="533"/>
      <c r="E268" s="533"/>
      <c r="F268" s="533"/>
      <c r="G268" s="533"/>
      <c r="H268" s="533"/>
      <c r="I268" s="533"/>
      <c r="J268" s="533"/>
      <c r="K268" s="533"/>
      <c r="L268" s="533"/>
      <c r="M268" s="533"/>
      <c r="N268" s="533"/>
      <c r="O268" s="533"/>
      <c r="P268" s="533"/>
      <c r="Q268" s="533"/>
      <c r="R268" s="533"/>
      <c r="S268" s="533"/>
      <c r="T268" s="533"/>
      <c r="U268" s="533"/>
      <c r="V268" s="533"/>
      <c r="W268" s="533"/>
      <c r="X268" s="533"/>
      <c r="Y268" s="533"/>
      <c r="Z268" s="533"/>
      <c r="AA268" s="533"/>
      <c r="AB268" s="533"/>
      <c r="AC268" s="533"/>
    </row>
    <row r="269" spans="1:29" ht="15.75" customHeight="1">
      <c r="A269" s="533"/>
      <c r="B269" s="533"/>
      <c r="C269" s="533"/>
      <c r="D269" s="533"/>
      <c r="E269" s="533"/>
      <c r="F269" s="533"/>
      <c r="G269" s="533"/>
      <c r="H269" s="533"/>
      <c r="I269" s="533"/>
      <c r="J269" s="533"/>
      <c r="K269" s="533"/>
      <c r="L269" s="533"/>
      <c r="M269" s="533"/>
      <c r="N269" s="533"/>
      <c r="O269" s="533"/>
      <c r="P269" s="533"/>
      <c r="Q269" s="533"/>
      <c r="R269" s="533"/>
      <c r="S269" s="533"/>
      <c r="T269" s="533"/>
      <c r="U269" s="533"/>
      <c r="V269" s="533"/>
      <c r="W269" s="533"/>
      <c r="X269" s="533"/>
      <c r="Y269" s="533"/>
      <c r="Z269" s="533"/>
      <c r="AA269" s="533"/>
      <c r="AB269" s="533"/>
      <c r="AC269" s="533"/>
    </row>
    <row r="270" spans="1:29" ht="15.75" customHeight="1">
      <c r="A270" s="533"/>
      <c r="B270" s="533"/>
      <c r="C270" s="533"/>
      <c r="D270" s="533"/>
      <c r="E270" s="533"/>
      <c r="F270" s="533"/>
      <c r="G270" s="533"/>
      <c r="H270" s="533"/>
      <c r="I270" s="533"/>
      <c r="J270" s="533"/>
      <c r="K270" s="533"/>
      <c r="L270" s="533"/>
      <c r="M270" s="533"/>
      <c r="N270" s="533"/>
      <c r="O270" s="533"/>
      <c r="P270" s="533"/>
      <c r="Q270" s="533"/>
      <c r="R270" s="533"/>
      <c r="S270" s="533"/>
      <c r="T270" s="533"/>
      <c r="U270" s="533"/>
      <c r="V270" s="533"/>
      <c r="W270" s="533"/>
      <c r="X270" s="533"/>
      <c r="Y270" s="533"/>
      <c r="Z270" s="533"/>
      <c r="AA270" s="533"/>
      <c r="AB270" s="533"/>
      <c r="AC270" s="533"/>
    </row>
    <row r="271" spans="1:29" ht="15.75" customHeight="1">
      <c r="A271" s="533"/>
      <c r="B271" s="533"/>
      <c r="C271" s="533"/>
      <c r="D271" s="533"/>
      <c r="E271" s="533"/>
      <c r="F271" s="533"/>
      <c r="G271" s="533"/>
      <c r="H271" s="533"/>
      <c r="I271" s="533"/>
      <c r="J271" s="533"/>
      <c r="K271" s="533"/>
      <c r="L271" s="533"/>
      <c r="M271" s="533"/>
      <c r="N271" s="533"/>
      <c r="O271" s="533"/>
      <c r="P271" s="533"/>
      <c r="Q271" s="533"/>
      <c r="R271" s="533"/>
      <c r="S271" s="533"/>
      <c r="T271" s="533"/>
      <c r="U271" s="533"/>
      <c r="V271" s="533"/>
      <c r="W271" s="533"/>
      <c r="X271" s="533"/>
      <c r="Y271" s="533"/>
      <c r="Z271" s="533"/>
      <c r="AA271" s="533"/>
      <c r="AB271" s="533"/>
      <c r="AC271" s="533"/>
    </row>
    <row r="272" spans="1:29" ht="15.75" customHeight="1">
      <c r="A272" s="533"/>
      <c r="B272" s="533"/>
      <c r="C272" s="533"/>
      <c r="D272" s="533"/>
      <c r="E272" s="533"/>
      <c r="F272" s="533"/>
      <c r="G272" s="533"/>
      <c r="H272" s="533"/>
      <c r="I272" s="533"/>
      <c r="J272" s="533"/>
      <c r="K272" s="533"/>
      <c r="L272" s="533"/>
      <c r="M272" s="533"/>
      <c r="N272" s="533"/>
      <c r="O272" s="533"/>
      <c r="P272" s="533"/>
      <c r="Q272" s="533"/>
      <c r="R272" s="533"/>
      <c r="S272" s="533"/>
      <c r="T272" s="533"/>
      <c r="U272" s="533"/>
      <c r="V272" s="533"/>
      <c r="W272" s="533"/>
      <c r="X272" s="533"/>
      <c r="Y272" s="533"/>
      <c r="Z272" s="533"/>
      <c r="AA272" s="533"/>
      <c r="AB272" s="533"/>
      <c r="AC272" s="533"/>
    </row>
    <row r="273" spans="1:29" ht="15.75" customHeight="1">
      <c r="A273" s="533"/>
      <c r="B273" s="533"/>
      <c r="C273" s="533"/>
      <c r="D273" s="533"/>
      <c r="E273" s="533"/>
      <c r="F273" s="533"/>
      <c r="G273" s="533"/>
      <c r="H273" s="533"/>
      <c r="I273" s="533"/>
      <c r="J273" s="533"/>
      <c r="K273" s="533"/>
      <c r="L273" s="533"/>
      <c r="M273" s="533"/>
      <c r="N273" s="533"/>
      <c r="O273" s="533"/>
      <c r="P273" s="533"/>
      <c r="Q273" s="533"/>
      <c r="R273" s="533"/>
      <c r="S273" s="533"/>
      <c r="T273" s="533"/>
      <c r="U273" s="533"/>
      <c r="V273" s="533"/>
      <c r="W273" s="533"/>
      <c r="X273" s="533"/>
      <c r="Y273" s="533"/>
      <c r="Z273" s="533"/>
      <c r="AA273" s="533"/>
      <c r="AB273" s="533"/>
      <c r="AC273" s="533"/>
    </row>
    <row r="274" spans="1:29" ht="15.75" customHeight="1">
      <c r="A274" s="533"/>
      <c r="B274" s="533"/>
      <c r="C274" s="533"/>
      <c r="D274" s="533"/>
      <c r="E274" s="533"/>
      <c r="F274" s="533"/>
      <c r="G274" s="533"/>
      <c r="H274" s="533"/>
      <c r="I274" s="533"/>
      <c r="J274" s="533"/>
      <c r="K274" s="533"/>
      <c r="L274" s="533"/>
      <c r="M274" s="533"/>
      <c r="N274" s="533"/>
      <c r="O274" s="533"/>
      <c r="P274" s="533"/>
      <c r="Q274" s="533"/>
      <c r="R274" s="533"/>
      <c r="S274" s="533"/>
      <c r="T274" s="533"/>
      <c r="U274" s="533"/>
      <c r="V274" s="533"/>
      <c r="W274" s="533"/>
      <c r="X274" s="533"/>
      <c r="Y274" s="533"/>
      <c r="Z274" s="533"/>
      <c r="AA274" s="533"/>
      <c r="AB274" s="533"/>
      <c r="AC274" s="533"/>
    </row>
    <row r="275" spans="1:29" ht="15.75" customHeight="1">
      <c r="A275" s="533"/>
      <c r="B275" s="533"/>
      <c r="C275" s="533"/>
      <c r="D275" s="533"/>
      <c r="E275" s="533"/>
      <c r="F275" s="533"/>
      <c r="G275" s="533"/>
      <c r="H275" s="533"/>
      <c r="I275" s="533"/>
      <c r="J275" s="533"/>
      <c r="K275" s="533"/>
      <c r="L275" s="533"/>
      <c r="M275" s="533"/>
      <c r="N275" s="533"/>
      <c r="O275" s="533"/>
      <c r="P275" s="533"/>
      <c r="Q275" s="533"/>
      <c r="R275" s="533"/>
      <c r="S275" s="533"/>
      <c r="T275" s="533"/>
      <c r="U275" s="533"/>
      <c r="V275" s="533"/>
      <c r="W275" s="533"/>
      <c r="X275" s="533"/>
      <c r="Y275" s="533"/>
      <c r="Z275" s="533"/>
      <c r="AA275" s="533"/>
      <c r="AB275" s="533"/>
      <c r="AC275" s="533"/>
    </row>
    <row r="276" spans="1:29" ht="15.75" customHeight="1">
      <c r="A276" s="533"/>
      <c r="B276" s="533"/>
      <c r="C276" s="533"/>
      <c r="D276" s="533"/>
      <c r="E276" s="533"/>
      <c r="F276" s="533"/>
      <c r="G276" s="533"/>
      <c r="H276" s="533"/>
      <c r="I276" s="533"/>
      <c r="J276" s="533"/>
      <c r="K276" s="533"/>
      <c r="L276" s="533"/>
      <c r="M276" s="533"/>
      <c r="N276" s="533"/>
      <c r="O276" s="533"/>
      <c r="P276" s="533"/>
      <c r="Q276" s="533"/>
      <c r="R276" s="533"/>
      <c r="S276" s="533"/>
      <c r="T276" s="533"/>
      <c r="U276" s="533"/>
      <c r="V276" s="533"/>
      <c r="W276" s="533"/>
      <c r="X276" s="533"/>
      <c r="Y276" s="533"/>
      <c r="Z276" s="533"/>
      <c r="AA276" s="533"/>
      <c r="AB276" s="533"/>
      <c r="AC276" s="533"/>
    </row>
    <row r="277" spans="1:29" ht="15.75" customHeight="1">
      <c r="A277" s="533"/>
      <c r="B277" s="533"/>
      <c r="C277" s="533"/>
      <c r="D277" s="533"/>
      <c r="E277" s="533"/>
      <c r="F277" s="533"/>
      <c r="G277" s="533"/>
      <c r="H277" s="533"/>
      <c r="I277" s="533"/>
      <c r="J277" s="533"/>
      <c r="K277" s="533"/>
      <c r="L277" s="533"/>
      <c r="M277" s="533"/>
      <c r="N277" s="533"/>
      <c r="O277" s="533"/>
      <c r="P277" s="533"/>
      <c r="Q277" s="533"/>
      <c r="R277" s="533"/>
      <c r="S277" s="533"/>
      <c r="T277" s="533"/>
      <c r="U277" s="533"/>
      <c r="V277" s="533"/>
      <c r="W277" s="533"/>
      <c r="X277" s="533"/>
      <c r="Y277" s="533"/>
      <c r="Z277" s="533"/>
      <c r="AA277" s="533"/>
      <c r="AB277" s="533"/>
      <c r="AC277" s="533"/>
    </row>
    <row r="278" spans="1:29" ht="15.75" customHeight="1">
      <c r="A278" s="533"/>
      <c r="B278" s="533"/>
      <c r="C278" s="533"/>
      <c r="D278" s="533"/>
      <c r="E278" s="533"/>
      <c r="F278" s="533"/>
      <c r="G278" s="533"/>
      <c r="H278" s="533"/>
      <c r="I278" s="533"/>
      <c r="J278" s="533"/>
      <c r="K278" s="533"/>
      <c r="L278" s="533"/>
      <c r="M278" s="533"/>
      <c r="N278" s="533"/>
      <c r="O278" s="533"/>
      <c r="P278" s="533"/>
      <c r="Q278" s="533"/>
      <c r="R278" s="533"/>
      <c r="S278" s="533"/>
      <c r="T278" s="533"/>
      <c r="U278" s="533"/>
      <c r="V278" s="533"/>
      <c r="W278" s="533"/>
      <c r="X278" s="533"/>
      <c r="Y278" s="533"/>
      <c r="Z278" s="533"/>
      <c r="AA278" s="533"/>
      <c r="AB278" s="533"/>
      <c r="AC278" s="533"/>
    </row>
    <row r="279" spans="1:29" ht="15.75" customHeight="1">
      <c r="A279" s="533"/>
      <c r="B279" s="533"/>
      <c r="C279" s="533"/>
      <c r="D279" s="533"/>
      <c r="E279" s="533"/>
      <c r="F279" s="533"/>
      <c r="G279" s="533"/>
      <c r="H279" s="533"/>
      <c r="I279" s="533"/>
      <c r="J279" s="533"/>
      <c r="K279" s="533"/>
      <c r="L279" s="533"/>
      <c r="M279" s="533"/>
      <c r="N279" s="533"/>
      <c r="O279" s="533"/>
      <c r="P279" s="533"/>
      <c r="Q279" s="533"/>
      <c r="R279" s="533"/>
      <c r="S279" s="533"/>
      <c r="T279" s="533"/>
      <c r="U279" s="533"/>
      <c r="V279" s="533"/>
      <c r="W279" s="533"/>
      <c r="X279" s="533"/>
      <c r="Y279" s="533"/>
      <c r="Z279" s="533"/>
      <c r="AA279" s="533"/>
      <c r="AB279" s="533"/>
      <c r="AC279" s="533"/>
    </row>
    <row r="280" spans="1:29" ht="15.75" customHeight="1">
      <c r="A280" s="533"/>
      <c r="B280" s="533"/>
      <c r="C280" s="533"/>
      <c r="D280" s="533"/>
      <c r="E280" s="533"/>
      <c r="F280" s="533"/>
      <c r="G280" s="533"/>
      <c r="H280" s="533"/>
      <c r="I280" s="533"/>
      <c r="J280" s="533"/>
      <c r="K280" s="533"/>
      <c r="L280" s="533"/>
      <c r="M280" s="533"/>
      <c r="N280" s="533"/>
      <c r="O280" s="533"/>
      <c r="P280" s="533"/>
      <c r="Q280" s="533"/>
      <c r="R280" s="533"/>
      <c r="S280" s="533"/>
      <c r="T280" s="533"/>
      <c r="U280" s="533"/>
      <c r="V280" s="533"/>
      <c r="W280" s="533"/>
      <c r="X280" s="533"/>
      <c r="Y280" s="533"/>
      <c r="Z280" s="533"/>
      <c r="AA280" s="533"/>
      <c r="AB280" s="533"/>
      <c r="AC280" s="533"/>
    </row>
    <row r="281" spans="1:29" ht="15.75" customHeight="1">
      <c r="A281" s="533"/>
      <c r="B281" s="533"/>
      <c r="C281" s="533"/>
      <c r="D281" s="533"/>
      <c r="E281" s="533"/>
      <c r="F281" s="533"/>
      <c r="G281" s="533"/>
      <c r="H281" s="533"/>
      <c r="I281" s="533"/>
      <c r="J281" s="533"/>
      <c r="K281" s="533"/>
      <c r="L281" s="533"/>
      <c r="M281" s="533"/>
      <c r="N281" s="533"/>
      <c r="O281" s="533"/>
      <c r="P281" s="533"/>
      <c r="Q281" s="533"/>
      <c r="R281" s="533"/>
      <c r="S281" s="533"/>
      <c r="T281" s="533"/>
      <c r="U281" s="533"/>
      <c r="V281" s="533"/>
      <c r="W281" s="533"/>
      <c r="X281" s="533"/>
      <c r="Y281" s="533"/>
      <c r="Z281" s="533"/>
      <c r="AA281" s="533"/>
      <c r="AB281" s="533"/>
      <c r="AC281" s="533"/>
    </row>
    <row r="282" spans="1:29" ht="15.75" customHeight="1">
      <c r="A282" s="533"/>
      <c r="B282" s="533"/>
      <c r="C282" s="533"/>
      <c r="D282" s="533"/>
      <c r="E282" s="533"/>
      <c r="F282" s="533"/>
      <c r="G282" s="533"/>
      <c r="H282" s="533"/>
      <c r="I282" s="533"/>
      <c r="J282" s="533"/>
      <c r="K282" s="533"/>
      <c r="L282" s="533"/>
      <c r="M282" s="533"/>
      <c r="N282" s="533"/>
      <c r="O282" s="533"/>
      <c r="P282" s="533"/>
      <c r="Q282" s="533"/>
      <c r="R282" s="533"/>
      <c r="S282" s="533"/>
      <c r="T282" s="533"/>
      <c r="U282" s="533"/>
      <c r="V282" s="533"/>
      <c r="W282" s="533"/>
      <c r="X282" s="533"/>
      <c r="Y282" s="533"/>
      <c r="Z282" s="533"/>
      <c r="AA282" s="533"/>
      <c r="AB282" s="533"/>
      <c r="AC282" s="533"/>
    </row>
    <row r="283" spans="1:29" ht="15.75" customHeight="1">
      <c r="A283" s="533"/>
      <c r="B283" s="533"/>
      <c r="C283" s="533"/>
      <c r="D283" s="533"/>
      <c r="E283" s="533"/>
      <c r="F283" s="533"/>
      <c r="G283" s="533"/>
      <c r="H283" s="533"/>
      <c r="I283" s="533"/>
      <c r="J283" s="533"/>
      <c r="K283" s="533"/>
      <c r="L283" s="533"/>
      <c r="M283" s="533"/>
      <c r="N283" s="533"/>
      <c r="O283" s="533"/>
      <c r="P283" s="533"/>
      <c r="Q283" s="533"/>
      <c r="R283" s="533"/>
      <c r="S283" s="533"/>
      <c r="T283" s="533"/>
      <c r="U283" s="533"/>
      <c r="V283" s="533"/>
      <c r="W283" s="533"/>
      <c r="X283" s="533"/>
      <c r="Y283" s="533"/>
      <c r="Z283" s="533"/>
      <c r="AA283" s="533"/>
      <c r="AB283" s="533"/>
      <c r="AC283" s="533"/>
    </row>
    <row r="284" spans="1:29" ht="15.75" customHeight="1">
      <c r="A284" s="533"/>
      <c r="B284" s="533"/>
      <c r="C284" s="533"/>
      <c r="D284" s="533"/>
      <c r="E284" s="533"/>
      <c r="F284" s="533"/>
      <c r="G284" s="533"/>
      <c r="H284" s="533"/>
      <c r="I284" s="533"/>
      <c r="J284" s="533"/>
      <c r="K284" s="533"/>
      <c r="L284" s="533"/>
      <c r="M284" s="533"/>
      <c r="N284" s="533"/>
      <c r="O284" s="533"/>
      <c r="P284" s="533"/>
      <c r="Q284" s="533"/>
      <c r="R284" s="533"/>
      <c r="S284" s="533"/>
      <c r="T284" s="533"/>
      <c r="U284" s="533"/>
      <c r="V284" s="533"/>
      <c r="W284" s="533"/>
      <c r="X284" s="533"/>
      <c r="Y284" s="533"/>
      <c r="Z284" s="533"/>
      <c r="AA284" s="533"/>
      <c r="AB284" s="533"/>
      <c r="AC284" s="533"/>
    </row>
    <row r="285" spans="1:29" ht="15.75" customHeight="1">
      <c r="A285" s="533"/>
      <c r="B285" s="533"/>
      <c r="C285" s="533"/>
      <c r="D285" s="533"/>
      <c r="E285" s="533"/>
      <c r="F285" s="533"/>
      <c r="G285" s="533"/>
      <c r="H285" s="533"/>
      <c r="I285" s="533"/>
      <c r="J285" s="533"/>
      <c r="K285" s="533"/>
      <c r="L285" s="533"/>
      <c r="M285" s="533"/>
      <c r="N285" s="533"/>
      <c r="O285" s="533"/>
      <c r="P285" s="533"/>
      <c r="Q285" s="533"/>
      <c r="R285" s="533"/>
      <c r="S285" s="533"/>
      <c r="T285" s="533"/>
      <c r="U285" s="533"/>
      <c r="V285" s="533"/>
      <c r="W285" s="533"/>
      <c r="X285" s="533"/>
      <c r="Y285" s="533"/>
      <c r="Z285" s="533"/>
      <c r="AA285" s="533"/>
      <c r="AB285" s="533"/>
      <c r="AC285" s="533"/>
    </row>
    <row r="286" spans="1:29" ht="15.75" customHeight="1">
      <c r="A286" s="533"/>
      <c r="B286" s="533"/>
      <c r="C286" s="533"/>
      <c r="D286" s="533"/>
      <c r="E286" s="533"/>
      <c r="F286" s="533"/>
      <c r="G286" s="533"/>
      <c r="H286" s="533"/>
      <c r="I286" s="533"/>
      <c r="J286" s="533"/>
      <c r="K286" s="533"/>
      <c r="L286" s="533"/>
      <c r="M286" s="533"/>
      <c r="N286" s="533"/>
      <c r="O286" s="533"/>
      <c r="P286" s="533"/>
      <c r="Q286" s="533"/>
      <c r="R286" s="533"/>
      <c r="S286" s="533"/>
      <c r="T286" s="533"/>
      <c r="U286" s="533"/>
      <c r="V286" s="533"/>
      <c r="W286" s="533"/>
      <c r="X286" s="533"/>
      <c r="Y286" s="533"/>
      <c r="Z286" s="533"/>
      <c r="AA286" s="533"/>
      <c r="AB286" s="533"/>
      <c r="AC286" s="533"/>
    </row>
    <row r="287" spans="1:29" ht="15.75" customHeight="1">
      <c r="A287" s="533"/>
      <c r="B287" s="533"/>
      <c r="C287" s="533"/>
      <c r="D287" s="533"/>
      <c r="E287" s="533"/>
      <c r="F287" s="533"/>
      <c r="G287" s="533"/>
      <c r="H287" s="533"/>
      <c r="I287" s="533"/>
      <c r="J287" s="533"/>
      <c r="K287" s="533"/>
      <c r="L287" s="533"/>
      <c r="M287" s="533"/>
      <c r="N287" s="533"/>
      <c r="O287" s="533"/>
      <c r="P287" s="533"/>
      <c r="Q287" s="533"/>
      <c r="R287" s="533"/>
      <c r="S287" s="533"/>
      <c r="T287" s="533"/>
      <c r="U287" s="533"/>
      <c r="V287" s="533"/>
      <c r="W287" s="533"/>
      <c r="X287" s="533"/>
      <c r="Y287" s="533"/>
      <c r="Z287" s="533"/>
      <c r="AA287" s="533"/>
      <c r="AB287" s="533"/>
      <c r="AC287" s="533"/>
    </row>
    <row r="288" spans="1:29" ht="15.75" customHeight="1">
      <c r="A288" s="533"/>
      <c r="B288" s="533"/>
      <c r="C288" s="533"/>
      <c r="D288" s="533"/>
      <c r="E288" s="533"/>
      <c r="F288" s="533"/>
      <c r="G288" s="533"/>
      <c r="H288" s="533"/>
      <c r="I288" s="533"/>
      <c r="J288" s="533"/>
      <c r="K288" s="533"/>
      <c r="L288" s="533"/>
      <c r="M288" s="533"/>
      <c r="N288" s="533"/>
      <c r="O288" s="533"/>
      <c r="P288" s="533"/>
      <c r="Q288" s="533"/>
      <c r="R288" s="533"/>
      <c r="S288" s="533"/>
      <c r="T288" s="533"/>
      <c r="U288" s="533"/>
      <c r="V288" s="533"/>
      <c r="W288" s="533"/>
      <c r="X288" s="533"/>
      <c r="Y288" s="533"/>
      <c r="Z288" s="533"/>
      <c r="AA288" s="533"/>
      <c r="AB288" s="533"/>
      <c r="AC288" s="533"/>
    </row>
    <row r="289" spans="1:29" ht="15.75" customHeight="1">
      <c r="A289" s="533"/>
      <c r="B289" s="533"/>
      <c r="C289" s="533"/>
      <c r="D289" s="533"/>
      <c r="E289" s="533"/>
      <c r="F289" s="533"/>
      <c r="G289" s="533"/>
      <c r="H289" s="533"/>
      <c r="I289" s="533"/>
      <c r="J289" s="533"/>
      <c r="K289" s="533"/>
      <c r="L289" s="533"/>
      <c r="M289" s="533"/>
      <c r="N289" s="533"/>
      <c r="O289" s="533"/>
      <c r="P289" s="533"/>
      <c r="Q289" s="533"/>
      <c r="R289" s="533"/>
      <c r="S289" s="533"/>
      <c r="T289" s="533"/>
      <c r="U289" s="533"/>
      <c r="V289" s="533"/>
      <c r="W289" s="533"/>
      <c r="X289" s="533"/>
      <c r="Y289" s="533"/>
      <c r="Z289" s="533"/>
      <c r="AA289" s="533"/>
      <c r="AB289" s="533"/>
      <c r="AC289" s="533"/>
    </row>
    <row r="290" spans="1:29" ht="15.75" customHeight="1">
      <c r="A290" s="533"/>
      <c r="B290" s="533"/>
      <c r="C290" s="533"/>
      <c r="D290" s="533"/>
      <c r="E290" s="533"/>
      <c r="F290" s="533"/>
      <c r="G290" s="533"/>
      <c r="H290" s="533"/>
      <c r="I290" s="533"/>
      <c r="J290" s="533"/>
      <c r="K290" s="533"/>
      <c r="L290" s="533"/>
      <c r="M290" s="533"/>
      <c r="N290" s="533"/>
      <c r="O290" s="533"/>
      <c r="P290" s="533"/>
      <c r="Q290" s="533"/>
      <c r="R290" s="533"/>
      <c r="S290" s="533"/>
      <c r="T290" s="533"/>
      <c r="U290" s="533"/>
      <c r="V290" s="533"/>
      <c r="W290" s="533"/>
      <c r="X290" s="533"/>
      <c r="Y290" s="533"/>
      <c r="Z290" s="533"/>
      <c r="AA290" s="533"/>
      <c r="AB290" s="533"/>
      <c r="AC290" s="533"/>
    </row>
    <row r="291" spans="1:29" ht="15.75" customHeight="1">
      <c r="A291" s="533"/>
      <c r="B291" s="533"/>
      <c r="C291" s="533"/>
      <c r="D291" s="533"/>
      <c r="E291" s="533"/>
      <c r="F291" s="533"/>
      <c r="G291" s="533"/>
      <c r="H291" s="533"/>
      <c r="I291" s="533"/>
      <c r="J291" s="533"/>
      <c r="K291" s="533"/>
      <c r="L291" s="533"/>
      <c r="M291" s="533"/>
      <c r="N291" s="533"/>
      <c r="O291" s="533"/>
      <c r="P291" s="533"/>
      <c r="Q291" s="533"/>
      <c r="R291" s="533"/>
      <c r="S291" s="533"/>
      <c r="T291" s="533"/>
      <c r="U291" s="533"/>
      <c r="V291" s="533"/>
      <c r="W291" s="533"/>
      <c r="X291" s="533"/>
      <c r="Y291" s="533"/>
      <c r="Z291" s="533"/>
      <c r="AA291" s="533"/>
      <c r="AB291" s="533"/>
      <c r="AC291" s="533"/>
    </row>
    <row r="292" spans="1:29" ht="15.75" customHeight="1">
      <c r="A292" s="533"/>
      <c r="B292" s="533"/>
      <c r="C292" s="533"/>
      <c r="D292" s="533"/>
      <c r="E292" s="533"/>
      <c r="F292" s="533"/>
      <c r="G292" s="533"/>
      <c r="H292" s="533"/>
      <c r="I292" s="533"/>
      <c r="J292" s="533"/>
      <c r="K292" s="533"/>
      <c r="L292" s="533"/>
      <c r="M292" s="533"/>
      <c r="N292" s="533"/>
      <c r="O292" s="533"/>
      <c r="P292" s="533"/>
      <c r="Q292" s="533"/>
      <c r="R292" s="533"/>
      <c r="S292" s="533"/>
      <c r="T292" s="533"/>
      <c r="U292" s="533"/>
      <c r="V292" s="533"/>
      <c r="W292" s="533"/>
      <c r="X292" s="533"/>
      <c r="Y292" s="533"/>
      <c r="Z292" s="533"/>
      <c r="AA292" s="533"/>
      <c r="AB292" s="533"/>
      <c r="AC292" s="533"/>
    </row>
    <row r="293" spans="1:29" ht="15.75" customHeight="1">
      <c r="A293" s="533"/>
      <c r="B293" s="533"/>
      <c r="C293" s="533"/>
      <c r="D293" s="533"/>
      <c r="E293" s="533"/>
      <c r="F293" s="533"/>
      <c r="G293" s="533"/>
      <c r="H293" s="533"/>
      <c r="I293" s="533"/>
      <c r="J293" s="533"/>
      <c r="K293" s="533"/>
      <c r="L293" s="533"/>
      <c r="M293" s="533"/>
      <c r="N293" s="533"/>
      <c r="O293" s="533"/>
      <c r="P293" s="533"/>
      <c r="Q293" s="533"/>
      <c r="R293" s="533"/>
      <c r="S293" s="533"/>
      <c r="T293" s="533"/>
      <c r="U293" s="533"/>
      <c r="V293" s="533"/>
      <c r="W293" s="533"/>
      <c r="X293" s="533"/>
      <c r="Y293" s="533"/>
      <c r="Z293" s="533"/>
      <c r="AA293" s="533"/>
      <c r="AB293" s="533"/>
      <c r="AC293" s="533"/>
    </row>
    <row r="294" spans="1:29" ht="15.75" customHeight="1">
      <c r="A294" s="533"/>
      <c r="B294" s="533"/>
      <c r="C294" s="533"/>
      <c r="D294" s="533"/>
      <c r="E294" s="533"/>
      <c r="F294" s="533"/>
      <c r="G294" s="533"/>
      <c r="H294" s="533"/>
      <c r="I294" s="533"/>
      <c r="J294" s="533"/>
      <c r="K294" s="533"/>
      <c r="L294" s="533"/>
      <c r="M294" s="533"/>
      <c r="N294" s="533"/>
      <c r="O294" s="533"/>
      <c r="P294" s="533"/>
      <c r="Q294" s="533"/>
      <c r="R294" s="533"/>
      <c r="S294" s="533"/>
      <c r="T294" s="533"/>
      <c r="U294" s="533"/>
      <c r="V294" s="533"/>
      <c r="W294" s="533"/>
      <c r="X294" s="533"/>
      <c r="Y294" s="533"/>
      <c r="Z294" s="533"/>
      <c r="AA294" s="533"/>
      <c r="AB294" s="533"/>
      <c r="AC294" s="533"/>
    </row>
    <row r="295" spans="1:29" ht="15.75" customHeight="1">
      <c r="A295" s="533"/>
      <c r="B295" s="533"/>
      <c r="C295" s="533"/>
      <c r="D295" s="533"/>
      <c r="E295" s="533"/>
      <c r="F295" s="533"/>
      <c r="G295" s="533"/>
      <c r="H295" s="533"/>
      <c r="I295" s="533"/>
      <c r="J295" s="533"/>
      <c r="K295" s="533"/>
      <c r="L295" s="533"/>
      <c r="M295" s="533"/>
      <c r="N295" s="533"/>
      <c r="O295" s="533"/>
      <c r="P295" s="533"/>
      <c r="Q295" s="533"/>
      <c r="R295" s="533"/>
      <c r="S295" s="533"/>
      <c r="T295" s="533"/>
      <c r="U295" s="533"/>
      <c r="V295" s="533"/>
      <c r="W295" s="533"/>
      <c r="X295" s="533"/>
      <c r="Y295" s="533"/>
      <c r="Z295" s="533"/>
      <c r="AA295" s="533"/>
      <c r="AB295" s="533"/>
      <c r="AC295" s="533"/>
    </row>
    <row r="296" spans="1:29" ht="15.75" customHeight="1">
      <c r="A296" s="533"/>
      <c r="B296" s="533"/>
      <c r="C296" s="533"/>
      <c r="D296" s="533"/>
      <c r="E296" s="533"/>
      <c r="F296" s="533"/>
      <c r="G296" s="533"/>
      <c r="H296" s="533"/>
      <c r="I296" s="533"/>
      <c r="J296" s="533"/>
      <c r="K296" s="533"/>
      <c r="L296" s="533"/>
      <c r="M296" s="533"/>
      <c r="N296" s="533"/>
      <c r="O296" s="533"/>
      <c r="P296" s="533"/>
      <c r="Q296" s="533"/>
      <c r="R296" s="533"/>
      <c r="S296" s="533"/>
      <c r="T296" s="533"/>
      <c r="U296" s="533"/>
      <c r="V296" s="533"/>
      <c r="W296" s="533"/>
      <c r="X296" s="533"/>
      <c r="Y296" s="533"/>
      <c r="Z296" s="533"/>
      <c r="AA296" s="533"/>
      <c r="AB296" s="533"/>
      <c r="AC296" s="533"/>
    </row>
    <row r="297" spans="1:29" ht="15.75" customHeight="1">
      <c r="A297" s="533"/>
      <c r="B297" s="533"/>
      <c r="C297" s="533"/>
      <c r="D297" s="533"/>
      <c r="E297" s="533"/>
      <c r="F297" s="533"/>
      <c r="G297" s="533"/>
      <c r="H297" s="533"/>
      <c r="I297" s="533"/>
      <c r="J297" s="533"/>
      <c r="K297" s="533"/>
      <c r="L297" s="533"/>
      <c r="M297" s="533"/>
      <c r="N297" s="533"/>
      <c r="O297" s="533"/>
      <c r="P297" s="533"/>
      <c r="Q297" s="533"/>
      <c r="R297" s="533"/>
      <c r="S297" s="533"/>
      <c r="T297" s="533"/>
      <c r="U297" s="533"/>
      <c r="V297" s="533"/>
      <c r="W297" s="533"/>
      <c r="X297" s="533"/>
      <c r="Y297" s="533"/>
      <c r="Z297" s="533"/>
      <c r="AA297" s="533"/>
      <c r="AB297" s="533"/>
      <c r="AC297" s="533"/>
    </row>
    <row r="298" spans="1:29" ht="15.75" customHeight="1">
      <c r="A298" s="533"/>
      <c r="B298" s="533"/>
      <c r="C298" s="533"/>
      <c r="D298" s="533"/>
      <c r="E298" s="533"/>
      <c r="F298" s="533"/>
      <c r="G298" s="533"/>
      <c r="H298" s="533"/>
      <c r="I298" s="533"/>
      <c r="J298" s="533"/>
      <c r="K298" s="533"/>
      <c r="L298" s="533"/>
      <c r="M298" s="533"/>
      <c r="N298" s="533"/>
      <c r="O298" s="533"/>
      <c r="P298" s="533"/>
      <c r="Q298" s="533"/>
      <c r="R298" s="533"/>
      <c r="S298" s="533"/>
      <c r="T298" s="533"/>
      <c r="U298" s="533"/>
      <c r="V298" s="533"/>
      <c r="W298" s="533"/>
      <c r="X298" s="533"/>
      <c r="Y298" s="533"/>
      <c r="Z298" s="533"/>
      <c r="AA298" s="533"/>
      <c r="AB298" s="533"/>
      <c r="AC298" s="533"/>
    </row>
    <row r="299" spans="1:29" ht="15.75" customHeight="1">
      <c r="A299" s="533"/>
      <c r="B299" s="533"/>
      <c r="C299" s="533"/>
      <c r="D299" s="533"/>
      <c r="E299" s="533"/>
      <c r="F299" s="533"/>
      <c r="G299" s="533"/>
      <c r="H299" s="533"/>
      <c r="I299" s="533"/>
      <c r="J299" s="533"/>
      <c r="K299" s="533"/>
      <c r="L299" s="533"/>
      <c r="M299" s="533"/>
      <c r="N299" s="533"/>
      <c r="O299" s="533"/>
      <c r="P299" s="533"/>
      <c r="Q299" s="533"/>
      <c r="R299" s="533"/>
      <c r="S299" s="533"/>
      <c r="T299" s="533"/>
      <c r="U299" s="533"/>
      <c r="V299" s="533"/>
      <c r="W299" s="533"/>
      <c r="X299" s="533"/>
      <c r="Y299" s="533"/>
      <c r="Z299" s="533"/>
      <c r="AA299" s="533"/>
      <c r="AB299" s="533"/>
      <c r="AC299" s="533"/>
    </row>
    <row r="300" spans="1:29" ht="15.75" customHeight="1">
      <c r="A300" s="533"/>
      <c r="B300" s="533"/>
      <c r="C300" s="533"/>
      <c r="D300" s="533"/>
      <c r="E300" s="533"/>
      <c r="F300" s="533"/>
      <c r="G300" s="533"/>
      <c r="H300" s="533"/>
      <c r="I300" s="533"/>
      <c r="J300" s="533"/>
      <c r="K300" s="533"/>
      <c r="L300" s="533"/>
      <c r="M300" s="533"/>
      <c r="N300" s="533"/>
      <c r="O300" s="533"/>
      <c r="P300" s="533"/>
      <c r="Q300" s="533"/>
      <c r="R300" s="533"/>
      <c r="S300" s="533"/>
      <c r="T300" s="533"/>
      <c r="U300" s="533"/>
      <c r="V300" s="533"/>
      <c r="W300" s="533"/>
      <c r="X300" s="533"/>
      <c r="Y300" s="533"/>
      <c r="Z300" s="533"/>
      <c r="AA300" s="533"/>
      <c r="AB300" s="533"/>
      <c r="AC300" s="533"/>
    </row>
    <row r="301" spans="1:29" ht="15.75" customHeight="1">
      <c r="A301" s="533"/>
      <c r="B301" s="533"/>
      <c r="C301" s="533"/>
      <c r="D301" s="533"/>
      <c r="E301" s="533"/>
      <c r="F301" s="533"/>
      <c r="G301" s="533"/>
      <c r="H301" s="533"/>
      <c r="I301" s="533"/>
      <c r="J301" s="533"/>
      <c r="K301" s="533"/>
      <c r="L301" s="533"/>
      <c r="M301" s="533"/>
      <c r="N301" s="533"/>
      <c r="O301" s="533"/>
      <c r="P301" s="533"/>
      <c r="Q301" s="533"/>
      <c r="R301" s="533"/>
      <c r="S301" s="533"/>
      <c r="T301" s="533"/>
      <c r="U301" s="533"/>
      <c r="V301" s="533"/>
      <c r="W301" s="533"/>
      <c r="X301" s="533"/>
      <c r="Y301" s="533"/>
      <c r="Z301" s="533"/>
      <c r="AA301" s="533"/>
      <c r="AB301" s="533"/>
      <c r="AC301" s="533"/>
    </row>
    <row r="302" spans="1:29" ht="15.75" customHeight="1">
      <c r="A302" s="533"/>
      <c r="B302" s="533"/>
      <c r="C302" s="533"/>
      <c r="D302" s="533"/>
      <c r="E302" s="533"/>
      <c r="F302" s="533"/>
      <c r="G302" s="533"/>
      <c r="H302" s="533"/>
      <c r="I302" s="533"/>
      <c r="J302" s="533"/>
      <c r="K302" s="533"/>
      <c r="L302" s="533"/>
      <c r="M302" s="533"/>
      <c r="N302" s="533"/>
      <c r="O302" s="533"/>
      <c r="P302" s="533"/>
      <c r="Q302" s="533"/>
      <c r="R302" s="533"/>
      <c r="S302" s="533"/>
      <c r="T302" s="533"/>
      <c r="U302" s="533"/>
      <c r="V302" s="533"/>
      <c r="W302" s="533"/>
      <c r="X302" s="533"/>
      <c r="Y302" s="533"/>
      <c r="Z302" s="533"/>
      <c r="AA302" s="533"/>
      <c r="AB302" s="533"/>
      <c r="AC302" s="533"/>
    </row>
    <row r="303" spans="1:29" ht="15.75" customHeight="1">
      <c r="A303" s="533"/>
      <c r="B303" s="533"/>
      <c r="C303" s="533"/>
      <c r="D303" s="533"/>
      <c r="E303" s="533"/>
      <c r="F303" s="533"/>
      <c r="G303" s="533"/>
      <c r="H303" s="533"/>
      <c r="I303" s="533"/>
      <c r="J303" s="533"/>
      <c r="K303" s="533"/>
      <c r="L303" s="533"/>
      <c r="M303" s="533"/>
      <c r="N303" s="533"/>
      <c r="O303" s="533"/>
      <c r="P303" s="533"/>
      <c r="Q303" s="533"/>
      <c r="R303" s="533"/>
      <c r="S303" s="533"/>
      <c r="T303" s="533"/>
      <c r="U303" s="533"/>
      <c r="V303" s="533"/>
      <c r="W303" s="533"/>
      <c r="X303" s="533"/>
      <c r="Y303" s="533"/>
      <c r="Z303" s="533"/>
      <c r="AA303" s="533"/>
      <c r="AB303" s="533"/>
      <c r="AC303" s="533"/>
    </row>
    <row r="304" spans="1:29" ht="15.75" customHeight="1">
      <c r="A304" s="533"/>
      <c r="B304" s="533"/>
      <c r="C304" s="533"/>
      <c r="D304" s="533"/>
      <c r="E304" s="533"/>
      <c r="F304" s="533"/>
      <c r="G304" s="533"/>
      <c r="H304" s="533"/>
      <c r="I304" s="533"/>
      <c r="J304" s="533"/>
      <c r="K304" s="533"/>
      <c r="L304" s="533"/>
      <c r="M304" s="533"/>
      <c r="N304" s="533"/>
      <c r="O304" s="533"/>
      <c r="P304" s="533"/>
      <c r="Q304" s="533"/>
      <c r="R304" s="533"/>
      <c r="S304" s="533"/>
      <c r="T304" s="533"/>
      <c r="U304" s="533"/>
      <c r="V304" s="533"/>
      <c r="W304" s="533"/>
      <c r="X304" s="533"/>
      <c r="Y304" s="533"/>
      <c r="Z304" s="533"/>
      <c r="AA304" s="533"/>
      <c r="AB304" s="533"/>
      <c r="AC304" s="533"/>
    </row>
    <row r="305" spans="1:29" ht="15.75" customHeight="1">
      <c r="A305" s="533"/>
      <c r="B305" s="533"/>
      <c r="C305" s="533"/>
      <c r="D305" s="533"/>
      <c r="E305" s="533"/>
      <c r="F305" s="533"/>
      <c r="G305" s="533"/>
      <c r="H305" s="533"/>
      <c r="I305" s="533"/>
      <c r="J305" s="533"/>
      <c r="K305" s="533"/>
      <c r="L305" s="533"/>
      <c r="M305" s="533"/>
      <c r="N305" s="533"/>
      <c r="O305" s="533"/>
      <c r="P305" s="533"/>
      <c r="Q305" s="533"/>
      <c r="R305" s="533"/>
      <c r="S305" s="533"/>
      <c r="T305" s="533"/>
      <c r="U305" s="533"/>
      <c r="V305" s="533"/>
      <c r="W305" s="533"/>
      <c r="X305" s="533"/>
      <c r="Y305" s="533"/>
      <c r="Z305" s="533"/>
      <c r="AA305" s="533"/>
      <c r="AB305" s="533"/>
      <c r="AC305" s="533"/>
    </row>
    <row r="306" spans="1:29" ht="15.75" customHeight="1">
      <c r="A306" s="533"/>
      <c r="B306" s="533"/>
      <c r="C306" s="533"/>
      <c r="D306" s="533"/>
      <c r="E306" s="533"/>
      <c r="F306" s="533"/>
      <c r="G306" s="533"/>
      <c r="H306" s="533"/>
      <c r="I306" s="533"/>
      <c r="J306" s="533"/>
      <c r="K306" s="533"/>
      <c r="L306" s="533"/>
      <c r="M306" s="533"/>
      <c r="N306" s="533"/>
      <c r="O306" s="533"/>
      <c r="P306" s="533"/>
      <c r="Q306" s="533"/>
      <c r="R306" s="533"/>
      <c r="S306" s="533"/>
      <c r="T306" s="533"/>
      <c r="U306" s="533"/>
      <c r="V306" s="533"/>
      <c r="W306" s="533"/>
      <c r="X306" s="533"/>
      <c r="Y306" s="533"/>
      <c r="Z306" s="533"/>
      <c r="AA306" s="533"/>
      <c r="AB306" s="533"/>
      <c r="AC306" s="533"/>
    </row>
    <row r="307" spans="1:29" ht="15.75" customHeight="1">
      <c r="A307" s="533"/>
      <c r="B307" s="533"/>
      <c r="C307" s="533"/>
      <c r="D307" s="533"/>
      <c r="E307" s="533"/>
      <c r="F307" s="533"/>
      <c r="G307" s="533"/>
      <c r="H307" s="533"/>
      <c r="I307" s="533"/>
      <c r="J307" s="533"/>
      <c r="K307" s="533"/>
      <c r="L307" s="533"/>
      <c r="M307" s="533"/>
      <c r="N307" s="533"/>
      <c r="O307" s="533"/>
      <c r="P307" s="533"/>
      <c r="Q307" s="533"/>
      <c r="R307" s="533"/>
      <c r="S307" s="533"/>
      <c r="T307" s="533"/>
      <c r="U307" s="533"/>
      <c r="V307" s="533"/>
      <c r="W307" s="533"/>
      <c r="X307" s="533"/>
      <c r="Y307" s="533"/>
      <c r="Z307" s="533"/>
      <c r="AA307" s="533"/>
      <c r="AB307" s="533"/>
      <c r="AC307" s="533"/>
    </row>
    <row r="308" spans="1:29" ht="15.75" customHeight="1">
      <c r="A308" s="533"/>
      <c r="B308" s="533"/>
      <c r="C308" s="533"/>
      <c r="D308" s="533"/>
      <c r="E308" s="533"/>
      <c r="F308" s="533"/>
      <c r="G308" s="533"/>
      <c r="H308" s="533"/>
      <c r="I308" s="533"/>
      <c r="J308" s="533"/>
      <c r="K308" s="533"/>
      <c r="L308" s="533"/>
      <c r="M308" s="533"/>
      <c r="N308" s="533"/>
      <c r="O308" s="533"/>
      <c r="P308" s="533"/>
      <c r="Q308" s="533"/>
      <c r="R308" s="533"/>
      <c r="S308" s="533"/>
      <c r="T308" s="533"/>
      <c r="U308" s="533"/>
      <c r="V308" s="533"/>
      <c r="W308" s="533"/>
      <c r="X308" s="533"/>
      <c r="Y308" s="533"/>
      <c r="Z308" s="533"/>
      <c r="AA308" s="533"/>
      <c r="AB308" s="533"/>
      <c r="AC308" s="533"/>
    </row>
    <row r="309" spans="1:29" ht="15.75" customHeight="1">
      <c r="A309" s="533"/>
      <c r="B309" s="533"/>
      <c r="C309" s="533"/>
      <c r="D309" s="533"/>
      <c r="E309" s="533"/>
      <c r="F309" s="533"/>
      <c r="G309" s="533"/>
      <c r="H309" s="533"/>
      <c r="I309" s="533"/>
      <c r="J309" s="533"/>
      <c r="K309" s="533"/>
      <c r="L309" s="533"/>
      <c r="M309" s="533"/>
      <c r="N309" s="533"/>
      <c r="O309" s="533"/>
      <c r="P309" s="533"/>
      <c r="Q309" s="533"/>
      <c r="R309" s="533"/>
      <c r="S309" s="533"/>
      <c r="T309" s="533"/>
      <c r="U309" s="533"/>
      <c r="V309" s="533"/>
      <c r="W309" s="533"/>
      <c r="X309" s="533"/>
      <c r="Y309" s="533"/>
      <c r="Z309" s="533"/>
      <c r="AA309" s="533"/>
      <c r="AB309" s="533"/>
      <c r="AC309" s="533"/>
    </row>
    <row r="310" spans="1:29" ht="15.75" customHeight="1">
      <c r="A310" s="533"/>
      <c r="B310" s="533"/>
      <c r="C310" s="533"/>
      <c r="D310" s="533"/>
      <c r="E310" s="533"/>
      <c r="F310" s="533"/>
      <c r="G310" s="533"/>
      <c r="H310" s="533"/>
      <c r="I310" s="533"/>
      <c r="J310" s="533"/>
      <c r="K310" s="533"/>
      <c r="L310" s="533"/>
      <c r="M310" s="533"/>
      <c r="N310" s="533"/>
      <c r="O310" s="533"/>
      <c r="P310" s="533"/>
      <c r="Q310" s="533"/>
      <c r="R310" s="533"/>
      <c r="S310" s="533"/>
      <c r="T310" s="533"/>
      <c r="U310" s="533"/>
      <c r="V310" s="533"/>
      <c r="W310" s="533"/>
      <c r="X310" s="533"/>
      <c r="Y310" s="533"/>
      <c r="Z310" s="533"/>
      <c r="AA310" s="533"/>
      <c r="AB310" s="533"/>
      <c r="AC310" s="533"/>
    </row>
    <row r="311" spans="1:29" ht="15.75" customHeight="1">
      <c r="A311" s="533"/>
      <c r="B311" s="533"/>
      <c r="C311" s="533"/>
      <c r="D311" s="533"/>
      <c r="E311" s="533"/>
      <c r="F311" s="533"/>
      <c r="G311" s="533"/>
      <c r="H311" s="533"/>
      <c r="I311" s="533"/>
      <c r="J311" s="533"/>
      <c r="K311" s="533"/>
      <c r="L311" s="533"/>
      <c r="M311" s="533"/>
      <c r="N311" s="533"/>
      <c r="O311" s="533"/>
      <c r="P311" s="533"/>
      <c r="Q311" s="533"/>
      <c r="R311" s="533"/>
      <c r="S311" s="533"/>
      <c r="T311" s="533"/>
      <c r="U311" s="533"/>
      <c r="V311" s="533"/>
      <c r="W311" s="533"/>
      <c r="X311" s="533"/>
      <c r="Y311" s="533"/>
      <c r="Z311" s="533"/>
      <c r="AA311" s="533"/>
      <c r="AB311" s="533"/>
      <c r="AC311" s="533"/>
    </row>
    <row r="312" spans="1:29" ht="15.75" customHeight="1">
      <c r="A312" s="533"/>
      <c r="B312" s="533"/>
      <c r="C312" s="533"/>
      <c r="D312" s="533"/>
      <c r="E312" s="533"/>
      <c r="F312" s="533"/>
      <c r="G312" s="533"/>
      <c r="H312" s="533"/>
      <c r="I312" s="533"/>
      <c r="J312" s="533"/>
      <c r="K312" s="533"/>
      <c r="L312" s="533"/>
      <c r="M312" s="533"/>
      <c r="N312" s="533"/>
      <c r="O312" s="533"/>
      <c r="P312" s="533"/>
      <c r="Q312" s="533"/>
      <c r="R312" s="533"/>
      <c r="S312" s="533"/>
      <c r="T312" s="533"/>
      <c r="U312" s="533"/>
      <c r="V312" s="533"/>
      <c r="W312" s="533"/>
      <c r="X312" s="533"/>
      <c r="Y312" s="533"/>
      <c r="Z312" s="533"/>
      <c r="AA312" s="533"/>
      <c r="AB312" s="533"/>
      <c r="AC312" s="533"/>
    </row>
    <row r="313" spans="1:29" ht="15.75" customHeight="1">
      <c r="A313" s="533"/>
      <c r="B313" s="533"/>
      <c r="C313" s="533"/>
      <c r="D313" s="533"/>
      <c r="E313" s="533"/>
      <c r="F313" s="533"/>
      <c r="G313" s="533"/>
      <c r="H313" s="533"/>
      <c r="I313" s="533"/>
      <c r="J313" s="533"/>
      <c r="K313" s="533"/>
      <c r="L313" s="533"/>
      <c r="M313" s="533"/>
      <c r="N313" s="533"/>
      <c r="O313" s="533"/>
      <c r="P313" s="533"/>
      <c r="Q313" s="533"/>
      <c r="R313" s="533"/>
      <c r="S313" s="533"/>
      <c r="T313" s="533"/>
      <c r="U313" s="533"/>
      <c r="V313" s="533"/>
      <c r="W313" s="533"/>
      <c r="X313" s="533"/>
      <c r="Y313" s="533"/>
      <c r="Z313" s="533"/>
      <c r="AA313" s="533"/>
      <c r="AB313" s="533"/>
      <c r="AC313" s="533"/>
    </row>
    <row r="314" spans="1:29" ht="15.75" customHeight="1">
      <c r="A314" s="533"/>
      <c r="B314" s="533"/>
      <c r="C314" s="533"/>
      <c r="D314" s="533"/>
      <c r="E314" s="533"/>
      <c r="F314" s="533"/>
      <c r="G314" s="533"/>
      <c r="H314" s="533"/>
      <c r="I314" s="533"/>
      <c r="J314" s="533"/>
      <c r="K314" s="533"/>
      <c r="L314" s="533"/>
      <c r="M314" s="533"/>
      <c r="N314" s="533"/>
      <c r="O314" s="533"/>
      <c r="P314" s="533"/>
      <c r="Q314" s="533"/>
      <c r="R314" s="533"/>
      <c r="S314" s="533"/>
      <c r="T314" s="533"/>
      <c r="U314" s="533"/>
      <c r="V314" s="533"/>
      <c r="W314" s="533"/>
      <c r="X314" s="533"/>
      <c r="Y314" s="533"/>
      <c r="Z314" s="533"/>
      <c r="AA314" s="533"/>
      <c r="AB314" s="533"/>
      <c r="AC314" s="533"/>
    </row>
    <row r="315" spans="1:29" ht="15.75" customHeight="1">
      <c r="A315" s="533"/>
      <c r="B315" s="533"/>
      <c r="C315" s="533"/>
      <c r="D315" s="533"/>
      <c r="E315" s="533"/>
      <c r="F315" s="533"/>
      <c r="G315" s="533"/>
      <c r="H315" s="533"/>
      <c r="I315" s="533"/>
      <c r="J315" s="533"/>
      <c r="K315" s="533"/>
      <c r="L315" s="533"/>
      <c r="M315" s="533"/>
      <c r="N315" s="533"/>
      <c r="O315" s="533"/>
      <c r="P315" s="533"/>
      <c r="Q315" s="533"/>
      <c r="R315" s="533"/>
      <c r="S315" s="533"/>
      <c r="T315" s="533"/>
      <c r="U315" s="533"/>
      <c r="V315" s="533"/>
      <c r="W315" s="533"/>
      <c r="X315" s="533"/>
      <c r="Y315" s="533"/>
      <c r="Z315" s="533"/>
      <c r="AA315" s="533"/>
      <c r="AB315" s="533"/>
      <c r="AC315" s="533"/>
    </row>
    <row r="316" spans="1:29" ht="15.75" customHeight="1">
      <c r="A316" s="533"/>
      <c r="B316" s="533"/>
      <c r="C316" s="533"/>
      <c r="D316" s="533"/>
      <c r="E316" s="533"/>
      <c r="F316" s="533"/>
      <c r="G316" s="533"/>
      <c r="H316" s="533"/>
      <c r="I316" s="533"/>
      <c r="J316" s="533"/>
      <c r="K316" s="533"/>
      <c r="L316" s="533"/>
      <c r="M316" s="533"/>
      <c r="N316" s="533"/>
      <c r="O316" s="533"/>
      <c r="P316" s="533"/>
      <c r="Q316" s="533"/>
      <c r="R316" s="533"/>
      <c r="S316" s="533"/>
      <c r="T316" s="533"/>
      <c r="U316" s="533"/>
      <c r="V316" s="533"/>
      <c r="W316" s="533"/>
      <c r="X316" s="533"/>
      <c r="Y316" s="533"/>
      <c r="Z316" s="533"/>
      <c r="AA316" s="533"/>
      <c r="AB316" s="533"/>
      <c r="AC316" s="533"/>
    </row>
    <row r="317" spans="1:29" ht="15.75" customHeight="1">
      <c r="A317" s="533"/>
      <c r="B317" s="533"/>
      <c r="C317" s="533"/>
      <c r="D317" s="533"/>
      <c r="E317" s="533"/>
      <c r="F317" s="533"/>
      <c r="G317" s="533"/>
      <c r="H317" s="533"/>
      <c r="I317" s="533"/>
      <c r="J317" s="533"/>
      <c r="K317" s="533"/>
      <c r="L317" s="533"/>
      <c r="M317" s="533"/>
      <c r="N317" s="533"/>
      <c r="O317" s="533"/>
      <c r="P317" s="533"/>
      <c r="Q317" s="533"/>
      <c r="R317" s="533"/>
      <c r="S317" s="533"/>
      <c r="T317" s="533"/>
      <c r="U317" s="533"/>
      <c r="V317" s="533"/>
      <c r="W317" s="533"/>
      <c r="X317" s="533"/>
      <c r="Y317" s="533"/>
      <c r="Z317" s="533"/>
      <c r="AA317" s="533"/>
      <c r="AB317" s="533"/>
      <c r="AC317" s="533"/>
    </row>
    <row r="318" spans="1:29" ht="15.75" customHeight="1">
      <c r="A318" s="533"/>
      <c r="B318" s="533"/>
      <c r="C318" s="533"/>
      <c r="D318" s="533"/>
      <c r="E318" s="533"/>
      <c r="F318" s="533"/>
      <c r="G318" s="533"/>
      <c r="H318" s="533"/>
      <c r="I318" s="533"/>
      <c r="J318" s="533"/>
      <c r="K318" s="533"/>
      <c r="L318" s="533"/>
      <c r="M318" s="533"/>
      <c r="N318" s="533"/>
      <c r="O318" s="533"/>
      <c r="P318" s="533"/>
      <c r="Q318" s="533"/>
      <c r="R318" s="533"/>
      <c r="S318" s="533"/>
      <c r="T318" s="533"/>
      <c r="U318" s="533"/>
      <c r="V318" s="533"/>
      <c r="W318" s="533"/>
      <c r="X318" s="533"/>
      <c r="Y318" s="533"/>
      <c r="Z318" s="533"/>
      <c r="AA318" s="533"/>
      <c r="AB318" s="533"/>
      <c r="AC318" s="533"/>
    </row>
    <row r="319" spans="1:29" ht="15.75" customHeight="1">
      <c r="A319" s="533"/>
      <c r="B319" s="533"/>
      <c r="C319" s="533"/>
      <c r="D319" s="533"/>
      <c r="E319" s="533"/>
      <c r="F319" s="533"/>
      <c r="G319" s="533"/>
      <c r="H319" s="533"/>
      <c r="I319" s="533"/>
      <c r="J319" s="533"/>
      <c r="K319" s="533"/>
      <c r="L319" s="533"/>
      <c r="M319" s="533"/>
      <c r="N319" s="533"/>
      <c r="O319" s="533"/>
      <c r="P319" s="533"/>
      <c r="Q319" s="533"/>
      <c r="R319" s="533"/>
      <c r="S319" s="533"/>
      <c r="T319" s="533"/>
      <c r="U319" s="533"/>
      <c r="V319" s="533"/>
      <c r="W319" s="533"/>
      <c r="X319" s="533"/>
      <c r="Y319" s="533"/>
      <c r="Z319" s="533"/>
      <c r="AA319" s="533"/>
      <c r="AB319" s="533"/>
      <c r="AC319" s="533"/>
    </row>
    <row r="320" spans="1:29" ht="15.75" customHeight="1">
      <c r="A320" s="533"/>
      <c r="B320" s="533"/>
      <c r="C320" s="533"/>
      <c r="D320" s="533"/>
      <c r="E320" s="533"/>
      <c r="F320" s="533"/>
      <c r="G320" s="533"/>
      <c r="H320" s="533"/>
      <c r="I320" s="533"/>
      <c r="J320" s="533"/>
      <c r="K320" s="533"/>
      <c r="L320" s="533"/>
      <c r="M320" s="533"/>
      <c r="N320" s="533"/>
      <c r="O320" s="533"/>
      <c r="P320" s="533"/>
      <c r="Q320" s="533"/>
      <c r="R320" s="533"/>
      <c r="S320" s="533"/>
      <c r="T320" s="533"/>
      <c r="U320" s="533"/>
      <c r="V320" s="533"/>
      <c r="W320" s="533"/>
      <c r="X320" s="533"/>
      <c r="Y320" s="533"/>
      <c r="Z320" s="533"/>
      <c r="AA320" s="533"/>
      <c r="AB320" s="533"/>
      <c r="AC320" s="533"/>
    </row>
    <row r="321" spans="1:29" ht="15.75" customHeight="1">
      <c r="A321" s="533"/>
      <c r="B321" s="533"/>
      <c r="C321" s="533"/>
      <c r="D321" s="533"/>
      <c r="E321" s="533"/>
      <c r="F321" s="533"/>
      <c r="G321" s="533"/>
      <c r="H321" s="533"/>
      <c r="I321" s="533"/>
      <c r="J321" s="533"/>
      <c r="K321" s="533"/>
      <c r="L321" s="533"/>
      <c r="M321" s="533"/>
      <c r="N321" s="533"/>
      <c r="O321" s="533"/>
      <c r="P321" s="533"/>
      <c r="Q321" s="533"/>
      <c r="R321" s="533"/>
      <c r="S321" s="533"/>
      <c r="T321" s="533"/>
      <c r="U321" s="533"/>
      <c r="V321" s="533"/>
      <c r="W321" s="533"/>
      <c r="X321" s="533"/>
      <c r="Y321" s="533"/>
      <c r="Z321" s="533"/>
      <c r="AA321" s="533"/>
      <c r="AB321" s="533"/>
      <c r="AC321" s="533"/>
    </row>
    <row r="322" spans="1:29" ht="15.75" customHeight="1">
      <c r="A322" s="533"/>
      <c r="B322" s="533"/>
      <c r="C322" s="533"/>
      <c r="D322" s="533"/>
      <c r="E322" s="533"/>
      <c r="F322" s="533"/>
      <c r="G322" s="533"/>
      <c r="H322" s="533"/>
      <c r="I322" s="533"/>
      <c r="J322" s="533"/>
      <c r="K322" s="533"/>
      <c r="L322" s="533"/>
      <c r="M322" s="533"/>
      <c r="N322" s="533"/>
      <c r="O322" s="533"/>
      <c r="P322" s="533"/>
      <c r="Q322" s="533"/>
      <c r="R322" s="533"/>
      <c r="S322" s="533"/>
      <c r="T322" s="533"/>
      <c r="U322" s="533"/>
      <c r="V322" s="533"/>
      <c r="W322" s="533"/>
      <c r="X322" s="533"/>
      <c r="Y322" s="533"/>
      <c r="Z322" s="533"/>
      <c r="AA322" s="533"/>
      <c r="AB322" s="533"/>
      <c r="AC322" s="533"/>
    </row>
    <row r="323" spans="1:29" ht="15.75" customHeight="1">
      <c r="A323" s="533"/>
      <c r="B323" s="533"/>
      <c r="C323" s="533"/>
      <c r="D323" s="533"/>
      <c r="E323" s="533"/>
      <c r="F323" s="533"/>
      <c r="G323" s="533"/>
      <c r="H323" s="533"/>
      <c r="I323" s="533"/>
      <c r="J323" s="533"/>
      <c r="K323" s="533"/>
      <c r="L323" s="533"/>
      <c r="M323" s="533"/>
      <c r="N323" s="533"/>
      <c r="O323" s="533"/>
      <c r="P323" s="533"/>
      <c r="Q323" s="533"/>
      <c r="R323" s="533"/>
      <c r="S323" s="533"/>
      <c r="T323" s="533"/>
      <c r="U323" s="533"/>
      <c r="V323" s="533"/>
      <c r="W323" s="533"/>
      <c r="X323" s="533"/>
      <c r="Y323" s="533"/>
      <c r="Z323" s="533"/>
      <c r="AA323" s="533"/>
      <c r="AB323" s="533"/>
      <c r="AC323" s="533"/>
    </row>
    <row r="324" spans="1:29" ht="15.75" customHeight="1">
      <c r="A324" s="533"/>
      <c r="B324" s="533"/>
      <c r="C324" s="533"/>
      <c r="D324" s="533"/>
      <c r="E324" s="533"/>
      <c r="F324" s="533"/>
      <c r="G324" s="533"/>
      <c r="H324" s="533"/>
      <c r="I324" s="533"/>
      <c r="J324" s="533"/>
      <c r="K324" s="533"/>
      <c r="L324" s="533"/>
      <c r="M324" s="533"/>
      <c r="N324" s="533"/>
      <c r="O324" s="533"/>
      <c r="P324" s="533"/>
      <c r="Q324" s="533"/>
      <c r="R324" s="533"/>
      <c r="S324" s="533"/>
      <c r="T324" s="533"/>
      <c r="U324" s="533"/>
      <c r="V324" s="533"/>
      <c r="W324" s="533"/>
      <c r="X324" s="533"/>
      <c r="Y324" s="533"/>
      <c r="Z324" s="533"/>
      <c r="AA324" s="533"/>
      <c r="AB324" s="533"/>
      <c r="AC324" s="533"/>
    </row>
    <row r="325" spans="1:29" ht="15.75" customHeight="1">
      <c r="A325" s="533"/>
      <c r="B325" s="533"/>
      <c r="C325" s="533"/>
      <c r="D325" s="533"/>
      <c r="E325" s="533"/>
      <c r="F325" s="533"/>
      <c r="G325" s="533"/>
      <c r="H325" s="533"/>
      <c r="I325" s="533"/>
      <c r="J325" s="533"/>
      <c r="K325" s="533"/>
      <c r="L325" s="533"/>
      <c r="M325" s="533"/>
      <c r="N325" s="533"/>
      <c r="O325" s="533"/>
      <c r="P325" s="533"/>
      <c r="Q325" s="533"/>
      <c r="R325" s="533"/>
      <c r="S325" s="533"/>
      <c r="T325" s="533"/>
      <c r="U325" s="533"/>
      <c r="V325" s="533"/>
      <c r="W325" s="533"/>
      <c r="X325" s="533"/>
      <c r="Y325" s="533"/>
      <c r="Z325" s="533"/>
      <c r="AA325" s="533"/>
      <c r="AB325" s="533"/>
      <c r="AC325" s="533"/>
    </row>
    <row r="326" spans="1:29" ht="15.75" customHeight="1">
      <c r="A326" s="533"/>
      <c r="B326" s="533"/>
      <c r="C326" s="533"/>
      <c r="D326" s="533"/>
      <c r="E326" s="533"/>
      <c r="F326" s="533"/>
      <c r="G326" s="533"/>
      <c r="H326" s="533"/>
      <c r="I326" s="533"/>
      <c r="J326" s="533"/>
      <c r="K326" s="533"/>
      <c r="L326" s="533"/>
      <c r="M326" s="533"/>
      <c r="N326" s="533"/>
      <c r="O326" s="533"/>
      <c r="P326" s="533"/>
      <c r="Q326" s="533"/>
      <c r="R326" s="533"/>
      <c r="S326" s="533"/>
      <c r="T326" s="533"/>
      <c r="U326" s="533"/>
      <c r="V326" s="533"/>
      <c r="W326" s="533"/>
      <c r="X326" s="533"/>
      <c r="Y326" s="533"/>
      <c r="Z326" s="533"/>
      <c r="AA326" s="533"/>
      <c r="AB326" s="533"/>
      <c r="AC326" s="533"/>
    </row>
    <row r="327" spans="1:29" ht="15.75" customHeight="1">
      <c r="A327" s="533"/>
      <c r="B327" s="533"/>
      <c r="C327" s="533"/>
      <c r="D327" s="533"/>
      <c r="E327" s="533"/>
      <c r="F327" s="533"/>
      <c r="G327" s="533"/>
      <c r="H327" s="533"/>
      <c r="I327" s="533"/>
      <c r="J327" s="533"/>
      <c r="K327" s="533"/>
      <c r="L327" s="533"/>
      <c r="M327" s="533"/>
      <c r="N327" s="533"/>
      <c r="O327" s="533"/>
      <c r="P327" s="533"/>
      <c r="Q327" s="533"/>
      <c r="R327" s="533"/>
      <c r="S327" s="533"/>
      <c r="T327" s="533"/>
      <c r="U327" s="533"/>
      <c r="V327" s="533"/>
      <c r="W327" s="533"/>
      <c r="X327" s="533"/>
      <c r="Y327" s="533"/>
      <c r="Z327" s="533"/>
      <c r="AA327" s="533"/>
      <c r="AB327" s="533"/>
      <c r="AC327" s="533"/>
    </row>
    <row r="328" spans="1:29" ht="15.75" customHeight="1">
      <c r="A328" s="533"/>
      <c r="B328" s="533"/>
      <c r="C328" s="533"/>
      <c r="D328" s="533"/>
      <c r="E328" s="533"/>
      <c r="F328" s="533"/>
      <c r="G328" s="533"/>
      <c r="H328" s="533"/>
      <c r="I328" s="533"/>
      <c r="J328" s="533"/>
      <c r="K328" s="533"/>
      <c r="L328" s="533"/>
      <c r="M328" s="533"/>
      <c r="N328" s="533"/>
      <c r="O328" s="533"/>
      <c r="P328" s="533"/>
      <c r="Q328" s="533"/>
      <c r="R328" s="533"/>
      <c r="S328" s="533"/>
      <c r="T328" s="533"/>
      <c r="U328" s="533"/>
      <c r="V328" s="533"/>
      <c r="W328" s="533"/>
      <c r="X328" s="533"/>
      <c r="Y328" s="533"/>
      <c r="Z328" s="533"/>
      <c r="AA328" s="533"/>
      <c r="AB328" s="533"/>
      <c r="AC328" s="533"/>
    </row>
    <row r="329" spans="1:29" ht="15.75" customHeight="1">
      <c r="A329" s="533"/>
      <c r="B329" s="533"/>
      <c r="C329" s="533"/>
      <c r="D329" s="533"/>
      <c r="E329" s="533"/>
      <c r="F329" s="533"/>
      <c r="G329" s="533"/>
      <c r="H329" s="533"/>
      <c r="I329" s="533"/>
      <c r="J329" s="533"/>
      <c r="K329" s="533"/>
      <c r="L329" s="533"/>
      <c r="M329" s="533"/>
      <c r="N329" s="533"/>
      <c r="O329" s="533"/>
      <c r="P329" s="533"/>
      <c r="Q329" s="533"/>
      <c r="R329" s="533"/>
      <c r="S329" s="533"/>
      <c r="T329" s="533"/>
      <c r="U329" s="533"/>
      <c r="V329" s="533"/>
      <c r="W329" s="533"/>
      <c r="X329" s="533"/>
      <c r="Y329" s="533"/>
      <c r="Z329" s="533"/>
      <c r="AA329" s="533"/>
      <c r="AB329" s="533"/>
      <c r="AC329" s="533"/>
    </row>
    <row r="330" spans="1:29" ht="15.75" customHeight="1">
      <c r="A330" s="533"/>
      <c r="B330" s="533"/>
      <c r="C330" s="533"/>
      <c r="D330" s="533"/>
      <c r="E330" s="533"/>
      <c r="F330" s="533"/>
      <c r="G330" s="533"/>
      <c r="H330" s="533"/>
      <c r="I330" s="533"/>
      <c r="J330" s="533"/>
      <c r="K330" s="533"/>
      <c r="L330" s="533"/>
      <c r="M330" s="533"/>
      <c r="N330" s="533"/>
      <c r="O330" s="533"/>
      <c r="P330" s="533"/>
      <c r="Q330" s="533"/>
      <c r="R330" s="533"/>
      <c r="S330" s="533"/>
      <c r="T330" s="533"/>
      <c r="U330" s="533"/>
      <c r="V330" s="533"/>
      <c r="W330" s="533"/>
      <c r="X330" s="533"/>
      <c r="Y330" s="533"/>
      <c r="Z330" s="533"/>
      <c r="AA330" s="533"/>
      <c r="AB330" s="533"/>
      <c r="AC330" s="533"/>
    </row>
    <row r="331" spans="1:29" ht="15.75" customHeight="1">
      <c r="A331" s="533"/>
      <c r="B331" s="533"/>
      <c r="C331" s="533"/>
      <c r="D331" s="533"/>
      <c r="E331" s="533"/>
      <c r="F331" s="533"/>
      <c r="G331" s="533"/>
      <c r="H331" s="533"/>
      <c r="I331" s="533"/>
      <c r="J331" s="533"/>
      <c r="K331" s="533"/>
      <c r="L331" s="533"/>
      <c r="M331" s="533"/>
      <c r="N331" s="533"/>
      <c r="O331" s="533"/>
      <c r="P331" s="533"/>
      <c r="Q331" s="533"/>
      <c r="R331" s="533"/>
      <c r="S331" s="533"/>
      <c r="T331" s="533"/>
      <c r="U331" s="533"/>
      <c r="V331" s="533"/>
      <c r="W331" s="533"/>
      <c r="X331" s="533"/>
      <c r="Y331" s="533"/>
      <c r="Z331" s="533"/>
      <c r="AA331" s="533"/>
      <c r="AB331" s="533"/>
      <c r="AC331" s="533"/>
    </row>
    <row r="332" spans="1:29" ht="15.75" customHeight="1">
      <c r="A332" s="533"/>
      <c r="B332" s="533"/>
      <c r="C332" s="533"/>
      <c r="D332" s="533"/>
      <c r="E332" s="533"/>
      <c r="F332" s="533"/>
      <c r="G332" s="533"/>
      <c r="H332" s="533"/>
      <c r="I332" s="533"/>
      <c r="J332" s="533"/>
      <c r="K332" s="533"/>
      <c r="L332" s="533"/>
      <c r="M332" s="533"/>
      <c r="N332" s="533"/>
      <c r="O332" s="533"/>
      <c r="P332" s="533"/>
      <c r="Q332" s="533"/>
      <c r="R332" s="533"/>
      <c r="S332" s="533"/>
      <c r="T332" s="533"/>
      <c r="U332" s="533"/>
      <c r="V332" s="533"/>
      <c r="W332" s="533"/>
      <c r="X332" s="533"/>
      <c r="Y332" s="533"/>
      <c r="Z332" s="533"/>
      <c r="AA332" s="533"/>
      <c r="AB332" s="533"/>
      <c r="AC332" s="533"/>
    </row>
    <row r="333" spans="1:29" ht="15.75" customHeight="1">
      <c r="A333" s="533"/>
      <c r="B333" s="533"/>
      <c r="C333" s="533"/>
      <c r="D333" s="533"/>
      <c r="E333" s="533"/>
      <c r="F333" s="533"/>
      <c r="G333" s="533"/>
      <c r="H333" s="533"/>
      <c r="I333" s="533"/>
      <c r="J333" s="533"/>
      <c r="K333" s="533"/>
      <c r="L333" s="533"/>
      <c r="M333" s="533"/>
      <c r="N333" s="533"/>
      <c r="O333" s="533"/>
      <c r="P333" s="533"/>
      <c r="Q333" s="533"/>
      <c r="R333" s="533"/>
      <c r="S333" s="533"/>
      <c r="T333" s="533"/>
      <c r="U333" s="533"/>
      <c r="V333" s="533"/>
      <c r="W333" s="533"/>
      <c r="X333" s="533"/>
      <c r="Y333" s="533"/>
      <c r="Z333" s="533"/>
      <c r="AA333" s="533"/>
      <c r="AB333" s="533"/>
      <c r="AC333" s="533"/>
    </row>
    <row r="334" spans="1:29" ht="15.75" customHeight="1">
      <c r="A334" s="533"/>
      <c r="B334" s="533"/>
      <c r="C334" s="533"/>
      <c r="D334" s="533"/>
      <c r="E334" s="533"/>
      <c r="F334" s="533"/>
      <c r="G334" s="533"/>
      <c r="H334" s="533"/>
      <c r="I334" s="533"/>
      <c r="J334" s="533"/>
      <c r="K334" s="533"/>
      <c r="L334" s="533"/>
      <c r="M334" s="533"/>
      <c r="N334" s="533"/>
      <c r="O334" s="533"/>
      <c r="P334" s="533"/>
      <c r="Q334" s="533"/>
      <c r="R334" s="533"/>
      <c r="S334" s="533"/>
      <c r="T334" s="533"/>
      <c r="U334" s="533"/>
      <c r="V334" s="533"/>
      <c r="W334" s="533"/>
      <c r="X334" s="533"/>
      <c r="Y334" s="533"/>
      <c r="Z334" s="533"/>
      <c r="AA334" s="533"/>
      <c r="AB334" s="533"/>
      <c r="AC334" s="533"/>
    </row>
    <row r="335" spans="1:29" ht="15.75" customHeight="1">
      <c r="A335" s="533"/>
      <c r="B335" s="533"/>
      <c r="C335" s="533"/>
      <c r="D335" s="533"/>
      <c r="E335" s="533"/>
      <c r="F335" s="533"/>
      <c r="G335" s="533"/>
      <c r="H335" s="533"/>
      <c r="I335" s="533"/>
      <c r="J335" s="533"/>
      <c r="K335" s="533"/>
      <c r="L335" s="533"/>
      <c r="M335" s="533"/>
      <c r="N335" s="533"/>
      <c r="O335" s="533"/>
      <c r="P335" s="533"/>
      <c r="Q335" s="533"/>
      <c r="R335" s="533"/>
      <c r="S335" s="533"/>
      <c r="T335" s="533"/>
      <c r="U335" s="533"/>
      <c r="V335" s="533"/>
      <c r="W335" s="533"/>
      <c r="X335" s="533"/>
      <c r="Y335" s="533"/>
      <c r="Z335" s="533"/>
      <c r="AA335" s="533"/>
      <c r="AB335" s="533"/>
      <c r="AC335" s="533"/>
    </row>
    <row r="336" spans="1:29" ht="15.75" customHeight="1">
      <c r="A336" s="533"/>
      <c r="B336" s="533"/>
      <c r="C336" s="533"/>
      <c r="D336" s="533"/>
      <c r="E336" s="533"/>
      <c r="F336" s="533"/>
      <c r="G336" s="533"/>
      <c r="H336" s="533"/>
      <c r="I336" s="533"/>
      <c r="J336" s="533"/>
      <c r="K336" s="533"/>
      <c r="L336" s="533"/>
      <c r="M336" s="533"/>
      <c r="N336" s="533"/>
      <c r="O336" s="533"/>
      <c r="P336" s="533"/>
      <c r="Q336" s="533"/>
      <c r="R336" s="533"/>
      <c r="S336" s="533"/>
      <c r="T336" s="533"/>
      <c r="U336" s="533"/>
      <c r="V336" s="533"/>
      <c r="W336" s="533"/>
      <c r="X336" s="533"/>
      <c r="Y336" s="533"/>
      <c r="Z336" s="533"/>
      <c r="AA336" s="533"/>
      <c r="AB336" s="533"/>
      <c r="AC336" s="533"/>
    </row>
    <row r="337" spans="1:29" ht="15.75" customHeight="1">
      <c r="A337" s="533"/>
      <c r="B337" s="533"/>
      <c r="C337" s="533"/>
      <c r="D337" s="533"/>
      <c r="E337" s="533"/>
      <c r="F337" s="533"/>
      <c r="G337" s="533"/>
      <c r="H337" s="533"/>
      <c r="I337" s="533"/>
      <c r="J337" s="533"/>
      <c r="K337" s="533"/>
      <c r="L337" s="533"/>
      <c r="M337" s="533"/>
      <c r="N337" s="533"/>
      <c r="O337" s="533"/>
      <c r="P337" s="533"/>
      <c r="Q337" s="533"/>
      <c r="R337" s="533"/>
      <c r="S337" s="533"/>
      <c r="T337" s="533"/>
      <c r="U337" s="533"/>
      <c r="V337" s="533"/>
      <c r="W337" s="533"/>
      <c r="X337" s="533"/>
      <c r="Y337" s="533"/>
      <c r="Z337" s="533"/>
      <c r="AA337" s="533"/>
      <c r="AB337" s="533"/>
      <c r="AC337" s="533"/>
    </row>
    <row r="338" spans="1:29" ht="15.75" customHeight="1">
      <c r="A338" s="533"/>
      <c r="B338" s="533"/>
      <c r="C338" s="533"/>
      <c r="D338" s="533"/>
      <c r="E338" s="533"/>
      <c r="F338" s="533"/>
      <c r="G338" s="533"/>
      <c r="H338" s="533"/>
      <c r="I338" s="533"/>
      <c r="J338" s="533"/>
      <c r="K338" s="533"/>
      <c r="L338" s="533"/>
      <c r="M338" s="533"/>
      <c r="N338" s="533"/>
      <c r="O338" s="533"/>
      <c r="P338" s="533"/>
      <c r="Q338" s="533"/>
      <c r="R338" s="533"/>
      <c r="S338" s="533"/>
      <c r="T338" s="533"/>
      <c r="U338" s="533"/>
      <c r="V338" s="533"/>
      <c r="W338" s="533"/>
      <c r="X338" s="533"/>
      <c r="Y338" s="533"/>
      <c r="Z338" s="533"/>
      <c r="AA338" s="533"/>
      <c r="AB338" s="533"/>
      <c r="AC338" s="533"/>
    </row>
    <row r="339" spans="1:29" ht="15.75" customHeight="1">
      <c r="A339" s="533"/>
      <c r="B339" s="533"/>
      <c r="C339" s="533"/>
      <c r="D339" s="533"/>
      <c r="E339" s="533"/>
      <c r="F339" s="533"/>
      <c r="G339" s="533"/>
      <c r="H339" s="533"/>
      <c r="I339" s="533"/>
      <c r="J339" s="533"/>
      <c r="K339" s="533"/>
      <c r="L339" s="533"/>
      <c r="M339" s="533"/>
      <c r="N339" s="533"/>
      <c r="O339" s="533"/>
      <c r="P339" s="533"/>
      <c r="Q339" s="533"/>
      <c r="R339" s="533"/>
      <c r="S339" s="533"/>
      <c r="T339" s="533"/>
      <c r="U339" s="533"/>
      <c r="V339" s="533"/>
      <c r="W339" s="533"/>
      <c r="X339" s="533"/>
      <c r="Y339" s="533"/>
      <c r="Z339" s="533"/>
      <c r="AA339" s="533"/>
      <c r="AB339" s="533"/>
      <c r="AC339" s="533"/>
    </row>
    <row r="340" spans="1:29" ht="15.75" customHeight="1">
      <c r="A340" s="533"/>
      <c r="B340" s="533"/>
      <c r="C340" s="533"/>
      <c r="D340" s="533"/>
      <c r="E340" s="533"/>
      <c r="F340" s="533"/>
      <c r="G340" s="533"/>
      <c r="H340" s="533"/>
      <c r="I340" s="533"/>
      <c r="J340" s="533"/>
      <c r="K340" s="533"/>
      <c r="L340" s="533"/>
      <c r="M340" s="533"/>
      <c r="N340" s="533"/>
      <c r="O340" s="533"/>
      <c r="P340" s="533"/>
      <c r="Q340" s="533"/>
      <c r="R340" s="533"/>
      <c r="S340" s="533"/>
      <c r="T340" s="533"/>
      <c r="U340" s="533"/>
      <c r="V340" s="533"/>
      <c r="W340" s="533"/>
      <c r="X340" s="533"/>
      <c r="Y340" s="533"/>
      <c r="Z340" s="533"/>
      <c r="AA340" s="533"/>
      <c r="AB340" s="533"/>
      <c r="AC340" s="533"/>
    </row>
    <row r="341" spans="1:29" ht="15.75" customHeight="1">
      <c r="A341" s="533"/>
      <c r="B341" s="533"/>
      <c r="C341" s="533"/>
      <c r="D341" s="533"/>
      <c r="E341" s="533"/>
      <c r="F341" s="533"/>
      <c r="G341" s="533"/>
      <c r="H341" s="533"/>
      <c r="I341" s="533"/>
      <c r="J341" s="533"/>
      <c r="K341" s="533"/>
      <c r="L341" s="533"/>
      <c r="M341" s="533"/>
      <c r="N341" s="533"/>
      <c r="O341" s="533"/>
      <c r="P341" s="533"/>
      <c r="Q341" s="533"/>
      <c r="R341" s="533"/>
      <c r="S341" s="533"/>
      <c r="T341" s="533"/>
      <c r="U341" s="533"/>
      <c r="V341" s="533"/>
      <c r="W341" s="533"/>
      <c r="X341" s="533"/>
      <c r="Y341" s="533"/>
      <c r="Z341" s="533"/>
      <c r="AA341" s="533"/>
      <c r="AB341" s="533"/>
      <c r="AC341" s="533"/>
    </row>
    <row r="342" spans="1:29" ht="15.75" customHeight="1">
      <c r="A342" s="533"/>
      <c r="B342" s="533"/>
      <c r="C342" s="533"/>
      <c r="D342" s="533"/>
      <c r="E342" s="533"/>
      <c r="F342" s="533"/>
      <c r="G342" s="533"/>
      <c r="H342" s="533"/>
      <c r="I342" s="533"/>
      <c r="J342" s="533"/>
      <c r="K342" s="533"/>
      <c r="L342" s="533"/>
      <c r="M342" s="533"/>
      <c r="N342" s="533"/>
      <c r="O342" s="533"/>
      <c r="P342" s="533"/>
      <c r="Q342" s="533"/>
      <c r="R342" s="533"/>
      <c r="S342" s="533"/>
      <c r="T342" s="533"/>
      <c r="U342" s="533"/>
      <c r="V342" s="533"/>
      <c r="W342" s="533"/>
      <c r="X342" s="533"/>
      <c r="Y342" s="533"/>
      <c r="Z342" s="533"/>
      <c r="AA342" s="533"/>
      <c r="AB342" s="533"/>
      <c r="AC342" s="533"/>
    </row>
    <row r="343" spans="1:29" ht="15.75" customHeight="1">
      <c r="A343" s="533"/>
      <c r="B343" s="533"/>
      <c r="C343" s="533"/>
      <c r="D343" s="533"/>
      <c r="E343" s="533"/>
      <c r="F343" s="533"/>
      <c r="G343" s="533"/>
      <c r="H343" s="533"/>
      <c r="I343" s="533"/>
      <c r="J343" s="533"/>
      <c r="K343" s="533"/>
      <c r="L343" s="533"/>
      <c r="M343" s="533"/>
      <c r="N343" s="533"/>
      <c r="O343" s="533"/>
      <c r="P343" s="533"/>
      <c r="Q343" s="533"/>
      <c r="R343" s="533"/>
      <c r="S343" s="533"/>
      <c r="T343" s="533"/>
      <c r="U343" s="533"/>
      <c r="V343" s="533"/>
      <c r="W343" s="533"/>
      <c r="X343" s="533"/>
      <c r="Y343" s="533"/>
      <c r="Z343" s="533"/>
      <c r="AA343" s="533"/>
      <c r="AB343" s="533"/>
      <c r="AC343" s="533"/>
    </row>
    <row r="344" spans="1:29" ht="15.75" customHeight="1">
      <c r="A344" s="533"/>
      <c r="B344" s="533"/>
      <c r="C344" s="533"/>
      <c r="D344" s="533"/>
      <c r="E344" s="533"/>
      <c r="F344" s="533"/>
      <c r="G344" s="533"/>
      <c r="H344" s="533"/>
      <c r="I344" s="533"/>
      <c r="J344" s="533"/>
      <c r="K344" s="533"/>
      <c r="L344" s="533"/>
      <c r="M344" s="533"/>
      <c r="N344" s="533"/>
      <c r="O344" s="533"/>
      <c r="P344" s="533"/>
      <c r="Q344" s="533"/>
      <c r="R344" s="533"/>
      <c r="S344" s="533"/>
      <c r="T344" s="533"/>
      <c r="U344" s="533"/>
      <c r="V344" s="533"/>
      <c r="W344" s="533"/>
      <c r="X344" s="533"/>
      <c r="Y344" s="533"/>
      <c r="Z344" s="533"/>
      <c r="AA344" s="533"/>
      <c r="AB344" s="533"/>
      <c r="AC344" s="533"/>
    </row>
    <row r="345" spans="1:29" ht="15.75" customHeight="1">
      <c r="A345" s="533"/>
      <c r="B345" s="533"/>
      <c r="C345" s="533"/>
      <c r="D345" s="533"/>
      <c r="E345" s="533"/>
      <c r="F345" s="533"/>
      <c r="G345" s="533"/>
      <c r="H345" s="533"/>
      <c r="I345" s="533"/>
      <c r="J345" s="533"/>
      <c r="K345" s="533"/>
      <c r="L345" s="533"/>
      <c r="M345" s="533"/>
      <c r="N345" s="533"/>
      <c r="O345" s="533"/>
      <c r="P345" s="533"/>
      <c r="Q345" s="533"/>
      <c r="R345" s="533"/>
      <c r="S345" s="533"/>
      <c r="T345" s="533"/>
      <c r="U345" s="533"/>
      <c r="V345" s="533"/>
      <c r="W345" s="533"/>
      <c r="X345" s="533"/>
      <c r="Y345" s="533"/>
      <c r="Z345" s="533"/>
      <c r="AA345" s="533"/>
      <c r="AB345" s="533"/>
      <c r="AC345" s="533"/>
    </row>
    <row r="346" spans="1:29" ht="15.75" customHeight="1">
      <c r="A346" s="533"/>
      <c r="B346" s="533"/>
      <c r="C346" s="533"/>
      <c r="D346" s="533"/>
      <c r="E346" s="533"/>
      <c r="F346" s="533"/>
      <c r="G346" s="533"/>
      <c r="H346" s="533"/>
      <c r="I346" s="533"/>
      <c r="J346" s="533"/>
      <c r="K346" s="533"/>
      <c r="L346" s="533"/>
      <c r="M346" s="533"/>
      <c r="N346" s="533"/>
      <c r="O346" s="533"/>
      <c r="P346" s="533"/>
      <c r="Q346" s="533"/>
      <c r="R346" s="533"/>
      <c r="S346" s="533"/>
      <c r="T346" s="533"/>
      <c r="U346" s="533"/>
      <c r="V346" s="533"/>
      <c r="W346" s="533"/>
      <c r="X346" s="533"/>
      <c r="Y346" s="533"/>
      <c r="Z346" s="533"/>
      <c r="AA346" s="533"/>
      <c r="AB346" s="533"/>
      <c r="AC346" s="533"/>
    </row>
    <row r="347" spans="1:29" ht="15.75" customHeight="1">
      <c r="A347" s="533"/>
      <c r="B347" s="533"/>
      <c r="C347" s="533"/>
      <c r="D347" s="533"/>
      <c r="E347" s="533"/>
      <c r="F347" s="533"/>
      <c r="G347" s="533"/>
      <c r="H347" s="533"/>
      <c r="I347" s="533"/>
      <c r="J347" s="533"/>
      <c r="K347" s="533"/>
      <c r="L347" s="533"/>
      <c r="M347" s="533"/>
      <c r="N347" s="533"/>
      <c r="O347" s="533"/>
      <c r="P347" s="533"/>
      <c r="Q347" s="533"/>
      <c r="R347" s="533"/>
      <c r="S347" s="533"/>
      <c r="T347" s="533"/>
      <c r="U347" s="533"/>
      <c r="V347" s="533"/>
      <c r="W347" s="533"/>
      <c r="X347" s="533"/>
      <c r="Y347" s="533"/>
      <c r="Z347" s="533"/>
      <c r="AA347" s="533"/>
      <c r="AB347" s="533"/>
      <c r="AC347" s="533"/>
    </row>
    <row r="348" spans="1:29" ht="15.75" customHeight="1">
      <c r="A348" s="533"/>
      <c r="B348" s="533"/>
      <c r="C348" s="533"/>
      <c r="D348" s="533"/>
      <c r="E348" s="533"/>
      <c r="F348" s="533"/>
      <c r="G348" s="533"/>
      <c r="H348" s="533"/>
      <c r="I348" s="533"/>
      <c r="J348" s="533"/>
      <c r="K348" s="533"/>
      <c r="L348" s="533"/>
      <c r="M348" s="533"/>
      <c r="N348" s="533"/>
      <c r="O348" s="533"/>
      <c r="P348" s="533"/>
      <c r="Q348" s="533"/>
      <c r="R348" s="533"/>
      <c r="S348" s="533"/>
      <c r="T348" s="533"/>
      <c r="U348" s="533"/>
      <c r="V348" s="533"/>
      <c r="W348" s="533"/>
      <c r="X348" s="533"/>
      <c r="Y348" s="533"/>
      <c r="Z348" s="533"/>
      <c r="AA348" s="533"/>
      <c r="AB348" s="533"/>
      <c r="AC348" s="533"/>
    </row>
    <row r="349" spans="1:29" ht="15.75" customHeight="1">
      <c r="A349" s="533"/>
      <c r="B349" s="533"/>
      <c r="C349" s="533"/>
      <c r="D349" s="533"/>
      <c r="E349" s="533"/>
      <c r="F349" s="533"/>
      <c r="G349" s="533"/>
      <c r="H349" s="533"/>
      <c r="I349" s="533"/>
      <c r="J349" s="533"/>
      <c r="K349" s="533"/>
      <c r="L349" s="533"/>
      <c r="M349" s="533"/>
      <c r="N349" s="533"/>
      <c r="O349" s="533"/>
      <c r="P349" s="533"/>
      <c r="Q349" s="533"/>
      <c r="R349" s="533"/>
      <c r="S349" s="533"/>
      <c r="T349" s="533"/>
      <c r="U349" s="533"/>
      <c r="V349" s="533"/>
      <c r="W349" s="533"/>
      <c r="X349" s="533"/>
      <c r="Y349" s="533"/>
      <c r="Z349" s="533"/>
      <c r="AA349" s="533"/>
      <c r="AB349" s="533"/>
      <c r="AC349" s="533"/>
    </row>
    <row r="350" spans="1:29" ht="15.75" customHeight="1">
      <c r="A350" s="533"/>
      <c r="B350" s="533"/>
      <c r="C350" s="533"/>
      <c r="D350" s="533"/>
      <c r="E350" s="533"/>
      <c r="F350" s="533"/>
      <c r="G350" s="533"/>
      <c r="H350" s="533"/>
      <c r="I350" s="533"/>
      <c r="J350" s="533"/>
      <c r="K350" s="533"/>
      <c r="L350" s="533"/>
      <c r="M350" s="533"/>
      <c r="N350" s="533"/>
      <c r="O350" s="533"/>
      <c r="P350" s="533"/>
      <c r="Q350" s="533"/>
      <c r="R350" s="533"/>
      <c r="S350" s="533"/>
      <c r="T350" s="533"/>
      <c r="U350" s="533"/>
      <c r="V350" s="533"/>
      <c r="W350" s="533"/>
      <c r="X350" s="533"/>
      <c r="Y350" s="533"/>
      <c r="Z350" s="533"/>
      <c r="AA350" s="533"/>
      <c r="AB350" s="533"/>
      <c r="AC350" s="533"/>
    </row>
    <row r="351" spans="1:29" ht="15.75" customHeight="1">
      <c r="A351" s="533"/>
      <c r="B351" s="533"/>
      <c r="C351" s="533"/>
      <c r="D351" s="533"/>
      <c r="E351" s="533"/>
      <c r="F351" s="533"/>
      <c r="G351" s="533"/>
      <c r="H351" s="533"/>
      <c r="I351" s="533"/>
      <c r="J351" s="533"/>
      <c r="K351" s="533"/>
      <c r="L351" s="533"/>
      <c r="M351" s="533"/>
      <c r="N351" s="533"/>
      <c r="O351" s="533"/>
      <c r="P351" s="533"/>
      <c r="Q351" s="533"/>
      <c r="R351" s="533"/>
      <c r="S351" s="533"/>
      <c r="T351" s="533"/>
      <c r="U351" s="533"/>
      <c r="V351" s="533"/>
      <c r="W351" s="533"/>
      <c r="X351" s="533"/>
      <c r="Y351" s="533"/>
      <c r="Z351" s="533"/>
      <c r="AA351" s="533"/>
      <c r="AB351" s="533"/>
      <c r="AC351" s="533"/>
    </row>
    <row r="352" spans="1:29" ht="15.75" customHeight="1">
      <c r="A352" s="533"/>
      <c r="B352" s="533"/>
      <c r="C352" s="533"/>
      <c r="D352" s="533"/>
      <c r="E352" s="533"/>
      <c r="F352" s="533"/>
      <c r="G352" s="533"/>
      <c r="H352" s="533"/>
      <c r="I352" s="533"/>
      <c r="J352" s="533"/>
      <c r="K352" s="533"/>
      <c r="L352" s="533"/>
      <c r="M352" s="533"/>
      <c r="N352" s="533"/>
      <c r="O352" s="533"/>
      <c r="P352" s="533"/>
      <c r="Q352" s="533"/>
      <c r="R352" s="533"/>
      <c r="S352" s="533"/>
      <c r="T352" s="533"/>
      <c r="U352" s="533"/>
      <c r="V352" s="533"/>
      <c r="W352" s="533"/>
      <c r="X352" s="533"/>
      <c r="Y352" s="533"/>
      <c r="Z352" s="533"/>
      <c r="AA352" s="533"/>
      <c r="AB352" s="533"/>
      <c r="AC352" s="533"/>
    </row>
    <row r="353" spans="1:29" ht="15.75" customHeight="1">
      <c r="A353" s="533"/>
      <c r="B353" s="533"/>
      <c r="C353" s="533"/>
      <c r="D353" s="533"/>
      <c r="E353" s="533"/>
      <c r="F353" s="533"/>
      <c r="G353" s="533"/>
      <c r="H353" s="533"/>
      <c r="I353" s="533"/>
      <c r="J353" s="533"/>
      <c r="K353" s="533"/>
      <c r="L353" s="533"/>
      <c r="M353" s="533"/>
      <c r="N353" s="533"/>
      <c r="O353" s="533"/>
      <c r="P353" s="533"/>
      <c r="Q353" s="533"/>
      <c r="R353" s="533"/>
      <c r="S353" s="533"/>
      <c r="T353" s="533"/>
      <c r="U353" s="533"/>
      <c r="V353" s="533"/>
      <c r="W353" s="533"/>
      <c r="X353" s="533"/>
      <c r="Y353" s="533"/>
      <c r="Z353" s="533"/>
      <c r="AA353" s="533"/>
      <c r="AB353" s="533"/>
      <c r="AC353" s="533"/>
    </row>
    <row r="354" spans="1:29" ht="15.75" customHeight="1">
      <c r="A354" s="533"/>
      <c r="B354" s="533"/>
      <c r="C354" s="533"/>
      <c r="D354" s="533"/>
      <c r="E354" s="533"/>
      <c r="F354" s="533"/>
      <c r="G354" s="533"/>
      <c r="H354" s="533"/>
      <c r="I354" s="533"/>
      <c r="J354" s="533"/>
      <c r="K354" s="533"/>
      <c r="L354" s="533"/>
      <c r="M354" s="533"/>
      <c r="N354" s="533"/>
      <c r="O354" s="533"/>
      <c r="P354" s="533"/>
      <c r="Q354" s="533"/>
      <c r="R354" s="533"/>
      <c r="S354" s="533"/>
      <c r="T354" s="533"/>
      <c r="U354" s="533"/>
      <c r="V354" s="533"/>
      <c r="W354" s="533"/>
      <c r="X354" s="533"/>
      <c r="Y354" s="533"/>
      <c r="Z354" s="533"/>
      <c r="AA354" s="533"/>
      <c r="AB354" s="533"/>
      <c r="AC354" s="533"/>
    </row>
    <row r="355" spans="1:29" ht="15.75" customHeight="1">
      <c r="A355" s="533"/>
      <c r="B355" s="533"/>
      <c r="C355" s="533"/>
      <c r="D355" s="533"/>
      <c r="E355" s="533"/>
      <c r="F355" s="533"/>
      <c r="G355" s="533"/>
      <c r="H355" s="533"/>
      <c r="I355" s="533"/>
      <c r="J355" s="533"/>
      <c r="K355" s="533"/>
      <c r="L355" s="533"/>
      <c r="M355" s="533"/>
      <c r="N355" s="533"/>
      <c r="O355" s="533"/>
      <c r="P355" s="533"/>
      <c r="Q355" s="533"/>
      <c r="R355" s="533"/>
      <c r="S355" s="533"/>
      <c r="T355" s="533"/>
      <c r="U355" s="533"/>
      <c r="V355" s="533"/>
      <c r="W355" s="533"/>
      <c r="X355" s="533"/>
      <c r="Y355" s="533"/>
      <c r="Z355" s="533"/>
      <c r="AA355" s="533"/>
      <c r="AB355" s="533"/>
      <c r="AC355" s="533"/>
    </row>
    <row r="356" spans="1:29" ht="15.75" customHeight="1">
      <c r="A356" s="533"/>
      <c r="B356" s="533"/>
      <c r="C356" s="533"/>
      <c r="D356" s="533"/>
      <c r="E356" s="533"/>
      <c r="F356" s="533"/>
      <c r="G356" s="533"/>
      <c r="H356" s="533"/>
      <c r="I356" s="533"/>
      <c r="J356" s="533"/>
      <c r="K356" s="533"/>
      <c r="L356" s="533"/>
      <c r="M356" s="533"/>
      <c r="N356" s="533"/>
      <c r="O356" s="533"/>
      <c r="P356" s="533"/>
      <c r="Q356" s="533"/>
      <c r="R356" s="533"/>
      <c r="S356" s="533"/>
      <c r="T356" s="533"/>
      <c r="U356" s="533"/>
      <c r="V356" s="533"/>
      <c r="W356" s="533"/>
      <c r="X356" s="533"/>
      <c r="Y356" s="533"/>
      <c r="Z356" s="533"/>
      <c r="AA356" s="533"/>
      <c r="AB356" s="533"/>
      <c r="AC356" s="533"/>
    </row>
    <row r="357" spans="1:29" ht="15.75" customHeight="1">
      <c r="A357" s="533"/>
      <c r="B357" s="533"/>
      <c r="C357" s="533"/>
      <c r="D357" s="533"/>
      <c r="E357" s="533"/>
      <c r="F357" s="533"/>
      <c r="G357" s="533"/>
      <c r="H357" s="533"/>
      <c r="I357" s="533"/>
      <c r="J357" s="533"/>
      <c r="K357" s="533"/>
      <c r="L357" s="533"/>
      <c r="M357" s="533"/>
      <c r="N357" s="533"/>
      <c r="O357" s="533"/>
      <c r="P357" s="533"/>
      <c r="Q357" s="533"/>
      <c r="R357" s="533"/>
      <c r="S357" s="533"/>
      <c r="T357" s="533"/>
      <c r="U357" s="533"/>
      <c r="V357" s="533"/>
      <c r="W357" s="533"/>
      <c r="X357" s="533"/>
      <c r="Y357" s="533"/>
      <c r="Z357" s="533"/>
      <c r="AA357" s="533"/>
      <c r="AB357" s="533"/>
      <c r="AC357" s="533"/>
    </row>
    <row r="358" spans="1:29" ht="15.75" customHeight="1">
      <c r="A358" s="533"/>
      <c r="B358" s="533"/>
      <c r="C358" s="533"/>
      <c r="D358" s="533"/>
      <c r="E358" s="533"/>
      <c r="F358" s="533"/>
      <c r="G358" s="533"/>
      <c r="H358" s="533"/>
      <c r="I358" s="533"/>
      <c r="J358" s="533"/>
      <c r="K358" s="533"/>
      <c r="L358" s="533"/>
      <c r="M358" s="533"/>
      <c r="N358" s="533"/>
      <c r="O358" s="533"/>
      <c r="P358" s="533"/>
      <c r="Q358" s="533"/>
      <c r="R358" s="533"/>
      <c r="S358" s="533"/>
      <c r="T358" s="533"/>
      <c r="U358" s="533"/>
      <c r="V358" s="533"/>
      <c r="W358" s="533"/>
      <c r="X358" s="533"/>
      <c r="Y358" s="533"/>
      <c r="Z358" s="533"/>
      <c r="AA358" s="533"/>
      <c r="AB358" s="533"/>
      <c r="AC358" s="533"/>
    </row>
    <row r="359" spans="1:29" ht="15.75" customHeight="1">
      <c r="A359" s="533"/>
      <c r="B359" s="533"/>
      <c r="C359" s="533"/>
      <c r="D359" s="533"/>
      <c r="E359" s="533"/>
      <c r="F359" s="533"/>
      <c r="G359" s="533"/>
      <c r="H359" s="533"/>
      <c r="I359" s="533"/>
      <c r="J359" s="533"/>
      <c r="K359" s="533"/>
      <c r="L359" s="533"/>
      <c r="M359" s="533"/>
      <c r="N359" s="533"/>
      <c r="O359" s="533"/>
      <c r="P359" s="533"/>
      <c r="Q359" s="533"/>
      <c r="R359" s="533"/>
      <c r="S359" s="533"/>
      <c r="T359" s="533"/>
      <c r="U359" s="533"/>
      <c r="V359" s="533"/>
      <c r="W359" s="533"/>
      <c r="X359" s="533"/>
      <c r="Y359" s="533"/>
      <c r="Z359" s="533"/>
      <c r="AA359" s="533"/>
      <c r="AB359" s="533"/>
      <c r="AC359" s="533"/>
    </row>
    <row r="360" spans="1:29" ht="15.75" customHeight="1">
      <c r="A360" s="533"/>
      <c r="B360" s="533"/>
      <c r="C360" s="533"/>
      <c r="D360" s="533"/>
      <c r="E360" s="533"/>
      <c r="F360" s="533"/>
      <c r="G360" s="533"/>
      <c r="H360" s="533"/>
      <c r="I360" s="533"/>
      <c r="J360" s="533"/>
      <c r="K360" s="533"/>
      <c r="L360" s="533"/>
      <c r="M360" s="533"/>
      <c r="N360" s="533"/>
      <c r="O360" s="533"/>
      <c r="P360" s="533"/>
      <c r="Q360" s="533"/>
      <c r="R360" s="533"/>
      <c r="S360" s="533"/>
      <c r="T360" s="533"/>
      <c r="U360" s="533"/>
      <c r="V360" s="533"/>
      <c r="W360" s="533"/>
      <c r="X360" s="533"/>
      <c r="Y360" s="533"/>
      <c r="Z360" s="533"/>
      <c r="AA360" s="533"/>
      <c r="AB360" s="533"/>
      <c r="AC360" s="533"/>
    </row>
    <row r="361" spans="1:29" ht="15.75" customHeight="1">
      <c r="A361" s="533"/>
      <c r="B361" s="533"/>
      <c r="C361" s="533"/>
      <c r="D361" s="533"/>
      <c r="E361" s="533"/>
      <c r="F361" s="533"/>
      <c r="G361" s="533"/>
      <c r="H361" s="533"/>
      <c r="I361" s="533"/>
      <c r="J361" s="533"/>
      <c r="K361" s="533"/>
      <c r="L361" s="533"/>
      <c r="M361" s="533"/>
      <c r="N361" s="533"/>
      <c r="O361" s="533"/>
      <c r="P361" s="533"/>
      <c r="Q361" s="533"/>
      <c r="R361" s="533"/>
      <c r="S361" s="533"/>
      <c r="T361" s="533"/>
      <c r="U361" s="533"/>
      <c r="V361" s="533"/>
      <c r="W361" s="533"/>
      <c r="X361" s="533"/>
      <c r="Y361" s="533"/>
      <c r="Z361" s="533"/>
      <c r="AA361" s="533"/>
      <c r="AB361" s="533"/>
      <c r="AC361" s="533"/>
    </row>
    <row r="362" spans="1:29" ht="15.75" customHeight="1">
      <c r="A362" s="533"/>
      <c r="B362" s="533"/>
      <c r="C362" s="533"/>
      <c r="D362" s="533"/>
      <c r="E362" s="533"/>
      <c r="F362" s="533"/>
      <c r="G362" s="533"/>
      <c r="H362" s="533"/>
      <c r="I362" s="533"/>
      <c r="J362" s="533"/>
      <c r="K362" s="533"/>
      <c r="L362" s="533"/>
      <c r="M362" s="533"/>
      <c r="N362" s="533"/>
      <c r="O362" s="533"/>
      <c r="P362" s="533"/>
      <c r="Q362" s="533"/>
      <c r="R362" s="533"/>
      <c r="S362" s="533"/>
      <c r="T362" s="533"/>
      <c r="U362" s="533"/>
      <c r="V362" s="533"/>
      <c r="W362" s="533"/>
      <c r="X362" s="533"/>
      <c r="Y362" s="533"/>
      <c r="Z362" s="533"/>
      <c r="AA362" s="533"/>
      <c r="AB362" s="533"/>
      <c r="AC362" s="533"/>
    </row>
    <row r="363" spans="1:29" ht="15.75" customHeight="1">
      <c r="A363" s="533"/>
      <c r="B363" s="533"/>
      <c r="C363" s="533"/>
      <c r="D363" s="533"/>
      <c r="E363" s="533"/>
      <c r="F363" s="533"/>
      <c r="G363" s="533"/>
      <c r="H363" s="533"/>
      <c r="I363" s="533"/>
      <c r="J363" s="533"/>
      <c r="K363" s="533"/>
      <c r="L363" s="533"/>
      <c r="M363" s="533"/>
      <c r="N363" s="533"/>
      <c r="O363" s="533"/>
      <c r="P363" s="533"/>
      <c r="Q363" s="533"/>
      <c r="R363" s="533"/>
      <c r="S363" s="533"/>
      <c r="T363" s="533"/>
      <c r="U363" s="533"/>
      <c r="V363" s="533"/>
      <c r="W363" s="533"/>
      <c r="X363" s="533"/>
      <c r="Y363" s="533"/>
      <c r="Z363" s="533"/>
      <c r="AA363" s="533"/>
      <c r="AB363" s="533"/>
      <c r="AC363" s="533"/>
    </row>
    <row r="364" spans="1:29" ht="15.75" customHeight="1">
      <c r="A364" s="533"/>
      <c r="B364" s="533"/>
      <c r="C364" s="533"/>
      <c r="D364" s="533"/>
      <c r="E364" s="533"/>
      <c r="F364" s="533"/>
      <c r="G364" s="533"/>
      <c r="H364" s="533"/>
      <c r="I364" s="533"/>
      <c r="J364" s="533"/>
      <c r="K364" s="533"/>
      <c r="L364" s="533"/>
      <c r="M364" s="533"/>
      <c r="N364" s="533"/>
      <c r="O364" s="533"/>
      <c r="P364" s="533"/>
      <c r="Q364" s="533"/>
      <c r="R364" s="533"/>
      <c r="S364" s="533"/>
      <c r="T364" s="533"/>
      <c r="U364" s="533"/>
      <c r="V364" s="533"/>
      <c r="W364" s="533"/>
      <c r="X364" s="533"/>
      <c r="Y364" s="533"/>
      <c r="Z364" s="533"/>
      <c r="AA364" s="533"/>
      <c r="AB364" s="533"/>
      <c r="AC364" s="533"/>
    </row>
    <row r="365" spans="1:29" ht="15.75" customHeight="1">
      <c r="A365" s="533"/>
      <c r="B365" s="533"/>
      <c r="C365" s="533"/>
      <c r="D365" s="533"/>
      <c r="E365" s="533"/>
      <c r="F365" s="533"/>
      <c r="G365" s="533"/>
      <c r="H365" s="533"/>
      <c r="I365" s="533"/>
      <c r="J365" s="533"/>
      <c r="K365" s="533"/>
      <c r="L365" s="533"/>
      <c r="M365" s="533"/>
      <c r="N365" s="533"/>
      <c r="O365" s="533"/>
      <c r="P365" s="533"/>
      <c r="Q365" s="533"/>
      <c r="R365" s="533"/>
      <c r="S365" s="533"/>
      <c r="T365" s="533"/>
      <c r="U365" s="533"/>
      <c r="V365" s="533"/>
      <c r="W365" s="533"/>
      <c r="X365" s="533"/>
      <c r="Y365" s="533"/>
      <c r="Z365" s="533"/>
      <c r="AA365" s="533"/>
      <c r="AB365" s="533"/>
      <c r="AC365" s="533"/>
    </row>
    <row r="366" spans="1:29" ht="15.75" customHeight="1">
      <c r="A366" s="533"/>
      <c r="B366" s="533"/>
      <c r="C366" s="533"/>
      <c r="D366" s="533"/>
      <c r="E366" s="533"/>
      <c r="F366" s="533"/>
      <c r="G366" s="533"/>
      <c r="H366" s="533"/>
      <c r="I366" s="533"/>
      <c r="J366" s="533"/>
      <c r="K366" s="533"/>
      <c r="L366" s="533"/>
      <c r="M366" s="533"/>
      <c r="N366" s="533"/>
      <c r="O366" s="533"/>
      <c r="P366" s="533"/>
      <c r="Q366" s="533"/>
      <c r="R366" s="533"/>
      <c r="S366" s="533"/>
      <c r="T366" s="533"/>
      <c r="U366" s="533"/>
      <c r="V366" s="533"/>
      <c r="W366" s="533"/>
      <c r="X366" s="533"/>
      <c r="Y366" s="533"/>
      <c r="Z366" s="533"/>
      <c r="AA366" s="533"/>
      <c r="AB366" s="533"/>
      <c r="AC366" s="533"/>
    </row>
    <row r="367" spans="1:29" ht="15.75" customHeight="1">
      <c r="A367" s="533"/>
      <c r="B367" s="533"/>
      <c r="C367" s="533"/>
      <c r="D367" s="533"/>
      <c r="E367" s="533"/>
      <c r="F367" s="533"/>
      <c r="G367" s="533"/>
      <c r="H367" s="533"/>
      <c r="I367" s="533"/>
      <c r="J367" s="533"/>
      <c r="K367" s="533"/>
      <c r="L367" s="533"/>
      <c r="M367" s="533"/>
      <c r="N367" s="533"/>
      <c r="O367" s="533"/>
      <c r="P367" s="533"/>
      <c r="Q367" s="533"/>
      <c r="R367" s="533"/>
      <c r="S367" s="533"/>
      <c r="T367" s="533"/>
      <c r="U367" s="533"/>
      <c r="V367" s="533"/>
      <c r="W367" s="533"/>
      <c r="X367" s="533"/>
      <c r="Y367" s="533"/>
      <c r="Z367" s="533"/>
      <c r="AA367" s="533"/>
      <c r="AB367" s="533"/>
      <c r="AC367" s="533"/>
    </row>
    <row r="368" spans="1:29" ht="15.75" customHeight="1">
      <c r="A368" s="533"/>
      <c r="B368" s="533"/>
      <c r="C368" s="533"/>
      <c r="D368" s="533"/>
      <c r="E368" s="533"/>
      <c r="F368" s="533"/>
      <c r="G368" s="533"/>
      <c r="H368" s="533"/>
      <c r="I368" s="533"/>
      <c r="J368" s="533"/>
      <c r="K368" s="533"/>
      <c r="L368" s="533"/>
      <c r="M368" s="533"/>
      <c r="N368" s="533"/>
      <c r="O368" s="533"/>
      <c r="P368" s="533"/>
      <c r="Q368" s="533"/>
      <c r="R368" s="533"/>
      <c r="S368" s="533"/>
      <c r="T368" s="533"/>
      <c r="U368" s="533"/>
      <c r="V368" s="533"/>
      <c r="W368" s="533"/>
      <c r="X368" s="533"/>
      <c r="Y368" s="533"/>
      <c r="Z368" s="533"/>
      <c r="AA368" s="533"/>
      <c r="AB368" s="533"/>
      <c r="AC368" s="533"/>
    </row>
    <row r="369" spans="1:29" ht="15.75" customHeight="1">
      <c r="A369" s="533"/>
      <c r="B369" s="533"/>
      <c r="C369" s="533"/>
      <c r="D369" s="533"/>
      <c r="E369" s="533"/>
      <c r="F369" s="533"/>
      <c r="G369" s="533"/>
      <c r="H369" s="533"/>
      <c r="I369" s="533"/>
      <c r="J369" s="533"/>
      <c r="K369" s="533"/>
      <c r="L369" s="533"/>
      <c r="M369" s="533"/>
      <c r="N369" s="533"/>
      <c r="O369" s="533"/>
      <c r="P369" s="533"/>
      <c r="Q369" s="533"/>
      <c r="R369" s="533"/>
      <c r="S369" s="533"/>
      <c r="T369" s="533"/>
      <c r="U369" s="533"/>
      <c r="V369" s="533"/>
      <c r="W369" s="533"/>
      <c r="X369" s="533"/>
      <c r="Y369" s="533"/>
      <c r="Z369" s="533"/>
      <c r="AA369" s="533"/>
      <c r="AB369" s="533"/>
      <c r="AC369" s="533"/>
    </row>
    <row r="370" spans="1:29" ht="15.75" customHeight="1">
      <c r="A370" s="533"/>
      <c r="B370" s="533"/>
      <c r="C370" s="533"/>
      <c r="D370" s="533"/>
      <c r="E370" s="533"/>
      <c r="F370" s="533"/>
      <c r="G370" s="533"/>
      <c r="H370" s="533"/>
      <c r="I370" s="533"/>
      <c r="J370" s="533"/>
      <c r="K370" s="533"/>
      <c r="L370" s="533"/>
      <c r="M370" s="533"/>
      <c r="N370" s="533"/>
      <c r="O370" s="533"/>
      <c r="P370" s="533"/>
      <c r="Q370" s="533"/>
      <c r="R370" s="533"/>
      <c r="S370" s="533"/>
      <c r="T370" s="533"/>
      <c r="U370" s="533"/>
      <c r="V370" s="533"/>
      <c r="W370" s="533"/>
      <c r="X370" s="533"/>
      <c r="Y370" s="533"/>
      <c r="Z370" s="533"/>
      <c r="AA370" s="533"/>
      <c r="AB370" s="533"/>
      <c r="AC370" s="533"/>
    </row>
    <row r="371" spans="1:29" ht="15.75" customHeight="1">
      <c r="A371" s="533"/>
      <c r="B371" s="533"/>
      <c r="C371" s="533"/>
      <c r="D371" s="533"/>
      <c r="E371" s="533"/>
      <c r="F371" s="533"/>
      <c r="G371" s="533"/>
      <c r="H371" s="533"/>
      <c r="I371" s="533"/>
      <c r="J371" s="533"/>
      <c r="K371" s="533"/>
      <c r="L371" s="533"/>
      <c r="M371" s="533"/>
      <c r="N371" s="533"/>
      <c r="O371" s="533"/>
      <c r="P371" s="533"/>
      <c r="Q371" s="533"/>
      <c r="R371" s="533"/>
      <c r="S371" s="533"/>
      <c r="T371" s="533"/>
      <c r="U371" s="533"/>
      <c r="V371" s="533"/>
      <c r="W371" s="533"/>
      <c r="X371" s="533"/>
      <c r="Y371" s="533"/>
      <c r="Z371" s="533"/>
      <c r="AA371" s="533"/>
      <c r="AB371" s="533"/>
      <c r="AC371" s="533"/>
    </row>
    <row r="372" spans="1:29" ht="15.75" customHeight="1">
      <c r="A372" s="533"/>
      <c r="B372" s="533"/>
      <c r="C372" s="533"/>
      <c r="D372" s="533"/>
      <c r="E372" s="533"/>
      <c r="F372" s="533"/>
      <c r="G372" s="533"/>
      <c r="H372" s="533"/>
      <c r="I372" s="533"/>
      <c r="J372" s="533"/>
      <c r="K372" s="533"/>
      <c r="L372" s="533"/>
      <c r="M372" s="533"/>
      <c r="N372" s="533"/>
      <c r="O372" s="533"/>
      <c r="P372" s="533"/>
      <c r="Q372" s="533"/>
      <c r="R372" s="533"/>
      <c r="S372" s="533"/>
      <c r="T372" s="533"/>
      <c r="U372" s="533"/>
      <c r="V372" s="533"/>
      <c r="W372" s="533"/>
      <c r="X372" s="533"/>
      <c r="Y372" s="533"/>
      <c r="Z372" s="533"/>
      <c r="AA372" s="533"/>
      <c r="AB372" s="533"/>
      <c r="AC372" s="533"/>
    </row>
    <row r="373" spans="1:29" ht="15.75" customHeight="1">
      <c r="A373" s="533"/>
      <c r="B373" s="533"/>
      <c r="C373" s="533"/>
      <c r="D373" s="533"/>
      <c r="E373" s="533"/>
      <c r="F373" s="533"/>
      <c r="G373" s="533"/>
      <c r="H373" s="533"/>
      <c r="I373" s="533"/>
      <c r="J373" s="533"/>
      <c r="K373" s="533"/>
      <c r="L373" s="533"/>
      <c r="M373" s="533"/>
      <c r="N373" s="533"/>
      <c r="O373" s="533"/>
      <c r="P373" s="533"/>
      <c r="Q373" s="533"/>
      <c r="R373" s="533"/>
      <c r="S373" s="533"/>
      <c r="T373" s="533"/>
      <c r="U373" s="533"/>
      <c r="V373" s="533"/>
      <c r="W373" s="533"/>
      <c r="X373" s="533"/>
      <c r="Y373" s="533"/>
      <c r="Z373" s="533"/>
      <c r="AA373" s="533"/>
      <c r="AB373" s="533"/>
      <c r="AC373" s="533"/>
    </row>
    <row r="374" spans="1:29" ht="15.75" customHeight="1">
      <c r="A374" s="533"/>
      <c r="B374" s="533"/>
      <c r="C374" s="533"/>
      <c r="D374" s="533"/>
      <c r="E374" s="533"/>
      <c r="F374" s="533"/>
      <c r="G374" s="533"/>
      <c r="H374" s="533"/>
      <c r="I374" s="533"/>
      <c r="J374" s="533"/>
      <c r="K374" s="533"/>
      <c r="L374" s="533"/>
      <c r="M374" s="533"/>
      <c r="N374" s="533"/>
      <c r="O374" s="533"/>
      <c r="P374" s="533"/>
      <c r="Q374" s="533"/>
      <c r="R374" s="533"/>
      <c r="S374" s="533"/>
      <c r="T374" s="533"/>
      <c r="U374" s="533"/>
      <c r="V374" s="533"/>
      <c r="W374" s="533"/>
      <c r="X374" s="533"/>
      <c r="Y374" s="533"/>
      <c r="Z374" s="533"/>
      <c r="AA374" s="533"/>
      <c r="AB374" s="533"/>
      <c r="AC374" s="533"/>
    </row>
    <row r="375" spans="1:29" ht="15.75" customHeight="1">
      <c r="A375" s="533"/>
      <c r="B375" s="533"/>
      <c r="C375" s="533"/>
      <c r="D375" s="533"/>
      <c r="E375" s="533"/>
      <c r="F375" s="533"/>
      <c r="G375" s="533"/>
      <c r="H375" s="533"/>
      <c r="I375" s="533"/>
      <c r="J375" s="533"/>
      <c r="K375" s="533"/>
      <c r="L375" s="533"/>
      <c r="M375" s="533"/>
      <c r="N375" s="533"/>
      <c r="O375" s="533"/>
      <c r="P375" s="533"/>
      <c r="Q375" s="533"/>
      <c r="R375" s="533"/>
      <c r="S375" s="533"/>
      <c r="T375" s="533"/>
      <c r="U375" s="533"/>
      <c r="V375" s="533"/>
      <c r="W375" s="533"/>
      <c r="X375" s="533"/>
      <c r="Y375" s="533"/>
      <c r="Z375" s="533"/>
      <c r="AA375" s="533"/>
      <c r="AB375" s="533"/>
      <c r="AC375" s="533"/>
    </row>
    <row r="376" spans="1:29" ht="15.75" customHeight="1">
      <c r="A376" s="533"/>
      <c r="B376" s="533"/>
      <c r="C376" s="533"/>
      <c r="D376" s="533"/>
      <c r="E376" s="533"/>
      <c r="F376" s="533"/>
      <c r="G376" s="533"/>
      <c r="H376" s="533"/>
      <c r="I376" s="533"/>
      <c r="J376" s="533"/>
      <c r="K376" s="533"/>
      <c r="L376" s="533"/>
      <c r="M376" s="533"/>
      <c r="N376" s="533"/>
      <c r="O376" s="533"/>
      <c r="P376" s="533"/>
      <c r="Q376" s="533"/>
      <c r="R376" s="533"/>
      <c r="S376" s="533"/>
      <c r="T376" s="533"/>
      <c r="U376" s="533"/>
      <c r="V376" s="533"/>
      <c r="W376" s="533"/>
      <c r="X376" s="533"/>
      <c r="Y376" s="533"/>
      <c r="Z376" s="533"/>
      <c r="AA376" s="533"/>
      <c r="AB376" s="533"/>
      <c r="AC376" s="533"/>
    </row>
    <row r="377" spans="1:29" ht="15.75" customHeight="1">
      <c r="A377" s="533"/>
      <c r="B377" s="533"/>
      <c r="C377" s="533"/>
      <c r="D377" s="533"/>
      <c r="E377" s="533"/>
      <c r="F377" s="533"/>
      <c r="G377" s="533"/>
      <c r="H377" s="533"/>
      <c r="I377" s="533"/>
      <c r="J377" s="533"/>
      <c r="K377" s="533"/>
      <c r="L377" s="533"/>
      <c r="M377" s="533"/>
      <c r="N377" s="533"/>
      <c r="O377" s="533"/>
      <c r="P377" s="533"/>
      <c r="Q377" s="533"/>
      <c r="R377" s="533"/>
      <c r="S377" s="533"/>
      <c r="T377" s="533"/>
      <c r="U377" s="533"/>
      <c r="V377" s="533"/>
      <c r="W377" s="533"/>
      <c r="X377" s="533"/>
      <c r="Y377" s="533"/>
      <c r="Z377" s="533"/>
      <c r="AA377" s="533"/>
      <c r="AB377" s="533"/>
      <c r="AC377" s="533"/>
    </row>
    <row r="378" spans="1:29" ht="15.75" customHeight="1">
      <c r="A378" s="533"/>
      <c r="B378" s="533"/>
      <c r="C378" s="533"/>
      <c r="D378" s="533"/>
      <c r="E378" s="533"/>
      <c r="F378" s="533"/>
      <c r="G378" s="533"/>
      <c r="H378" s="533"/>
      <c r="I378" s="533"/>
      <c r="J378" s="533"/>
      <c r="K378" s="533"/>
      <c r="L378" s="533"/>
      <c r="M378" s="533"/>
      <c r="N378" s="533"/>
      <c r="O378" s="533"/>
      <c r="P378" s="533"/>
      <c r="Q378" s="533"/>
      <c r="R378" s="533"/>
      <c r="S378" s="533"/>
      <c r="T378" s="533"/>
      <c r="U378" s="533"/>
      <c r="V378" s="533"/>
      <c r="W378" s="533"/>
      <c r="X378" s="533"/>
      <c r="Y378" s="533"/>
      <c r="Z378" s="533"/>
      <c r="AA378" s="533"/>
      <c r="AB378" s="533"/>
      <c r="AC378" s="533"/>
    </row>
    <row r="379" spans="1:29" ht="15.75" customHeight="1">
      <c r="A379" s="533"/>
      <c r="B379" s="533"/>
      <c r="C379" s="533"/>
      <c r="D379" s="533"/>
      <c r="E379" s="533"/>
      <c r="F379" s="533"/>
      <c r="G379" s="533"/>
      <c r="H379" s="533"/>
      <c r="I379" s="533"/>
      <c r="J379" s="533"/>
      <c r="K379" s="533"/>
      <c r="L379" s="533"/>
      <c r="M379" s="533"/>
      <c r="N379" s="533"/>
      <c r="O379" s="533"/>
      <c r="P379" s="533"/>
      <c r="Q379" s="533"/>
      <c r="R379" s="533"/>
      <c r="S379" s="533"/>
      <c r="T379" s="533"/>
      <c r="U379" s="533"/>
      <c r="V379" s="533"/>
      <c r="W379" s="533"/>
      <c r="X379" s="533"/>
      <c r="Y379" s="533"/>
      <c r="Z379" s="533"/>
      <c r="AA379" s="533"/>
      <c r="AB379" s="533"/>
      <c r="AC379" s="533"/>
    </row>
    <row r="380" spans="1:29" ht="15.75" customHeight="1">
      <c r="A380" s="533"/>
      <c r="B380" s="533"/>
      <c r="C380" s="533"/>
      <c r="D380" s="533"/>
      <c r="E380" s="533"/>
      <c r="F380" s="533"/>
      <c r="G380" s="533"/>
      <c r="H380" s="533"/>
      <c r="I380" s="533"/>
      <c r="J380" s="533"/>
      <c r="K380" s="533"/>
      <c r="L380" s="533"/>
      <c r="M380" s="533"/>
      <c r="N380" s="533"/>
      <c r="O380" s="533"/>
      <c r="P380" s="533"/>
      <c r="Q380" s="533"/>
      <c r="R380" s="533"/>
      <c r="S380" s="533"/>
      <c r="T380" s="533"/>
      <c r="U380" s="533"/>
      <c r="V380" s="533"/>
      <c r="W380" s="533"/>
      <c r="X380" s="533"/>
      <c r="Y380" s="533"/>
      <c r="Z380" s="533"/>
      <c r="AA380" s="533"/>
      <c r="AB380" s="533"/>
      <c r="AC380" s="533"/>
    </row>
    <row r="381" spans="1:29" ht="15.75" customHeight="1">
      <c r="A381" s="533"/>
      <c r="B381" s="533"/>
      <c r="C381" s="533"/>
      <c r="D381" s="533"/>
      <c r="E381" s="533"/>
      <c r="F381" s="533"/>
      <c r="G381" s="533"/>
      <c r="H381" s="533"/>
      <c r="I381" s="533"/>
      <c r="J381" s="533"/>
      <c r="K381" s="533"/>
      <c r="L381" s="533"/>
      <c r="M381" s="533"/>
      <c r="N381" s="533"/>
      <c r="O381" s="533"/>
      <c r="P381" s="533"/>
      <c r="Q381" s="533"/>
      <c r="R381" s="533"/>
      <c r="S381" s="533"/>
      <c r="T381" s="533"/>
      <c r="U381" s="533"/>
      <c r="V381" s="533"/>
      <c r="W381" s="533"/>
      <c r="X381" s="533"/>
      <c r="Y381" s="533"/>
      <c r="Z381" s="533"/>
      <c r="AA381" s="533"/>
      <c r="AB381" s="533"/>
      <c r="AC381" s="533"/>
    </row>
    <row r="382" spans="1:29" ht="15.75" customHeight="1">
      <c r="A382" s="533"/>
      <c r="B382" s="533"/>
      <c r="C382" s="533"/>
      <c r="D382" s="533"/>
      <c r="E382" s="533"/>
      <c r="F382" s="533"/>
      <c r="G382" s="533"/>
      <c r="H382" s="533"/>
      <c r="I382" s="533"/>
      <c r="J382" s="533"/>
      <c r="K382" s="533"/>
      <c r="L382" s="533"/>
      <c r="M382" s="533"/>
      <c r="N382" s="533"/>
      <c r="O382" s="533"/>
      <c r="P382" s="533"/>
      <c r="Q382" s="533"/>
      <c r="R382" s="533"/>
      <c r="S382" s="533"/>
      <c r="T382" s="533"/>
      <c r="U382" s="533"/>
      <c r="V382" s="533"/>
      <c r="W382" s="533"/>
      <c r="X382" s="533"/>
      <c r="Y382" s="533"/>
      <c r="Z382" s="533"/>
      <c r="AA382" s="533"/>
      <c r="AB382" s="533"/>
      <c r="AC382" s="533"/>
    </row>
    <row r="383" spans="1:29" ht="15.75" customHeight="1">
      <c r="A383" s="533"/>
      <c r="B383" s="533"/>
      <c r="C383" s="533"/>
      <c r="D383" s="533"/>
      <c r="E383" s="533"/>
      <c r="F383" s="533"/>
      <c r="G383" s="533"/>
      <c r="H383" s="533"/>
      <c r="I383" s="533"/>
      <c r="J383" s="533"/>
      <c r="K383" s="533"/>
      <c r="L383" s="533"/>
      <c r="M383" s="533"/>
      <c r="N383" s="533"/>
      <c r="O383" s="533"/>
      <c r="P383" s="533"/>
      <c r="Q383" s="533"/>
      <c r="R383" s="533"/>
      <c r="S383" s="533"/>
      <c r="T383" s="533"/>
      <c r="U383" s="533"/>
      <c r="V383" s="533"/>
      <c r="W383" s="533"/>
      <c r="X383" s="533"/>
      <c r="Y383" s="533"/>
      <c r="Z383" s="533"/>
      <c r="AA383" s="533"/>
      <c r="AB383" s="533"/>
      <c r="AC383" s="533"/>
    </row>
    <row r="384" spans="1:29" ht="15.75" customHeight="1">
      <c r="A384" s="533"/>
      <c r="B384" s="533"/>
      <c r="C384" s="533"/>
      <c r="D384" s="533"/>
      <c r="E384" s="533"/>
      <c r="F384" s="533"/>
      <c r="G384" s="533"/>
      <c r="H384" s="533"/>
      <c r="I384" s="533"/>
      <c r="J384" s="533"/>
      <c r="K384" s="533"/>
      <c r="L384" s="533"/>
      <c r="M384" s="533"/>
      <c r="N384" s="533"/>
      <c r="O384" s="533"/>
      <c r="P384" s="533"/>
      <c r="Q384" s="533"/>
      <c r="R384" s="533"/>
      <c r="S384" s="533"/>
      <c r="T384" s="533"/>
      <c r="U384" s="533"/>
      <c r="V384" s="533"/>
      <c r="W384" s="533"/>
      <c r="X384" s="533"/>
      <c r="Y384" s="533"/>
      <c r="Z384" s="533"/>
      <c r="AA384" s="533"/>
      <c r="AB384" s="533"/>
      <c r="AC384" s="533"/>
    </row>
    <row r="385" spans="1:29" ht="15.75" customHeight="1">
      <c r="A385" s="533"/>
      <c r="B385" s="533"/>
      <c r="C385" s="533"/>
      <c r="D385" s="533"/>
      <c r="E385" s="533"/>
      <c r="F385" s="533"/>
      <c r="G385" s="533"/>
      <c r="H385" s="533"/>
      <c r="I385" s="533"/>
      <c r="J385" s="533"/>
      <c r="K385" s="533"/>
      <c r="L385" s="533"/>
      <c r="M385" s="533"/>
      <c r="N385" s="533"/>
      <c r="O385" s="533"/>
      <c r="P385" s="533"/>
      <c r="Q385" s="533"/>
      <c r="R385" s="533"/>
      <c r="S385" s="533"/>
      <c r="T385" s="533"/>
      <c r="U385" s="533"/>
      <c r="V385" s="533"/>
      <c r="W385" s="533"/>
      <c r="X385" s="533"/>
      <c r="Y385" s="533"/>
      <c r="Z385" s="533"/>
      <c r="AA385" s="533"/>
      <c r="AB385" s="533"/>
      <c r="AC385" s="533"/>
    </row>
    <row r="386" spans="1:29" ht="15.75" customHeight="1">
      <c r="A386" s="533"/>
      <c r="B386" s="533"/>
      <c r="C386" s="533"/>
      <c r="D386" s="533"/>
      <c r="E386" s="533"/>
      <c r="F386" s="533"/>
      <c r="G386" s="533"/>
      <c r="H386" s="533"/>
      <c r="I386" s="533"/>
      <c r="J386" s="533"/>
      <c r="K386" s="533"/>
      <c r="L386" s="533"/>
      <c r="M386" s="533"/>
      <c r="N386" s="533"/>
      <c r="O386" s="533"/>
      <c r="P386" s="533"/>
      <c r="Q386" s="533"/>
      <c r="R386" s="533"/>
      <c r="S386" s="533"/>
      <c r="T386" s="533"/>
      <c r="U386" s="533"/>
      <c r="V386" s="533"/>
      <c r="W386" s="533"/>
      <c r="X386" s="533"/>
      <c r="Y386" s="533"/>
      <c r="Z386" s="533"/>
      <c r="AA386" s="533"/>
      <c r="AB386" s="533"/>
      <c r="AC386" s="533"/>
    </row>
    <row r="387" spans="1:29" ht="15.75" customHeight="1">
      <c r="A387" s="533"/>
      <c r="B387" s="533"/>
      <c r="C387" s="533"/>
      <c r="D387" s="533"/>
      <c r="E387" s="533"/>
      <c r="F387" s="533"/>
      <c r="G387" s="533"/>
      <c r="H387" s="533"/>
      <c r="I387" s="533"/>
      <c r="J387" s="533"/>
      <c r="K387" s="533"/>
      <c r="L387" s="533"/>
      <c r="M387" s="533"/>
      <c r="N387" s="533"/>
      <c r="O387" s="533"/>
      <c r="P387" s="533"/>
      <c r="Q387" s="533"/>
      <c r="R387" s="533"/>
      <c r="S387" s="533"/>
      <c r="T387" s="533"/>
      <c r="U387" s="533"/>
      <c r="V387" s="533"/>
      <c r="W387" s="533"/>
      <c r="X387" s="533"/>
      <c r="Y387" s="533"/>
      <c r="Z387" s="533"/>
      <c r="AA387" s="533"/>
      <c r="AB387" s="533"/>
      <c r="AC387" s="533"/>
    </row>
    <row r="388" spans="1:29" ht="15.75" customHeight="1">
      <c r="A388" s="533"/>
      <c r="B388" s="533"/>
      <c r="C388" s="533"/>
      <c r="D388" s="533"/>
      <c r="E388" s="533"/>
      <c r="F388" s="533"/>
      <c r="G388" s="533"/>
      <c r="H388" s="533"/>
      <c r="I388" s="533"/>
      <c r="J388" s="533"/>
      <c r="K388" s="533"/>
      <c r="L388" s="533"/>
      <c r="M388" s="533"/>
      <c r="N388" s="533"/>
      <c r="O388" s="533"/>
      <c r="P388" s="533"/>
      <c r="Q388" s="533"/>
      <c r="R388" s="533"/>
      <c r="S388" s="533"/>
      <c r="T388" s="533"/>
      <c r="U388" s="533"/>
      <c r="V388" s="533"/>
      <c r="W388" s="533"/>
      <c r="X388" s="533"/>
      <c r="Y388" s="533"/>
      <c r="Z388" s="533"/>
      <c r="AA388" s="533"/>
      <c r="AB388" s="533"/>
      <c r="AC388" s="533"/>
    </row>
    <row r="389" spans="1:29" ht="15.75" customHeight="1">
      <c r="A389" s="533"/>
      <c r="B389" s="533"/>
      <c r="C389" s="533"/>
      <c r="D389" s="533"/>
      <c r="E389" s="533"/>
      <c r="F389" s="533"/>
      <c r="G389" s="533"/>
      <c r="H389" s="533"/>
      <c r="I389" s="533"/>
      <c r="J389" s="533"/>
      <c r="K389" s="533"/>
      <c r="L389" s="533"/>
      <c r="M389" s="533"/>
      <c r="N389" s="533"/>
      <c r="O389" s="533"/>
      <c r="P389" s="533"/>
      <c r="Q389" s="533"/>
      <c r="R389" s="533"/>
      <c r="S389" s="533"/>
      <c r="T389" s="533"/>
      <c r="U389" s="533"/>
      <c r="V389" s="533"/>
      <c r="W389" s="533"/>
      <c r="X389" s="533"/>
      <c r="Y389" s="533"/>
      <c r="Z389" s="533"/>
      <c r="AA389" s="533"/>
      <c r="AB389" s="533"/>
      <c r="AC389" s="533"/>
    </row>
    <row r="390" spans="1:29" ht="15.75" customHeight="1">
      <c r="A390" s="533"/>
      <c r="B390" s="533"/>
      <c r="C390" s="533"/>
      <c r="D390" s="533"/>
      <c r="E390" s="533"/>
      <c r="F390" s="533"/>
      <c r="G390" s="533"/>
      <c r="H390" s="533"/>
      <c r="I390" s="533"/>
      <c r="J390" s="533"/>
      <c r="K390" s="533"/>
      <c r="L390" s="533"/>
      <c r="M390" s="533"/>
      <c r="N390" s="533"/>
      <c r="O390" s="533"/>
      <c r="P390" s="533"/>
      <c r="Q390" s="533"/>
      <c r="R390" s="533"/>
      <c r="S390" s="533"/>
      <c r="T390" s="533"/>
      <c r="U390" s="533"/>
      <c r="V390" s="533"/>
      <c r="W390" s="533"/>
      <c r="X390" s="533"/>
      <c r="Y390" s="533"/>
      <c r="Z390" s="533"/>
      <c r="AA390" s="533"/>
      <c r="AB390" s="533"/>
      <c r="AC390" s="533"/>
    </row>
    <row r="391" spans="1:29" ht="15.75" customHeight="1">
      <c r="A391" s="533"/>
      <c r="B391" s="533"/>
      <c r="C391" s="533"/>
      <c r="D391" s="533"/>
      <c r="E391" s="533"/>
      <c r="F391" s="533"/>
      <c r="G391" s="533"/>
      <c r="H391" s="533"/>
      <c r="I391" s="533"/>
      <c r="J391" s="533"/>
      <c r="K391" s="533"/>
      <c r="L391" s="533"/>
      <c r="M391" s="533"/>
      <c r="N391" s="533"/>
      <c r="O391" s="533"/>
      <c r="P391" s="533"/>
      <c r="Q391" s="533"/>
      <c r="R391" s="533"/>
      <c r="S391" s="533"/>
      <c r="T391" s="533"/>
      <c r="U391" s="533"/>
      <c r="V391" s="533"/>
      <c r="W391" s="533"/>
      <c r="X391" s="533"/>
      <c r="Y391" s="533"/>
      <c r="Z391" s="533"/>
      <c r="AA391" s="533"/>
      <c r="AB391" s="533"/>
      <c r="AC391" s="533"/>
    </row>
    <row r="392" spans="1:29" ht="15.75" customHeight="1">
      <c r="A392" s="533"/>
      <c r="B392" s="533"/>
      <c r="C392" s="533"/>
      <c r="D392" s="533"/>
      <c r="E392" s="533"/>
      <c r="F392" s="533"/>
      <c r="G392" s="533"/>
      <c r="H392" s="533"/>
      <c r="I392" s="533"/>
      <c r="J392" s="533"/>
      <c r="K392" s="533"/>
      <c r="L392" s="533"/>
      <c r="M392" s="533"/>
      <c r="N392" s="533"/>
      <c r="O392" s="533"/>
      <c r="P392" s="533"/>
      <c r="Q392" s="533"/>
      <c r="R392" s="533"/>
      <c r="S392" s="533"/>
      <c r="T392" s="533"/>
      <c r="U392" s="533"/>
      <c r="V392" s="533"/>
      <c r="W392" s="533"/>
      <c r="X392" s="533"/>
      <c r="Y392" s="533"/>
      <c r="Z392" s="533"/>
      <c r="AA392" s="533"/>
      <c r="AB392" s="533"/>
      <c r="AC392" s="533"/>
    </row>
    <row r="393" spans="1:29" ht="15.75" customHeight="1">
      <c r="A393" s="533"/>
      <c r="B393" s="533"/>
      <c r="C393" s="533"/>
      <c r="D393" s="533"/>
      <c r="E393" s="533"/>
      <c r="F393" s="533"/>
      <c r="G393" s="533"/>
      <c r="H393" s="533"/>
      <c r="I393" s="533"/>
      <c r="J393" s="533"/>
      <c r="K393" s="533"/>
      <c r="L393" s="533"/>
      <c r="M393" s="533"/>
      <c r="N393" s="533"/>
      <c r="O393" s="533"/>
      <c r="P393" s="533"/>
      <c r="Q393" s="533"/>
      <c r="R393" s="533"/>
      <c r="S393" s="533"/>
      <c r="T393" s="533"/>
      <c r="U393" s="533"/>
      <c r="V393" s="533"/>
      <c r="W393" s="533"/>
      <c r="X393" s="533"/>
      <c r="Y393" s="533"/>
      <c r="Z393" s="533"/>
      <c r="AA393" s="533"/>
      <c r="AB393" s="533"/>
      <c r="AC393" s="533"/>
    </row>
    <row r="394" spans="1:29" ht="15.75" customHeight="1">
      <c r="A394" s="533"/>
      <c r="B394" s="533"/>
      <c r="C394" s="533"/>
      <c r="D394" s="533"/>
      <c r="E394" s="533"/>
      <c r="F394" s="533"/>
      <c r="G394" s="533"/>
      <c r="H394" s="533"/>
      <c r="I394" s="533"/>
      <c r="J394" s="533"/>
      <c r="K394" s="533"/>
      <c r="L394" s="533"/>
      <c r="M394" s="533"/>
      <c r="N394" s="533"/>
      <c r="O394" s="533"/>
      <c r="P394" s="533"/>
      <c r="Q394" s="533"/>
      <c r="R394" s="533"/>
      <c r="S394" s="533"/>
      <c r="T394" s="533"/>
      <c r="U394" s="533"/>
      <c r="V394" s="533"/>
      <c r="W394" s="533"/>
      <c r="X394" s="533"/>
      <c r="Y394" s="533"/>
      <c r="Z394" s="533"/>
      <c r="AA394" s="533"/>
      <c r="AB394" s="533"/>
      <c r="AC394" s="533"/>
    </row>
    <row r="395" spans="1:29" ht="15.75" customHeight="1">
      <c r="A395" s="533"/>
      <c r="B395" s="533"/>
      <c r="C395" s="533"/>
      <c r="D395" s="533"/>
      <c r="E395" s="533"/>
      <c r="F395" s="533"/>
      <c r="G395" s="533"/>
      <c r="H395" s="533"/>
      <c r="I395" s="533"/>
      <c r="J395" s="533"/>
      <c r="K395" s="533"/>
      <c r="L395" s="533"/>
      <c r="M395" s="533"/>
      <c r="N395" s="533"/>
      <c r="O395" s="533"/>
      <c r="P395" s="533"/>
      <c r="Q395" s="533"/>
      <c r="R395" s="533"/>
      <c r="S395" s="533"/>
      <c r="T395" s="533"/>
      <c r="U395" s="533"/>
      <c r="V395" s="533"/>
      <c r="W395" s="533"/>
      <c r="X395" s="533"/>
      <c r="Y395" s="533"/>
      <c r="Z395" s="533"/>
      <c r="AA395" s="533"/>
      <c r="AB395" s="533"/>
      <c r="AC395" s="533"/>
    </row>
    <row r="396" spans="1:29" ht="15.75" customHeight="1">
      <c r="A396" s="533"/>
      <c r="B396" s="533"/>
      <c r="C396" s="533"/>
      <c r="D396" s="533"/>
      <c r="E396" s="533"/>
      <c r="F396" s="533"/>
      <c r="G396" s="533"/>
      <c r="H396" s="533"/>
      <c r="I396" s="533"/>
      <c r="J396" s="533"/>
      <c r="K396" s="533"/>
      <c r="L396" s="533"/>
      <c r="M396" s="533"/>
      <c r="N396" s="533"/>
      <c r="O396" s="533"/>
      <c r="P396" s="533"/>
      <c r="Q396" s="533"/>
      <c r="R396" s="533"/>
      <c r="S396" s="533"/>
      <c r="T396" s="533"/>
      <c r="U396" s="533"/>
      <c r="V396" s="533"/>
      <c r="W396" s="533"/>
      <c r="X396" s="533"/>
      <c r="Y396" s="533"/>
      <c r="Z396" s="533"/>
      <c r="AA396" s="533"/>
      <c r="AB396" s="533"/>
      <c r="AC396" s="533"/>
    </row>
    <row r="397" spans="1:29" ht="15.75" customHeight="1">
      <c r="A397" s="533"/>
      <c r="B397" s="533"/>
      <c r="C397" s="533"/>
      <c r="D397" s="533"/>
      <c r="E397" s="533"/>
      <c r="F397" s="533"/>
      <c r="G397" s="533"/>
      <c r="H397" s="533"/>
      <c r="I397" s="533"/>
      <c r="J397" s="533"/>
      <c r="K397" s="533"/>
      <c r="L397" s="533"/>
      <c r="M397" s="533"/>
      <c r="N397" s="533"/>
      <c r="O397" s="533"/>
      <c r="P397" s="533"/>
      <c r="Q397" s="533"/>
      <c r="R397" s="533"/>
      <c r="S397" s="533"/>
      <c r="T397" s="533"/>
      <c r="U397" s="533"/>
      <c r="V397" s="533"/>
      <c r="W397" s="533"/>
      <c r="X397" s="533"/>
      <c r="Y397" s="533"/>
      <c r="Z397" s="533"/>
      <c r="AA397" s="533"/>
      <c r="AB397" s="533"/>
      <c r="AC397" s="533"/>
    </row>
    <row r="398" spans="1:29" ht="15.75" customHeight="1">
      <c r="A398" s="533"/>
      <c r="B398" s="533"/>
      <c r="C398" s="533"/>
      <c r="D398" s="533"/>
      <c r="E398" s="533"/>
      <c r="F398" s="533"/>
      <c r="G398" s="533"/>
      <c r="H398" s="533"/>
      <c r="I398" s="533"/>
      <c r="J398" s="533"/>
      <c r="K398" s="533"/>
      <c r="L398" s="533"/>
      <c r="M398" s="533"/>
      <c r="N398" s="533"/>
      <c r="O398" s="533"/>
      <c r="P398" s="533"/>
      <c r="Q398" s="533"/>
      <c r="R398" s="533"/>
      <c r="S398" s="533"/>
      <c r="T398" s="533"/>
      <c r="U398" s="533"/>
      <c r="V398" s="533"/>
      <c r="W398" s="533"/>
      <c r="X398" s="533"/>
      <c r="Y398" s="533"/>
      <c r="Z398" s="533"/>
      <c r="AA398" s="533"/>
      <c r="AB398" s="533"/>
      <c r="AC398" s="533"/>
    </row>
    <row r="399" spans="1:29" ht="15.75" customHeight="1">
      <c r="A399" s="533"/>
      <c r="B399" s="533"/>
      <c r="C399" s="533"/>
      <c r="D399" s="533"/>
      <c r="E399" s="533"/>
      <c r="F399" s="533"/>
      <c r="G399" s="533"/>
      <c r="H399" s="533"/>
      <c r="I399" s="533"/>
      <c r="J399" s="533"/>
      <c r="K399" s="533"/>
      <c r="L399" s="533"/>
      <c r="M399" s="533"/>
      <c r="N399" s="533"/>
      <c r="O399" s="533"/>
      <c r="P399" s="533"/>
      <c r="Q399" s="533"/>
      <c r="R399" s="533"/>
      <c r="S399" s="533"/>
      <c r="T399" s="533"/>
      <c r="U399" s="533"/>
      <c r="V399" s="533"/>
      <c r="W399" s="533"/>
      <c r="X399" s="533"/>
      <c r="Y399" s="533"/>
      <c r="Z399" s="533"/>
      <c r="AA399" s="533"/>
      <c r="AB399" s="533"/>
      <c r="AC399" s="533"/>
    </row>
    <row r="400" spans="1:29" ht="15.75" customHeight="1">
      <c r="A400" s="533"/>
      <c r="B400" s="533"/>
      <c r="C400" s="533"/>
      <c r="D400" s="533"/>
      <c r="E400" s="533"/>
      <c r="F400" s="533"/>
      <c r="G400" s="533"/>
      <c r="H400" s="533"/>
      <c r="I400" s="533"/>
      <c r="J400" s="533"/>
      <c r="K400" s="533"/>
      <c r="L400" s="533"/>
      <c r="M400" s="533"/>
      <c r="N400" s="533"/>
      <c r="O400" s="533"/>
      <c r="P400" s="533"/>
      <c r="Q400" s="533"/>
      <c r="R400" s="533"/>
      <c r="S400" s="533"/>
      <c r="T400" s="533"/>
      <c r="U400" s="533"/>
      <c r="V400" s="533"/>
      <c r="W400" s="533"/>
      <c r="X400" s="533"/>
      <c r="Y400" s="533"/>
      <c r="Z400" s="533"/>
      <c r="AA400" s="533"/>
      <c r="AB400" s="533"/>
      <c r="AC400" s="533"/>
    </row>
    <row r="401" spans="1:29" ht="15.75" customHeight="1">
      <c r="A401" s="533"/>
      <c r="B401" s="533"/>
      <c r="C401" s="533"/>
      <c r="D401" s="533"/>
      <c r="E401" s="533"/>
      <c r="F401" s="533"/>
      <c r="G401" s="533"/>
      <c r="H401" s="533"/>
      <c r="I401" s="533"/>
      <c r="J401" s="533"/>
      <c r="K401" s="533"/>
      <c r="L401" s="533"/>
      <c r="M401" s="533"/>
      <c r="N401" s="533"/>
      <c r="O401" s="533"/>
      <c r="P401" s="533"/>
      <c r="Q401" s="533"/>
      <c r="R401" s="533"/>
      <c r="S401" s="533"/>
      <c r="T401" s="533"/>
      <c r="U401" s="533"/>
      <c r="V401" s="533"/>
      <c r="W401" s="533"/>
      <c r="X401" s="533"/>
      <c r="Y401" s="533"/>
      <c r="Z401" s="533"/>
      <c r="AA401" s="533"/>
      <c r="AB401" s="533"/>
      <c r="AC401" s="533"/>
    </row>
    <row r="402" spans="1:29" ht="15.75" customHeight="1">
      <c r="A402" s="533"/>
      <c r="B402" s="533"/>
      <c r="C402" s="533"/>
      <c r="D402" s="533"/>
      <c r="E402" s="533"/>
      <c r="F402" s="533"/>
      <c r="G402" s="533"/>
      <c r="H402" s="533"/>
      <c r="I402" s="533"/>
      <c r="J402" s="533"/>
      <c r="K402" s="533"/>
      <c r="L402" s="533"/>
      <c r="M402" s="533"/>
      <c r="N402" s="533"/>
      <c r="O402" s="533"/>
      <c r="P402" s="533"/>
      <c r="Q402" s="533"/>
      <c r="R402" s="533"/>
      <c r="S402" s="533"/>
      <c r="T402" s="533"/>
      <c r="U402" s="533"/>
      <c r="V402" s="533"/>
      <c r="W402" s="533"/>
      <c r="X402" s="533"/>
      <c r="Y402" s="533"/>
      <c r="Z402" s="533"/>
      <c r="AA402" s="533"/>
      <c r="AB402" s="533"/>
      <c r="AC402" s="533"/>
    </row>
    <row r="403" spans="1:29" ht="15.75" customHeight="1">
      <c r="A403" s="533"/>
      <c r="B403" s="533"/>
      <c r="C403" s="533"/>
      <c r="D403" s="533"/>
      <c r="E403" s="533"/>
      <c r="F403" s="533"/>
      <c r="G403" s="533"/>
      <c r="H403" s="533"/>
      <c r="I403" s="533"/>
      <c r="J403" s="533"/>
      <c r="K403" s="533"/>
      <c r="L403" s="533"/>
      <c r="M403" s="533"/>
      <c r="N403" s="533"/>
      <c r="O403" s="533"/>
      <c r="P403" s="533"/>
      <c r="Q403" s="533"/>
      <c r="R403" s="533"/>
      <c r="S403" s="533"/>
      <c r="T403" s="533"/>
      <c r="U403" s="533"/>
      <c r="V403" s="533"/>
      <c r="W403" s="533"/>
      <c r="X403" s="533"/>
      <c r="Y403" s="533"/>
      <c r="Z403" s="533"/>
      <c r="AA403" s="533"/>
      <c r="AB403" s="533"/>
      <c r="AC403" s="533"/>
    </row>
    <row r="404" spans="1:29" ht="15.75" customHeight="1">
      <c r="A404" s="533"/>
      <c r="B404" s="533"/>
      <c r="C404" s="533"/>
      <c r="D404" s="533"/>
      <c r="E404" s="533"/>
      <c r="F404" s="533"/>
      <c r="G404" s="533"/>
      <c r="H404" s="533"/>
      <c r="I404" s="533"/>
      <c r="J404" s="533"/>
      <c r="K404" s="533"/>
      <c r="L404" s="533"/>
      <c r="M404" s="533"/>
      <c r="N404" s="533"/>
      <c r="O404" s="533"/>
      <c r="P404" s="533"/>
      <c r="Q404" s="533"/>
      <c r="R404" s="533"/>
      <c r="S404" s="533"/>
      <c r="T404" s="533"/>
      <c r="U404" s="533"/>
      <c r="V404" s="533"/>
      <c r="W404" s="533"/>
      <c r="X404" s="533"/>
      <c r="Y404" s="533"/>
      <c r="Z404" s="533"/>
      <c r="AA404" s="533"/>
      <c r="AB404" s="533"/>
      <c r="AC404" s="533"/>
    </row>
    <row r="405" spans="1:29" ht="15.75" customHeight="1">
      <c r="A405" s="533"/>
      <c r="B405" s="533"/>
      <c r="C405" s="533"/>
      <c r="D405" s="533"/>
      <c r="E405" s="533"/>
      <c r="F405" s="533"/>
      <c r="G405" s="533"/>
      <c r="H405" s="533"/>
      <c r="I405" s="533"/>
      <c r="J405" s="533"/>
      <c r="K405" s="533"/>
      <c r="L405" s="533"/>
      <c r="M405" s="533"/>
      <c r="N405" s="533"/>
      <c r="O405" s="533"/>
      <c r="P405" s="533"/>
      <c r="Q405" s="533"/>
      <c r="R405" s="533"/>
      <c r="S405" s="533"/>
      <c r="T405" s="533"/>
      <c r="U405" s="533"/>
      <c r="V405" s="533"/>
      <c r="W405" s="533"/>
      <c r="X405" s="533"/>
      <c r="Y405" s="533"/>
      <c r="Z405" s="533"/>
      <c r="AA405" s="533"/>
      <c r="AB405" s="533"/>
      <c r="AC405" s="533"/>
    </row>
    <row r="406" spans="1:29" ht="15.75" customHeight="1">
      <c r="A406" s="533"/>
      <c r="B406" s="533"/>
      <c r="C406" s="533"/>
      <c r="D406" s="533"/>
      <c r="E406" s="533"/>
      <c r="F406" s="533"/>
      <c r="G406" s="533"/>
      <c r="H406" s="533"/>
      <c r="I406" s="533"/>
      <c r="J406" s="533"/>
      <c r="K406" s="533"/>
      <c r="L406" s="533"/>
      <c r="M406" s="533"/>
      <c r="N406" s="533"/>
      <c r="O406" s="533"/>
      <c r="P406" s="533"/>
      <c r="Q406" s="533"/>
      <c r="R406" s="533"/>
      <c r="S406" s="533"/>
      <c r="T406" s="533"/>
      <c r="U406" s="533"/>
      <c r="V406" s="533"/>
      <c r="W406" s="533"/>
      <c r="X406" s="533"/>
      <c r="Y406" s="533"/>
      <c r="Z406" s="533"/>
      <c r="AA406" s="533"/>
      <c r="AB406" s="533"/>
      <c r="AC406" s="533"/>
    </row>
    <row r="407" spans="1:29" ht="15.75" customHeight="1">
      <c r="A407" s="533"/>
      <c r="B407" s="533"/>
      <c r="C407" s="533"/>
      <c r="D407" s="533"/>
      <c r="E407" s="533"/>
      <c r="F407" s="533"/>
      <c r="G407" s="533"/>
      <c r="H407" s="533"/>
      <c r="I407" s="533"/>
      <c r="J407" s="533"/>
      <c r="K407" s="533"/>
      <c r="L407" s="533"/>
      <c r="M407" s="533"/>
      <c r="N407" s="533"/>
      <c r="O407" s="533"/>
      <c r="P407" s="533"/>
      <c r="Q407" s="533"/>
      <c r="R407" s="533"/>
      <c r="S407" s="533"/>
      <c r="T407" s="533"/>
      <c r="U407" s="533"/>
      <c r="V407" s="533"/>
      <c r="W407" s="533"/>
      <c r="X407" s="533"/>
      <c r="Y407" s="533"/>
      <c r="Z407" s="533"/>
      <c r="AA407" s="533"/>
      <c r="AB407" s="533"/>
      <c r="AC407" s="533"/>
    </row>
    <row r="408" spans="1:29" ht="15.75" customHeight="1">
      <c r="A408" s="533"/>
      <c r="B408" s="533"/>
      <c r="C408" s="533"/>
      <c r="D408" s="533"/>
      <c r="E408" s="533"/>
      <c r="F408" s="533"/>
      <c r="G408" s="533"/>
      <c r="H408" s="533"/>
      <c r="I408" s="533"/>
      <c r="J408" s="533"/>
      <c r="K408" s="533"/>
      <c r="L408" s="533"/>
      <c r="M408" s="533"/>
      <c r="N408" s="533"/>
      <c r="O408" s="533"/>
      <c r="P408" s="533"/>
      <c r="Q408" s="533"/>
      <c r="R408" s="533"/>
      <c r="S408" s="533"/>
      <c r="T408" s="533"/>
      <c r="U408" s="533"/>
      <c r="V408" s="533"/>
      <c r="W408" s="533"/>
      <c r="X408" s="533"/>
      <c r="Y408" s="533"/>
      <c r="Z408" s="533"/>
      <c r="AA408" s="533"/>
      <c r="AB408" s="533"/>
      <c r="AC408" s="533"/>
    </row>
    <row r="409" spans="1:29" ht="15.75" customHeight="1">
      <c r="A409" s="533"/>
      <c r="B409" s="533"/>
      <c r="C409" s="533"/>
      <c r="D409" s="533"/>
      <c r="E409" s="533"/>
      <c r="F409" s="533"/>
      <c r="G409" s="533"/>
      <c r="H409" s="533"/>
      <c r="I409" s="533"/>
      <c r="J409" s="533"/>
      <c r="K409" s="533"/>
      <c r="L409" s="533"/>
      <c r="M409" s="533"/>
      <c r="N409" s="533"/>
      <c r="O409" s="533"/>
      <c r="P409" s="533"/>
      <c r="Q409" s="533"/>
      <c r="R409" s="533"/>
      <c r="S409" s="533"/>
      <c r="T409" s="533"/>
      <c r="U409" s="533"/>
      <c r="V409" s="533"/>
      <c r="W409" s="533"/>
      <c r="X409" s="533"/>
      <c r="Y409" s="533"/>
      <c r="Z409" s="533"/>
      <c r="AA409" s="533"/>
      <c r="AB409" s="533"/>
      <c r="AC409" s="533"/>
    </row>
    <row r="410" spans="1:29" ht="15.75" customHeight="1">
      <c r="A410" s="533"/>
      <c r="B410" s="533"/>
      <c r="C410" s="533"/>
      <c r="D410" s="533"/>
      <c r="E410" s="533"/>
      <c r="F410" s="533"/>
      <c r="G410" s="533"/>
      <c r="H410" s="533"/>
      <c r="I410" s="533"/>
      <c r="J410" s="533"/>
      <c r="K410" s="533"/>
      <c r="L410" s="533"/>
      <c r="M410" s="533"/>
      <c r="N410" s="533"/>
      <c r="O410" s="533"/>
      <c r="P410" s="533"/>
      <c r="Q410" s="533"/>
      <c r="R410" s="533"/>
      <c r="S410" s="533"/>
      <c r="T410" s="533"/>
      <c r="U410" s="533"/>
      <c r="V410" s="533"/>
      <c r="W410" s="533"/>
      <c r="X410" s="533"/>
      <c r="Y410" s="533"/>
      <c r="Z410" s="533"/>
      <c r="AA410" s="533"/>
      <c r="AB410" s="533"/>
      <c r="AC410" s="533"/>
    </row>
    <row r="411" spans="1:29" ht="15.75" customHeight="1">
      <c r="A411" s="533"/>
      <c r="B411" s="533"/>
      <c r="C411" s="533"/>
      <c r="D411" s="533"/>
      <c r="E411" s="533"/>
      <c r="F411" s="533"/>
      <c r="G411" s="533"/>
      <c r="H411" s="533"/>
      <c r="I411" s="533"/>
      <c r="J411" s="533"/>
      <c r="K411" s="533"/>
      <c r="L411" s="533"/>
      <c r="M411" s="533"/>
      <c r="N411" s="533"/>
      <c r="O411" s="533"/>
      <c r="P411" s="533"/>
      <c r="Q411" s="533"/>
      <c r="R411" s="533"/>
      <c r="S411" s="533"/>
      <c r="T411" s="533"/>
      <c r="U411" s="533"/>
      <c r="V411" s="533"/>
      <c r="W411" s="533"/>
      <c r="X411" s="533"/>
      <c r="Y411" s="533"/>
      <c r="Z411" s="533"/>
      <c r="AA411" s="533"/>
      <c r="AB411" s="533"/>
      <c r="AC411" s="533"/>
    </row>
    <row r="412" spans="1:29" ht="15.75" customHeight="1">
      <c r="A412" s="533"/>
      <c r="B412" s="533"/>
      <c r="C412" s="533"/>
      <c r="D412" s="533"/>
      <c r="E412" s="533"/>
      <c r="F412" s="533"/>
      <c r="G412" s="533"/>
      <c r="H412" s="533"/>
      <c r="I412" s="533"/>
      <c r="J412" s="533"/>
      <c r="K412" s="533"/>
      <c r="L412" s="533"/>
      <c r="M412" s="533"/>
      <c r="N412" s="533"/>
      <c r="O412" s="533"/>
      <c r="P412" s="533"/>
      <c r="Q412" s="533"/>
      <c r="R412" s="533"/>
      <c r="S412" s="533"/>
      <c r="T412" s="533"/>
      <c r="U412" s="533"/>
      <c r="V412" s="533"/>
      <c r="W412" s="533"/>
      <c r="X412" s="533"/>
      <c r="Y412" s="533"/>
      <c r="Z412" s="533"/>
      <c r="AA412" s="533"/>
      <c r="AB412" s="533"/>
      <c r="AC412" s="533"/>
    </row>
    <row r="413" spans="1:29" ht="15.75" customHeight="1">
      <c r="A413" s="533"/>
      <c r="B413" s="533"/>
      <c r="C413" s="533"/>
      <c r="D413" s="533"/>
      <c r="E413" s="533"/>
      <c r="F413" s="533"/>
      <c r="G413" s="533"/>
      <c r="H413" s="533"/>
      <c r="I413" s="533"/>
      <c r="J413" s="533"/>
      <c r="K413" s="533"/>
      <c r="L413" s="533"/>
      <c r="M413" s="533"/>
      <c r="N413" s="533"/>
      <c r="O413" s="533"/>
      <c r="P413" s="533"/>
      <c r="Q413" s="533"/>
      <c r="R413" s="533"/>
      <c r="S413" s="533"/>
      <c r="T413" s="533"/>
      <c r="U413" s="533"/>
      <c r="V413" s="533"/>
      <c r="W413" s="533"/>
      <c r="X413" s="533"/>
      <c r="Y413" s="533"/>
      <c r="Z413" s="533"/>
      <c r="AA413" s="533"/>
      <c r="AB413" s="533"/>
      <c r="AC413" s="533"/>
    </row>
    <row r="414" spans="1:29" ht="15.75" customHeight="1">
      <c r="A414" s="533"/>
      <c r="B414" s="533"/>
      <c r="C414" s="533"/>
      <c r="D414" s="533"/>
      <c r="E414" s="533"/>
      <c r="F414" s="533"/>
      <c r="G414" s="533"/>
      <c r="H414" s="533"/>
      <c r="I414" s="533"/>
      <c r="J414" s="533"/>
      <c r="K414" s="533"/>
      <c r="L414" s="533"/>
      <c r="M414" s="533"/>
      <c r="N414" s="533"/>
      <c r="O414" s="533"/>
      <c r="P414" s="533"/>
      <c r="Q414" s="533"/>
      <c r="R414" s="533"/>
      <c r="S414" s="533"/>
      <c r="T414" s="533"/>
      <c r="U414" s="533"/>
      <c r="V414" s="533"/>
      <c r="W414" s="533"/>
      <c r="X414" s="533"/>
      <c r="Y414" s="533"/>
      <c r="Z414" s="533"/>
      <c r="AA414" s="533"/>
      <c r="AB414" s="533"/>
      <c r="AC414" s="533"/>
    </row>
    <row r="415" spans="1:29" ht="15.75" customHeight="1">
      <c r="A415" s="533"/>
      <c r="B415" s="533"/>
      <c r="C415" s="533"/>
      <c r="D415" s="533"/>
      <c r="E415" s="533"/>
      <c r="F415" s="533"/>
      <c r="G415" s="533"/>
      <c r="H415" s="533"/>
      <c r="I415" s="533"/>
      <c r="J415" s="533"/>
      <c r="K415" s="533"/>
      <c r="L415" s="533"/>
      <c r="M415" s="533"/>
      <c r="N415" s="533"/>
      <c r="O415" s="533"/>
      <c r="P415" s="533"/>
      <c r="Q415" s="533"/>
      <c r="R415" s="533"/>
      <c r="S415" s="533"/>
      <c r="T415" s="533"/>
      <c r="U415" s="533"/>
      <c r="V415" s="533"/>
      <c r="W415" s="533"/>
      <c r="X415" s="533"/>
      <c r="Y415" s="533"/>
      <c r="Z415" s="533"/>
      <c r="AA415" s="533"/>
      <c r="AB415" s="533"/>
      <c r="AC415" s="533"/>
    </row>
    <row r="416" spans="1:29" ht="15.75" customHeight="1">
      <c r="A416" s="533"/>
      <c r="B416" s="533"/>
      <c r="C416" s="533"/>
      <c r="D416" s="533"/>
      <c r="E416" s="533"/>
      <c r="F416" s="533"/>
      <c r="G416" s="533"/>
      <c r="H416" s="533"/>
      <c r="I416" s="533"/>
      <c r="J416" s="533"/>
      <c r="K416" s="533"/>
      <c r="L416" s="533"/>
      <c r="M416" s="533"/>
      <c r="N416" s="533"/>
      <c r="O416" s="533"/>
      <c r="P416" s="533"/>
      <c r="Q416" s="533"/>
      <c r="R416" s="533"/>
      <c r="S416" s="533"/>
      <c r="T416" s="533"/>
      <c r="U416" s="533"/>
      <c r="V416" s="533"/>
      <c r="W416" s="533"/>
      <c r="X416" s="533"/>
      <c r="Y416" s="533"/>
      <c r="Z416" s="533"/>
      <c r="AA416" s="533"/>
      <c r="AB416" s="533"/>
      <c r="AC416" s="533"/>
    </row>
    <row r="417" spans="1:29" ht="15.75" customHeight="1">
      <c r="A417" s="533"/>
      <c r="B417" s="533"/>
      <c r="C417" s="533"/>
      <c r="D417" s="533"/>
      <c r="E417" s="533"/>
      <c r="F417" s="533"/>
      <c r="G417" s="533"/>
      <c r="H417" s="533"/>
      <c r="I417" s="533"/>
      <c r="J417" s="533"/>
      <c r="K417" s="533"/>
      <c r="L417" s="533"/>
      <c r="M417" s="533"/>
      <c r="N417" s="533"/>
      <c r="O417" s="533"/>
      <c r="P417" s="533"/>
      <c r="Q417" s="533"/>
      <c r="R417" s="533"/>
      <c r="S417" s="533"/>
      <c r="T417" s="533"/>
      <c r="U417" s="533"/>
      <c r="V417" s="533"/>
      <c r="W417" s="533"/>
      <c r="X417" s="533"/>
      <c r="Y417" s="533"/>
      <c r="Z417" s="533"/>
      <c r="AA417" s="533"/>
      <c r="AB417" s="533"/>
      <c r="AC417" s="533"/>
    </row>
    <row r="418" spans="1:29" ht="15.75" customHeight="1">
      <c r="A418" s="533"/>
      <c r="B418" s="533"/>
      <c r="C418" s="533"/>
      <c r="D418" s="533"/>
      <c r="E418" s="533"/>
      <c r="F418" s="533"/>
      <c r="G418" s="533"/>
      <c r="H418" s="533"/>
      <c r="I418" s="533"/>
      <c r="J418" s="533"/>
      <c r="K418" s="533"/>
      <c r="L418" s="533"/>
      <c r="M418" s="533"/>
      <c r="N418" s="533"/>
      <c r="O418" s="533"/>
      <c r="P418" s="533"/>
      <c r="Q418" s="533"/>
      <c r="R418" s="533"/>
      <c r="S418" s="533"/>
      <c r="T418" s="533"/>
      <c r="U418" s="533"/>
      <c r="V418" s="533"/>
      <c r="W418" s="533"/>
      <c r="X418" s="533"/>
      <c r="Y418" s="533"/>
      <c r="Z418" s="533"/>
      <c r="AA418" s="533"/>
      <c r="AB418" s="533"/>
      <c r="AC418" s="533"/>
    </row>
    <row r="419" spans="1:29" ht="15.75" customHeight="1">
      <c r="A419" s="533"/>
      <c r="B419" s="533"/>
      <c r="C419" s="533"/>
      <c r="D419" s="533"/>
      <c r="E419" s="533"/>
      <c r="F419" s="533"/>
      <c r="G419" s="533"/>
      <c r="H419" s="533"/>
      <c r="I419" s="533"/>
      <c r="J419" s="533"/>
      <c r="K419" s="533"/>
      <c r="L419" s="533"/>
      <c r="M419" s="533"/>
      <c r="N419" s="533"/>
      <c r="O419" s="533"/>
      <c r="P419" s="533"/>
      <c r="Q419" s="533"/>
      <c r="R419" s="533"/>
      <c r="S419" s="533"/>
      <c r="T419" s="533"/>
      <c r="U419" s="533"/>
      <c r="V419" s="533"/>
      <c r="W419" s="533"/>
      <c r="X419" s="533"/>
      <c r="Y419" s="533"/>
      <c r="Z419" s="533"/>
      <c r="AA419" s="533"/>
      <c r="AB419" s="533"/>
      <c r="AC419" s="533"/>
    </row>
    <row r="420" spans="1:29" ht="15.75" customHeight="1">
      <c r="A420" s="533"/>
      <c r="B420" s="533"/>
      <c r="C420" s="533"/>
      <c r="D420" s="533"/>
      <c r="E420" s="533"/>
      <c r="F420" s="533"/>
      <c r="G420" s="533"/>
      <c r="H420" s="533"/>
      <c r="I420" s="533"/>
      <c r="J420" s="533"/>
      <c r="K420" s="533"/>
      <c r="L420" s="533"/>
      <c r="M420" s="533"/>
      <c r="N420" s="533"/>
      <c r="O420" s="533"/>
      <c r="P420" s="533"/>
      <c r="Q420" s="533"/>
      <c r="R420" s="533"/>
      <c r="S420" s="533"/>
      <c r="T420" s="533"/>
      <c r="U420" s="533"/>
      <c r="V420" s="533"/>
      <c r="W420" s="533"/>
      <c r="X420" s="533"/>
      <c r="Y420" s="533"/>
      <c r="Z420" s="533"/>
      <c r="AA420" s="533"/>
      <c r="AB420" s="533"/>
      <c r="AC420" s="533"/>
    </row>
    <row r="421" spans="1:29" ht="15.75" customHeight="1">
      <c r="A421" s="533"/>
      <c r="B421" s="533"/>
      <c r="C421" s="533"/>
      <c r="D421" s="533"/>
      <c r="E421" s="533"/>
      <c r="F421" s="533"/>
      <c r="G421" s="533"/>
      <c r="H421" s="533"/>
      <c r="I421" s="533"/>
      <c r="J421" s="533"/>
      <c r="K421" s="533"/>
      <c r="L421" s="533"/>
      <c r="M421" s="533"/>
      <c r="N421" s="533"/>
      <c r="O421" s="533"/>
      <c r="P421" s="533"/>
      <c r="Q421" s="533"/>
      <c r="R421" s="533"/>
      <c r="S421" s="533"/>
      <c r="T421" s="533"/>
      <c r="U421" s="533"/>
      <c r="V421" s="533"/>
      <c r="W421" s="533"/>
      <c r="X421" s="533"/>
      <c r="Y421" s="533"/>
      <c r="Z421" s="533"/>
      <c r="AA421" s="533"/>
      <c r="AB421" s="533"/>
      <c r="AC421" s="533"/>
    </row>
    <row r="422" spans="1:29" ht="15.75" customHeight="1">
      <c r="A422" s="533"/>
      <c r="B422" s="533"/>
      <c r="C422" s="533"/>
      <c r="D422" s="533"/>
      <c r="E422" s="533"/>
      <c r="F422" s="533"/>
      <c r="G422" s="533"/>
      <c r="H422" s="533"/>
      <c r="I422" s="533"/>
      <c r="J422" s="533"/>
      <c r="K422" s="533"/>
      <c r="L422" s="533"/>
      <c r="M422" s="533"/>
      <c r="N422" s="533"/>
      <c r="O422" s="533"/>
      <c r="P422" s="533"/>
      <c r="Q422" s="533"/>
      <c r="R422" s="533"/>
      <c r="S422" s="533"/>
      <c r="T422" s="533"/>
      <c r="U422" s="533"/>
      <c r="V422" s="533"/>
      <c r="W422" s="533"/>
      <c r="X422" s="533"/>
      <c r="Y422" s="533"/>
      <c r="Z422" s="533"/>
      <c r="AA422" s="533"/>
      <c r="AB422" s="533"/>
      <c r="AC422" s="533"/>
    </row>
    <row r="423" spans="1:29" ht="15.75" customHeight="1">
      <c r="A423" s="533"/>
      <c r="B423" s="533"/>
      <c r="C423" s="533"/>
      <c r="D423" s="533"/>
      <c r="E423" s="533"/>
      <c r="F423" s="533"/>
      <c r="G423" s="533"/>
      <c r="H423" s="533"/>
      <c r="I423" s="533"/>
      <c r="J423" s="533"/>
      <c r="K423" s="533"/>
      <c r="L423" s="533"/>
      <c r="M423" s="533"/>
      <c r="N423" s="533"/>
      <c r="O423" s="533"/>
      <c r="P423" s="533"/>
      <c r="Q423" s="533"/>
      <c r="R423" s="533"/>
      <c r="S423" s="533"/>
      <c r="T423" s="533"/>
      <c r="U423" s="533"/>
      <c r="V423" s="533"/>
      <c r="W423" s="533"/>
      <c r="X423" s="533"/>
      <c r="Y423" s="533"/>
      <c r="Z423" s="533"/>
      <c r="AA423" s="533"/>
      <c r="AB423" s="533"/>
      <c r="AC423" s="533"/>
    </row>
    <row r="424" spans="1:29" ht="15.75" customHeight="1">
      <c r="A424" s="533"/>
      <c r="B424" s="533"/>
      <c r="C424" s="533"/>
      <c r="D424" s="533"/>
      <c r="E424" s="533"/>
      <c r="F424" s="533"/>
      <c r="G424" s="533"/>
      <c r="H424" s="533"/>
      <c r="I424" s="533"/>
      <c r="J424" s="533"/>
      <c r="K424" s="533"/>
      <c r="L424" s="533"/>
      <c r="M424" s="533"/>
      <c r="N424" s="533"/>
      <c r="O424" s="533"/>
      <c r="P424" s="533"/>
      <c r="Q424" s="533"/>
      <c r="R424" s="533"/>
      <c r="S424" s="533"/>
      <c r="T424" s="533"/>
      <c r="U424" s="533"/>
      <c r="V424" s="533"/>
      <c r="W424" s="533"/>
      <c r="X424" s="533"/>
      <c r="Y424" s="533"/>
      <c r="Z424" s="533"/>
      <c r="AA424" s="533"/>
      <c r="AB424" s="533"/>
      <c r="AC424" s="533"/>
    </row>
    <row r="425" spans="1:29" ht="15.75" customHeight="1">
      <c r="A425" s="533"/>
      <c r="B425" s="533"/>
      <c r="C425" s="533"/>
      <c r="D425" s="533"/>
      <c r="E425" s="533"/>
      <c r="F425" s="533"/>
      <c r="G425" s="533"/>
      <c r="H425" s="533"/>
      <c r="I425" s="533"/>
      <c r="J425" s="533"/>
      <c r="K425" s="533"/>
      <c r="L425" s="533"/>
      <c r="M425" s="533"/>
      <c r="N425" s="533"/>
      <c r="O425" s="533"/>
      <c r="P425" s="533"/>
      <c r="Q425" s="533"/>
      <c r="R425" s="533"/>
      <c r="S425" s="533"/>
      <c r="T425" s="533"/>
      <c r="U425" s="533"/>
      <c r="V425" s="533"/>
      <c r="W425" s="533"/>
      <c r="X425" s="533"/>
      <c r="Y425" s="533"/>
      <c r="Z425" s="533"/>
      <c r="AA425" s="533"/>
      <c r="AB425" s="533"/>
      <c r="AC425" s="533"/>
    </row>
    <row r="426" spans="1:29" ht="15.75" customHeight="1">
      <c r="A426" s="533"/>
      <c r="B426" s="533"/>
      <c r="C426" s="533"/>
      <c r="D426" s="533"/>
      <c r="E426" s="533"/>
      <c r="F426" s="533"/>
      <c r="G426" s="533"/>
      <c r="H426" s="533"/>
      <c r="I426" s="533"/>
      <c r="J426" s="533"/>
      <c r="K426" s="533"/>
      <c r="L426" s="533"/>
      <c r="M426" s="533"/>
      <c r="N426" s="533"/>
      <c r="O426" s="533"/>
      <c r="P426" s="533"/>
      <c r="Q426" s="533"/>
      <c r="R426" s="533"/>
      <c r="S426" s="533"/>
      <c r="T426" s="533"/>
      <c r="U426" s="533"/>
      <c r="V426" s="533"/>
      <c r="W426" s="533"/>
      <c r="X426" s="533"/>
      <c r="Y426" s="533"/>
      <c r="Z426" s="533"/>
      <c r="AA426" s="533"/>
      <c r="AB426" s="533"/>
      <c r="AC426" s="533"/>
    </row>
    <row r="427" spans="1:29" ht="15.75" customHeight="1">
      <c r="A427" s="533"/>
      <c r="B427" s="533"/>
      <c r="C427" s="533"/>
      <c r="D427" s="533"/>
      <c r="E427" s="533"/>
      <c r="F427" s="533"/>
      <c r="G427" s="533"/>
      <c r="H427" s="533"/>
      <c r="I427" s="533"/>
      <c r="J427" s="533"/>
      <c r="K427" s="533"/>
      <c r="L427" s="533"/>
      <c r="M427" s="533"/>
      <c r="N427" s="533"/>
      <c r="O427" s="533"/>
      <c r="P427" s="533"/>
      <c r="Q427" s="533"/>
      <c r="R427" s="533"/>
      <c r="S427" s="533"/>
      <c r="T427" s="533"/>
      <c r="U427" s="533"/>
      <c r="V427" s="533"/>
      <c r="W427" s="533"/>
      <c r="X427" s="533"/>
      <c r="Y427" s="533"/>
      <c r="Z427" s="533"/>
      <c r="AA427" s="533"/>
      <c r="AB427" s="533"/>
      <c r="AC427" s="533"/>
    </row>
    <row r="428" spans="1:29" ht="15.75" customHeight="1">
      <c r="A428" s="533"/>
      <c r="B428" s="533"/>
      <c r="C428" s="533"/>
      <c r="D428" s="533"/>
      <c r="E428" s="533"/>
      <c r="F428" s="533"/>
      <c r="G428" s="533"/>
      <c r="H428" s="533"/>
      <c r="I428" s="533"/>
      <c r="J428" s="533"/>
      <c r="K428" s="533"/>
      <c r="L428" s="533"/>
      <c r="M428" s="533"/>
      <c r="N428" s="533"/>
      <c r="O428" s="533"/>
      <c r="P428" s="533"/>
      <c r="Q428" s="533"/>
      <c r="R428" s="533"/>
      <c r="S428" s="533"/>
      <c r="T428" s="533"/>
      <c r="U428" s="533"/>
      <c r="V428" s="533"/>
      <c r="W428" s="533"/>
      <c r="X428" s="533"/>
      <c r="Y428" s="533"/>
      <c r="Z428" s="533"/>
      <c r="AA428" s="533"/>
      <c r="AB428" s="533"/>
      <c r="AC428" s="533"/>
    </row>
    <row r="429" spans="1:29" ht="15.75" customHeight="1">
      <c r="A429" s="533"/>
      <c r="B429" s="533"/>
      <c r="C429" s="533"/>
      <c r="D429" s="533"/>
      <c r="E429" s="533"/>
      <c r="F429" s="533"/>
      <c r="G429" s="533"/>
      <c r="H429" s="533"/>
      <c r="I429" s="533"/>
      <c r="J429" s="533"/>
      <c r="K429" s="533"/>
      <c r="L429" s="533"/>
      <c r="M429" s="533"/>
      <c r="N429" s="533"/>
      <c r="O429" s="533"/>
      <c r="P429" s="533"/>
      <c r="Q429" s="533"/>
      <c r="R429" s="533"/>
      <c r="S429" s="533"/>
      <c r="T429" s="533"/>
      <c r="U429" s="533"/>
      <c r="V429" s="533"/>
      <c r="W429" s="533"/>
      <c r="X429" s="533"/>
      <c r="Y429" s="533"/>
      <c r="Z429" s="533"/>
      <c r="AA429" s="533"/>
      <c r="AB429" s="533"/>
      <c r="AC429" s="533"/>
    </row>
    <row r="430" spans="1:29" ht="15.75" customHeight="1">
      <c r="A430" s="533"/>
      <c r="B430" s="533"/>
      <c r="C430" s="533"/>
      <c r="D430" s="533"/>
      <c r="E430" s="533"/>
      <c r="F430" s="533"/>
      <c r="G430" s="533"/>
      <c r="H430" s="533"/>
      <c r="I430" s="533"/>
      <c r="J430" s="533"/>
      <c r="K430" s="533"/>
      <c r="L430" s="533"/>
      <c r="M430" s="533"/>
      <c r="N430" s="533"/>
      <c r="O430" s="533"/>
      <c r="P430" s="533"/>
      <c r="Q430" s="533"/>
      <c r="R430" s="533"/>
      <c r="S430" s="533"/>
      <c r="T430" s="533"/>
      <c r="U430" s="533"/>
      <c r="V430" s="533"/>
      <c r="W430" s="533"/>
      <c r="X430" s="533"/>
      <c r="Y430" s="533"/>
      <c r="Z430" s="533"/>
      <c r="AA430" s="533"/>
      <c r="AB430" s="533"/>
      <c r="AC430" s="533"/>
    </row>
    <row r="431" spans="1:29" ht="15.75" customHeight="1">
      <c r="A431" s="533"/>
      <c r="B431" s="533"/>
      <c r="C431" s="533"/>
      <c r="D431" s="533"/>
      <c r="E431" s="533"/>
      <c r="F431" s="533"/>
      <c r="G431" s="533"/>
      <c r="H431" s="533"/>
      <c r="I431" s="533"/>
      <c r="J431" s="533"/>
      <c r="K431" s="533"/>
      <c r="L431" s="533"/>
      <c r="M431" s="533"/>
      <c r="N431" s="533"/>
      <c r="O431" s="533"/>
      <c r="P431" s="533"/>
      <c r="Q431" s="533"/>
      <c r="R431" s="533"/>
      <c r="S431" s="533"/>
      <c r="T431" s="533"/>
      <c r="U431" s="533"/>
      <c r="V431" s="533"/>
      <c r="W431" s="533"/>
      <c r="X431" s="533"/>
      <c r="Y431" s="533"/>
      <c r="Z431" s="533"/>
      <c r="AA431" s="533"/>
      <c r="AB431" s="533"/>
      <c r="AC431" s="533"/>
    </row>
    <row r="432" spans="1:29" ht="15.75" customHeight="1">
      <c r="A432" s="533"/>
      <c r="B432" s="533"/>
      <c r="C432" s="533"/>
      <c r="D432" s="533"/>
      <c r="E432" s="533"/>
      <c r="F432" s="533"/>
      <c r="G432" s="533"/>
      <c r="H432" s="533"/>
      <c r="I432" s="533"/>
      <c r="J432" s="533"/>
      <c r="K432" s="533"/>
      <c r="L432" s="533"/>
      <c r="M432" s="533"/>
      <c r="N432" s="533"/>
      <c r="O432" s="533"/>
      <c r="P432" s="533"/>
      <c r="Q432" s="533"/>
      <c r="R432" s="533"/>
      <c r="S432" s="533"/>
      <c r="T432" s="533"/>
      <c r="U432" s="533"/>
      <c r="V432" s="533"/>
      <c r="W432" s="533"/>
      <c r="X432" s="533"/>
      <c r="Y432" s="533"/>
      <c r="Z432" s="533"/>
      <c r="AA432" s="533"/>
      <c r="AB432" s="533"/>
      <c r="AC432" s="533"/>
    </row>
    <row r="433" spans="1:29" ht="15.75" customHeight="1">
      <c r="A433" s="533"/>
      <c r="B433" s="533"/>
      <c r="C433" s="533"/>
      <c r="D433" s="533"/>
      <c r="E433" s="533"/>
      <c r="F433" s="533"/>
      <c r="G433" s="533"/>
      <c r="H433" s="533"/>
      <c r="I433" s="533"/>
      <c r="J433" s="533"/>
      <c r="K433" s="533"/>
      <c r="L433" s="533"/>
      <c r="M433" s="533"/>
      <c r="N433" s="533"/>
      <c r="O433" s="533"/>
      <c r="P433" s="533"/>
      <c r="Q433" s="533"/>
      <c r="R433" s="533"/>
      <c r="S433" s="533"/>
      <c r="T433" s="533"/>
      <c r="U433" s="533"/>
      <c r="V433" s="533"/>
      <c r="W433" s="533"/>
      <c r="X433" s="533"/>
      <c r="Y433" s="533"/>
      <c r="Z433" s="533"/>
      <c r="AA433" s="533"/>
      <c r="AB433" s="533"/>
      <c r="AC433" s="533"/>
    </row>
    <row r="434" spans="1:29" ht="15.75" customHeight="1">
      <c r="A434" s="533"/>
      <c r="B434" s="533"/>
      <c r="C434" s="533"/>
      <c r="D434" s="533"/>
      <c r="E434" s="533"/>
      <c r="F434" s="533"/>
      <c r="G434" s="533"/>
      <c r="H434" s="533"/>
      <c r="I434" s="533"/>
      <c r="J434" s="533"/>
      <c r="K434" s="533"/>
      <c r="L434" s="533"/>
      <c r="M434" s="533"/>
      <c r="N434" s="533"/>
      <c r="O434" s="533"/>
      <c r="P434" s="533"/>
      <c r="Q434" s="533"/>
      <c r="R434" s="533"/>
      <c r="S434" s="533"/>
      <c r="T434" s="533"/>
      <c r="U434" s="533"/>
      <c r="V434" s="533"/>
      <c r="W434" s="533"/>
      <c r="X434" s="533"/>
      <c r="Y434" s="533"/>
      <c r="Z434" s="533"/>
      <c r="AA434" s="533"/>
      <c r="AB434" s="533"/>
      <c r="AC434" s="533"/>
    </row>
    <row r="435" spans="1:29" ht="15.75" customHeight="1">
      <c r="A435" s="533"/>
      <c r="B435" s="533"/>
      <c r="C435" s="533"/>
      <c r="D435" s="533"/>
      <c r="E435" s="533"/>
      <c r="F435" s="533"/>
      <c r="G435" s="533"/>
      <c r="H435" s="533"/>
      <c r="I435" s="533"/>
      <c r="J435" s="533"/>
      <c r="K435" s="533"/>
      <c r="L435" s="533"/>
      <c r="M435" s="533"/>
      <c r="N435" s="533"/>
      <c r="O435" s="533"/>
      <c r="P435" s="533"/>
      <c r="Q435" s="533"/>
      <c r="R435" s="533"/>
      <c r="S435" s="533"/>
      <c r="T435" s="533"/>
      <c r="U435" s="533"/>
      <c r="V435" s="533"/>
      <c r="W435" s="533"/>
      <c r="X435" s="533"/>
      <c r="Y435" s="533"/>
      <c r="Z435" s="533"/>
      <c r="AA435" s="533"/>
      <c r="AB435" s="533"/>
      <c r="AC435" s="533"/>
    </row>
    <row r="436" spans="1:29" ht="15.75" customHeight="1">
      <c r="A436" s="533"/>
      <c r="B436" s="533"/>
      <c r="C436" s="533"/>
      <c r="D436" s="533"/>
      <c r="E436" s="533"/>
      <c r="F436" s="533"/>
      <c r="G436" s="533"/>
      <c r="H436" s="533"/>
      <c r="I436" s="533"/>
      <c r="J436" s="533"/>
      <c r="K436" s="533"/>
      <c r="L436" s="533"/>
      <c r="M436" s="533"/>
      <c r="N436" s="533"/>
      <c r="O436" s="533"/>
      <c r="P436" s="533"/>
      <c r="Q436" s="533"/>
      <c r="R436" s="533"/>
      <c r="S436" s="533"/>
      <c r="T436" s="533"/>
      <c r="U436" s="533"/>
      <c r="V436" s="533"/>
      <c r="W436" s="533"/>
      <c r="X436" s="533"/>
      <c r="Y436" s="533"/>
      <c r="Z436" s="533"/>
      <c r="AA436" s="533"/>
      <c r="AB436" s="533"/>
      <c r="AC436" s="533"/>
    </row>
    <row r="437" spans="1:29" ht="15.75" customHeight="1">
      <c r="A437" s="533"/>
      <c r="B437" s="533"/>
      <c r="C437" s="533"/>
      <c r="D437" s="533"/>
      <c r="E437" s="533"/>
      <c r="F437" s="533"/>
      <c r="G437" s="533"/>
      <c r="H437" s="533"/>
      <c r="I437" s="533"/>
      <c r="J437" s="533"/>
      <c r="K437" s="533"/>
      <c r="L437" s="533"/>
      <c r="M437" s="533"/>
      <c r="N437" s="533"/>
      <c r="O437" s="533"/>
      <c r="P437" s="533"/>
      <c r="Q437" s="533"/>
      <c r="R437" s="533"/>
      <c r="S437" s="533"/>
      <c r="T437" s="533"/>
      <c r="U437" s="533"/>
      <c r="V437" s="533"/>
      <c r="W437" s="533"/>
      <c r="X437" s="533"/>
      <c r="Y437" s="533"/>
      <c r="Z437" s="533"/>
      <c r="AA437" s="533"/>
      <c r="AB437" s="533"/>
      <c r="AC437" s="533"/>
    </row>
    <row r="438" spans="1:29" ht="15.75" customHeight="1">
      <c r="A438" s="533"/>
      <c r="B438" s="533"/>
      <c r="C438" s="533"/>
      <c r="D438" s="533"/>
      <c r="E438" s="533"/>
      <c r="F438" s="533"/>
      <c r="G438" s="533"/>
      <c r="H438" s="533"/>
      <c r="I438" s="533"/>
      <c r="J438" s="533"/>
      <c r="K438" s="533"/>
      <c r="L438" s="533"/>
      <c r="M438" s="533"/>
      <c r="N438" s="533"/>
      <c r="O438" s="533"/>
      <c r="P438" s="533"/>
      <c r="Q438" s="533"/>
      <c r="R438" s="533"/>
      <c r="S438" s="533"/>
      <c r="T438" s="533"/>
      <c r="U438" s="533"/>
      <c r="V438" s="533"/>
      <c r="W438" s="533"/>
      <c r="X438" s="533"/>
      <c r="Y438" s="533"/>
      <c r="Z438" s="533"/>
      <c r="AA438" s="533"/>
      <c r="AB438" s="533"/>
      <c r="AC438" s="533"/>
    </row>
    <row r="439" spans="1:29" ht="15.75" customHeight="1">
      <c r="A439" s="533"/>
      <c r="B439" s="533"/>
      <c r="C439" s="533"/>
      <c r="D439" s="533"/>
      <c r="E439" s="533"/>
      <c r="F439" s="533"/>
      <c r="G439" s="533"/>
      <c r="H439" s="533"/>
      <c r="I439" s="533"/>
      <c r="J439" s="533"/>
      <c r="K439" s="533"/>
      <c r="L439" s="533"/>
      <c r="M439" s="533"/>
      <c r="N439" s="533"/>
      <c r="O439" s="533"/>
      <c r="P439" s="533"/>
      <c r="Q439" s="533"/>
      <c r="R439" s="533"/>
      <c r="S439" s="533"/>
      <c r="T439" s="533"/>
      <c r="U439" s="533"/>
      <c r="V439" s="533"/>
      <c r="W439" s="533"/>
      <c r="X439" s="533"/>
      <c r="Y439" s="533"/>
      <c r="Z439" s="533"/>
      <c r="AA439" s="533"/>
      <c r="AB439" s="533"/>
      <c r="AC439" s="533"/>
    </row>
    <row r="440" spans="1:29" ht="15.75" customHeight="1">
      <c r="A440" s="533"/>
      <c r="B440" s="533"/>
      <c r="C440" s="533"/>
      <c r="D440" s="533"/>
      <c r="E440" s="533"/>
      <c r="F440" s="533"/>
      <c r="G440" s="533"/>
      <c r="H440" s="533"/>
      <c r="I440" s="533"/>
      <c r="J440" s="533"/>
      <c r="K440" s="533"/>
      <c r="L440" s="533"/>
      <c r="M440" s="533"/>
      <c r="N440" s="533"/>
      <c r="O440" s="533"/>
      <c r="P440" s="533"/>
      <c r="Q440" s="533"/>
      <c r="R440" s="533"/>
      <c r="S440" s="533"/>
      <c r="T440" s="533"/>
      <c r="U440" s="533"/>
      <c r="V440" s="533"/>
      <c r="W440" s="533"/>
      <c r="X440" s="533"/>
      <c r="Y440" s="533"/>
      <c r="Z440" s="533"/>
      <c r="AA440" s="533"/>
      <c r="AB440" s="533"/>
      <c r="AC440" s="533"/>
    </row>
    <row r="441" spans="1:29" ht="15.75" customHeight="1">
      <c r="A441" s="533"/>
      <c r="B441" s="533"/>
      <c r="C441" s="533"/>
      <c r="D441" s="533"/>
      <c r="E441" s="533"/>
      <c r="F441" s="533"/>
      <c r="G441" s="533"/>
      <c r="H441" s="533"/>
      <c r="I441" s="533"/>
      <c r="J441" s="533"/>
      <c r="K441" s="533"/>
      <c r="L441" s="533"/>
      <c r="M441" s="533"/>
      <c r="N441" s="533"/>
      <c r="O441" s="533"/>
      <c r="P441" s="533"/>
      <c r="Q441" s="533"/>
      <c r="R441" s="533"/>
      <c r="S441" s="533"/>
      <c r="T441" s="533"/>
      <c r="U441" s="533"/>
      <c r="V441" s="533"/>
      <c r="W441" s="533"/>
      <c r="X441" s="533"/>
      <c r="Y441" s="533"/>
      <c r="Z441" s="533"/>
      <c r="AA441" s="533"/>
      <c r="AB441" s="533"/>
      <c r="AC441" s="533"/>
    </row>
    <row r="442" spans="1:29" ht="15.75" customHeight="1">
      <c r="A442" s="533"/>
      <c r="B442" s="533"/>
      <c r="C442" s="533"/>
      <c r="D442" s="533"/>
      <c r="E442" s="533"/>
      <c r="F442" s="533"/>
      <c r="G442" s="533"/>
      <c r="H442" s="533"/>
      <c r="I442" s="533"/>
      <c r="J442" s="533"/>
      <c r="K442" s="533"/>
      <c r="L442" s="533"/>
      <c r="M442" s="533"/>
      <c r="N442" s="533"/>
      <c r="O442" s="533"/>
      <c r="P442" s="533"/>
      <c r="Q442" s="533"/>
      <c r="R442" s="533"/>
      <c r="S442" s="533"/>
      <c r="T442" s="533"/>
      <c r="U442" s="533"/>
      <c r="V442" s="533"/>
      <c r="W442" s="533"/>
      <c r="X442" s="533"/>
      <c r="Y442" s="533"/>
      <c r="Z442" s="533"/>
      <c r="AA442" s="533"/>
      <c r="AB442" s="533"/>
      <c r="AC442" s="533"/>
    </row>
    <row r="443" spans="1:29" ht="15.75" customHeight="1">
      <c r="A443" s="533"/>
      <c r="B443" s="533"/>
      <c r="C443" s="533"/>
      <c r="D443" s="533"/>
      <c r="E443" s="533"/>
      <c r="F443" s="533"/>
      <c r="G443" s="533"/>
      <c r="H443" s="533"/>
      <c r="I443" s="533"/>
      <c r="J443" s="533"/>
      <c r="K443" s="533"/>
      <c r="L443" s="533"/>
      <c r="M443" s="533"/>
      <c r="N443" s="533"/>
      <c r="O443" s="533"/>
      <c r="P443" s="533"/>
      <c r="Q443" s="533"/>
      <c r="R443" s="533"/>
      <c r="S443" s="533"/>
      <c r="T443" s="533"/>
      <c r="U443" s="533"/>
      <c r="V443" s="533"/>
      <c r="W443" s="533"/>
      <c r="X443" s="533"/>
      <c r="Y443" s="533"/>
      <c r="Z443" s="533"/>
      <c r="AA443" s="533"/>
      <c r="AB443" s="533"/>
      <c r="AC443" s="533"/>
    </row>
    <row r="444" spans="1:29" ht="15.75" customHeight="1">
      <c r="A444" s="533"/>
      <c r="B444" s="533"/>
      <c r="C444" s="533"/>
      <c r="D444" s="533"/>
      <c r="E444" s="533"/>
      <c r="F444" s="533"/>
      <c r="G444" s="533"/>
      <c r="H444" s="533"/>
      <c r="I444" s="533"/>
      <c r="J444" s="533"/>
      <c r="K444" s="533"/>
      <c r="L444" s="533"/>
      <c r="M444" s="533"/>
      <c r="N444" s="533"/>
      <c r="O444" s="533"/>
      <c r="P444" s="533"/>
      <c r="Q444" s="533"/>
      <c r="R444" s="533"/>
      <c r="S444" s="533"/>
      <c r="T444" s="533"/>
      <c r="U444" s="533"/>
      <c r="V444" s="533"/>
      <c r="W444" s="533"/>
      <c r="X444" s="533"/>
      <c r="Y444" s="533"/>
      <c r="Z444" s="533"/>
      <c r="AA444" s="533"/>
      <c r="AB444" s="533"/>
      <c r="AC444" s="533"/>
    </row>
    <row r="445" spans="1:29" ht="15.75" customHeight="1">
      <c r="A445" s="533"/>
      <c r="B445" s="533"/>
      <c r="C445" s="533"/>
      <c r="D445" s="533"/>
      <c r="E445" s="533"/>
      <c r="F445" s="533"/>
      <c r="G445" s="533"/>
      <c r="H445" s="533"/>
      <c r="I445" s="533"/>
      <c r="J445" s="533"/>
      <c r="K445" s="533"/>
      <c r="L445" s="533"/>
      <c r="M445" s="533"/>
      <c r="N445" s="533"/>
      <c r="O445" s="533"/>
      <c r="P445" s="533"/>
      <c r="Q445" s="533"/>
      <c r="R445" s="533"/>
      <c r="S445" s="533"/>
      <c r="T445" s="533"/>
      <c r="U445" s="533"/>
      <c r="V445" s="533"/>
      <c r="W445" s="533"/>
      <c r="X445" s="533"/>
      <c r="Y445" s="533"/>
      <c r="Z445" s="533"/>
      <c r="AA445" s="533"/>
      <c r="AB445" s="533"/>
      <c r="AC445" s="533"/>
    </row>
    <row r="446" spans="1:29" ht="15.75" customHeight="1">
      <c r="A446" s="533"/>
      <c r="B446" s="533"/>
      <c r="C446" s="533"/>
      <c r="D446" s="533"/>
      <c r="E446" s="533"/>
      <c r="F446" s="533"/>
      <c r="G446" s="533"/>
      <c r="H446" s="533"/>
      <c r="I446" s="533"/>
      <c r="J446" s="533"/>
      <c r="K446" s="533"/>
      <c r="L446" s="533"/>
      <c r="M446" s="533"/>
      <c r="N446" s="533"/>
      <c r="O446" s="533"/>
      <c r="P446" s="533"/>
      <c r="Q446" s="533"/>
      <c r="R446" s="533"/>
      <c r="S446" s="533"/>
      <c r="T446" s="533"/>
      <c r="U446" s="533"/>
      <c r="V446" s="533"/>
      <c r="W446" s="533"/>
      <c r="X446" s="533"/>
      <c r="Y446" s="533"/>
      <c r="Z446" s="533"/>
      <c r="AA446" s="533"/>
      <c r="AB446" s="533"/>
      <c r="AC446" s="533"/>
    </row>
    <row r="447" spans="1:29" ht="15.75" customHeight="1">
      <c r="A447" s="533"/>
      <c r="B447" s="533"/>
      <c r="C447" s="533"/>
      <c r="D447" s="533"/>
      <c r="E447" s="533"/>
      <c r="F447" s="533"/>
      <c r="G447" s="533"/>
      <c r="H447" s="533"/>
      <c r="I447" s="533"/>
      <c r="J447" s="533"/>
      <c r="K447" s="533"/>
      <c r="L447" s="533"/>
      <c r="M447" s="533"/>
      <c r="N447" s="533"/>
      <c r="O447" s="533"/>
      <c r="P447" s="533"/>
      <c r="Q447" s="533"/>
      <c r="R447" s="533"/>
      <c r="S447" s="533"/>
      <c r="T447" s="533"/>
      <c r="U447" s="533"/>
      <c r="V447" s="533"/>
      <c r="W447" s="533"/>
      <c r="X447" s="533"/>
      <c r="Y447" s="533"/>
      <c r="Z447" s="533"/>
      <c r="AA447" s="533"/>
      <c r="AB447" s="533"/>
      <c r="AC447" s="533"/>
    </row>
    <row r="448" spans="1:29" ht="15.75" customHeight="1">
      <c r="A448" s="533"/>
      <c r="B448" s="533"/>
      <c r="C448" s="533"/>
      <c r="D448" s="533"/>
      <c r="E448" s="533"/>
      <c r="F448" s="533"/>
      <c r="G448" s="533"/>
      <c r="H448" s="533"/>
      <c r="I448" s="533"/>
      <c r="J448" s="533"/>
      <c r="K448" s="533"/>
      <c r="L448" s="533"/>
      <c r="M448" s="533"/>
      <c r="N448" s="533"/>
      <c r="O448" s="533"/>
      <c r="P448" s="533"/>
      <c r="Q448" s="533"/>
      <c r="R448" s="533"/>
      <c r="S448" s="533"/>
      <c r="T448" s="533"/>
      <c r="U448" s="533"/>
      <c r="V448" s="533"/>
      <c r="W448" s="533"/>
      <c r="X448" s="533"/>
      <c r="Y448" s="533"/>
      <c r="Z448" s="533"/>
      <c r="AA448" s="533"/>
      <c r="AB448" s="533"/>
      <c r="AC448" s="533"/>
    </row>
    <row r="449" spans="1:29" ht="15.75" customHeight="1">
      <c r="A449" s="533"/>
      <c r="B449" s="533"/>
      <c r="C449" s="533"/>
      <c r="D449" s="533"/>
      <c r="E449" s="533"/>
      <c r="F449" s="533"/>
      <c r="G449" s="533"/>
      <c r="H449" s="533"/>
      <c r="I449" s="533"/>
      <c r="J449" s="533"/>
      <c r="K449" s="533"/>
      <c r="L449" s="533"/>
      <c r="M449" s="533"/>
      <c r="N449" s="533"/>
      <c r="O449" s="533"/>
      <c r="P449" s="533"/>
      <c r="Q449" s="533"/>
      <c r="R449" s="533"/>
      <c r="S449" s="533"/>
      <c r="T449" s="533"/>
      <c r="U449" s="533"/>
      <c r="V449" s="533"/>
      <c r="W449" s="533"/>
      <c r="X449" s="533"/>
      <c r="Y449" s="533"/>
      <c r="Z449" s="533"/>
      <c r="AA449" s="533"/>
      <c r="AB449" s="533"/>
      <c r="AC449" s="533"/>
    </row>
    <row r="450" spans="1:29" ht="15.75" customHeight="1">
      <c r="A450" s="533"/>
      <c r="B450" s="533"/>
      <c r="C450" s="533"/>
      <c r="D450" s="533"/>
      <c r="E450" s="533"/>
      <c r="F450" s="533"/>
      <c r="G450" s="533"/>
      <c r="H450" s="533"/>
      <c r="I450" s="533"/>
      <c r="J450" s="533"/>
      <c r="K450" s="533"/>
      <c r="L450" s="533"/>
      <c r="M450" s="533"/>
      <c r="N450" s="533"/>
      <c r="O450" s="533"/>
      <c r="P450" s="533"/>
      <c r="Q450" s="533"/>
      <c r="R450" s="533"/>
      <c r="S450" s="533"/>
      <c r="T450" s="533"/>
      <c r="U450" s="533"/>
      <c r="V450" s="533"/>
      <c r="W450" s="533"/>
      <c r="X450" s="533"/>
      <c r="Y450" s="533"/>
      <c r="Z450" s="533"/>
      <c r="AA450" s="533"/>
      <c r="AB450" s="533"/>
      <c r="AC450" s="533"/>
    </row>
    <row r="451" spans="1:29" ht="15.75" customHeight="1">
      <c r="A451" s="533"/>
      <c r="B451" s="533"/>
      <c r="C451" s="533"/>
      <c r="D451" s="533"/>
      <c r="E451" s="533"/>
      <c r="F451" s="533"/>
      <c r="G451" s="533"/>
      <c r="H451" s="533"/>
      <c r="I451" s="533"/>
      <c r="J451" s="533"/>
      <c r="K451" s="533"/>
      <c r="L451" s="533"/>
      <c r="M451" s="533"/>
      <c r="N451" s="533"/>
      <c r="O451" s="533"/>
      <c r="P451" s="533"/>
      <c r="Q451" s="533"/>
      <c r="R451" s="533"/>
      <c r="S451" s="533"/>
      <c r="T451" s="533"/>
      <c r="U451" s="533"/>
      <c r="V451" s="533"/>
      <c r="W451" s="533"/>
      <c r="X451" s="533"/>
      <c r="Y451" s="533"/>
      <c r="Z451" s="533"/>
      <c r="AA451" s="533"/>
      <c r="AB451" s="533"/>
      <c r="AC451" s="533"/>
    </row>
    <row r="452" spans="1:29" ht="15.75" customHeight="1">
      <c r="A452" s="533"/>
      <c r="B452" s="533"/>
      <c r="C452" s="533"/>
      <c r="D452" s="533"/>
      <c r="E452" s="533"/>
      <c r="F452" s="533"/>
      <c r="G452" s="533"/>
      <c r="H452" s="533"/>
      <c r="I452" s="533"/>
      <c r="J452" s="533"/>
      <c r="K452" s="533"/>
      <c r="L452" s="533"/>
      <c r="M452" s="533"/>
      <c r="N452" s="533"/>
      <c r="O452" s="533"/>
      <c r="P452" s="533"/>
      <c r="Q452" s="533"/>
      <c r="R452" s="533"/>
      <c r="S452" s="533"/>
      <c r="T452" s="533"/>
      <c r="U452" s="533"/>
      <c r="V452" s="533"/>
      <c r="W452" s="533"/>
      <c r="X452" s="533"/>
      <c r="Y452" s="533"/>
      <c r="Z452" s="533"/>
      <c r="AA452" s="533"/>
      <c r="AB452" s="533"/>
      <c r="AC452" s="533"/>
    </row>
    <row r="453" spans="1:29" ht="15.75" customHeight="1">
      <c r="A453" s="533"/>
      <c r="B453" s="533"/>
      <c r="C453" s="533"/>
      <c r="D453" s="533"/>
      <c r="E453" s="533"/>
      <c r="F453" s="533"/>
      <c r="G453" s="533"/>
      <c r="H453" s="533"/>
      <c r="I453" s="533"/>
      <c r="J453" s="533"/>
      <c r="K453" s="533"/>
      <c r="L453" s="533"/>
      <c r="M453" s="533"/>
      <c r="N453" s="533"/>
      <c r="O453" s="533"/>
      <c r="P453" s="533"/>
      <c r="Q453" s="533"/>
      <c r="R453" s="533"/>
      <c r="S453" s="533"/>
      <c r="T453" s="533"/>
      <c r="U453" s="533"/>
      <c r="V453" s="533"/>
      <c r="W453" s="533"/>
      <c r="X453" s="533"/>
      <c r="Y453" s="533"/>
      <c r="Z453" s="533"/>
      <c r="AA453" s="533"/>
      <c r="AB453" s="533"/>
      <c r="AC453" s="533"/>
    </row>
    <row r="454" spans="1:29" ht="15.75" customHeight="1">
      <c r="A454" s="533"/>
      <c r="B454" s="533"/>
      <c r="C454" s="533"/>
      <c r="D454" s="533"/>
      <c r="E454" s="533"/>
      <c r="F454" s="533"/>
      <c r="G454" s="533"/>
      <c r="H454" s="533"/>
      <c r="I454" s="533"/>
      <c r="J454" s="533"/>
      <c r="K454" s="533"/>
      <c r="L454" s="533"/>
      <c r="M454" s="533"/>
      <c r="N454" s="533"/>
      <c r="O454" s="533"/>
      <c r="P454" s="533"/>
      <c r="Q454" s="533"/>
      <c r="R454" s="533"/>
      <c r="S454" s="533"/>
      <c r="T454" s="533"/>
      <c r="U454" s="533"/>
      <c r="V454" s="533"/>
      <c r="W454" s="533"/>
      <c r="X454" s="533"/>
      <c r="Y454" s="533"/>
      <c r="Z454" s="533"/>
      <c r="AA454" s="533"/>
      <c r="AB454" s="533"/>
      <c r="AC454" s="533"/>
    </row>
    <row r="455" spans="1:29" ht="15.75" customHeight="1">
      <c r="A455" s="533"/>
      <c r="B455" s="533"/>
      <c r="C455" s="533"/>
      <c r="D455" s="533"/>
      <c r="E455" s="533"/>
      <c r="F455" s="533"/>
      <c r="G455" s="533"/>
      <c r="H455" s="533"/>
      <c r="I455" s="533"/>
      <c r="J455" s="533"/>
      <c r="K455" s="533"/>
      <c r="L455" s="533"/>
      <c r="M455" s="533"/>
      <c r="N455" s="533"/>
      <c r="O455" s="533"/>
      <c r="P455" s="533"/>
      <c r="Q455" s="533"/>
      <c r="R455" s="533"/>
      <c r="S455" s="533"/>
      <c r="T455" s="533"/>
      <c r="U455" s="533"/>
      <c r="V455" s="533"/>
      <c r="W455" s="533"/>
      <c r="X455" s="533"/>
      <c r="Y455" s="533"/>
      <c r="Z455" s="533"/>
      <c r="AA455" s="533"/>
      <c r="AB455" s="533"/>
      <c r="AC455" s="533"/>
    </row>
    <row r="456" spans="1:29" ht="15.75" customHeight="1">
      <c r="A456" s="533"/>
      <c r="B456" s="533"/>
      <c r="C456" s="533"/>
      <c r="D456" s="533"/>
      <c r="E456" s="533"/>
      <c r="F456" s="533"/>
      <c r="G456" s="533"/>
      <c r="H456" s="533"/>
      <c r="I456" s="533"/>
      <c r="J456" s="533"/>
      <c r="K456" s="533"/>
      <c r="L456" s="533"/>
      <c r="M456" s="533"/>
      <c r="N456" s="533"/>
      <c r="O456" s="533"/>
      <c r="P456" s="533"/>
      <c r="Q456" s="533"/>
      <c r="R456" s="533"/>
      <c r="S456" s="533"/>
      <c r="T456" s="533"/>
      <c r="U456" s="533"/>
      <c r="V456" s="533"/>
      <c r="W456" s="533"/>
      <c r="X456" s="533"/>
      <c r="Y456" s="533"/>
      <c r="Z456" s="533"/>
      <c r="AA456" s="533"/>
      <c r="AB456" s="533"/>
      <c r="AC456" s="533"/>
    </row>
    <row r="457" spans="1:29" ht="15.75" customHeight="1">
      <c r="A457" s="533"/>
      <c r="B457" s="533"/>
      <c r="C457" s="533"/>
      <c r="D457" s="533"/>
      <c r="E457" s="533"/>
      <c r="F457" s="533"/>
      <c r="G457" s="533"/>
      <c r="H457" s="533"/>
      <c r="I457" s="533"/>
      <c r="J457" s="533"/>
      <c r="K457" s="533"/>
      <c r="L457" s="533"/>
      <c r="M457" s="533"/>
      <c r="N457" s="533"/>
      <c r="O457" s="533"/>
      <c r="P457" s="533"/>
      <c r="Q457" s="533"/>
      <c r="R457" s="533"/>
      <c r="S457" s="533"/>
      <c r="T457" s="533"/>
      <c r="U457" s="533"/>
      <c r="V457" s="533"/>
      <c r="W457" s="533"/>
      <c r="X457" s="533"/>
      <c r="Y457" s="533"/>
      <c r="Z457" s="533"/>
      <c r="AA457" s="533"/>
      <c r="AB457" s="533"/>
      <c r="AC457" s="533"/>
    </row>
    <row r="458" spans="1:29" ht="15.75" customHeight="1">
      <c r="A458" s="533"/>
      <c r="B458" s="533"/>
      <c r="C458" s="533"/>
      <c r="D458" s="533"/>
      <c r="E458" s="533"/>
      <c r="F458" s="533"/>
      <c r="G458" s="533"/>
      <c r="H458" s="533"/>
      <c r="I458" s="533"/>
      <c r="J458" s="533"/>
      <c r="K458" s="533"/>
      <c r="L458" s="533"/>
      <c r="M458" s="533"/>
      <c r="N458" s="533"/>
      <c r="O458" s="533"/>
      <c r="P458" s="533"/>
      <c r="Q458" s="533"/>
      <c r="R458" s="533"/>
      <c r="S458" s="533"/>
      <c r="T458" s="533"/>
      <c r="U458" s="533"/>
      <c r="V458" s="533"/>
      <c r="W458" s="533"/>
      <c r="X458" s="533"/>
      <c r="Y458" s="533"/>
      <c r="Z458" s="533"/>
      <c r="AA458" s="533"/>
      <c r="AB458" s="533"/>
      <c r="AC458" s="533"/>
    </row>
    <row r="459" spans="1:29" ht="15.75" customHeight="1">
      <c r="A459" s="533"/>
      <c r="B459" s="533"/>
      <c r="C459" s="533"/>
      <c r="D459" s="533"/>
      <c r="E459" s="533"/>
      <c r="F459" s="533"/>
      <c r="G459" s="533"/>
      <c r="H459" s="533"/>
      <c r="I459" s="533"/>
      <c r="J459" s="533"/>
      <c r="K459" s="533"/>
      <c r="L459" s="533"/>
      <c r="M459" s="533"/>
      <c r="N459" s="533"/>
      <c r="O459" s="533"/>
      <c r="P459" s="533"/>
      <c r="Q459" s="533"/>
      <c r="R459" s="533"/>
      <c r="S459" s="533"/>
      <c r="T459" s="533"/>
      <c r="U459" s="533"/>
      <c r="V459" s="533"/>
      <c r="W459" s="533"/>
      <c r="X459" s="533"/>
      <c r="Y459" s="533"/>
      <c r="Z459" s="533"/>
      <c r="AA459" s="533"/>
      <c r="AB459" s="533"/>
      <c r="AC459" s="533"/>
    </row>
    <row r="460" spans="1:29" ht="15.75" customHeight="1">
      <c r="A460" s="533"/>
      <c r="B460" s="533"/>
      <c r="C460" s="533"/>
      <c r="D460" s="533"/>
      <c r="E460" s="533"/>
      <c r="F460" s="533"/>
      <c r="G460" s="533"/>
      <c r="H460" s="533"/>
      <c r="I460" s="533"/>
      <c r="J460" s="533"/>
      <c r="K460" s="533"/>
      <c r="L460" s="533"/>
      <c r="M460" s="533"/>
      <c r="N460" s="533"/>
      <c r="O460" s="533"/>
      <c r="P460" s="533"/>
      <c r="Q460" s="533"/>
      <c r="R460" s="533"/>
      <c r="S460" s="533"/>
      <c r="T460" s="533"/>
      <c r="U460" s="533"/>
      <c r="V460" s="533"/>
      <c r="W460" s="533"/>
      <c r="X460" s="533"/>
      <c r="Y460" s="533"/>
      <c r="Z460" s="533"/>
      <c r="AA460" s="533"/>
      <c r="AB460" s="533"/>
      <c r="AC460" s="533"/>
    </row>
    <row r="461" spans="1:29" ht="15.75" customHeight="1">
      <c r="A461" s="533"/>
      <c r="B461" s="533"/>
      <c r="C461" s="533"/>
      <c r="D461" s="533"/>
      <c r="E461" s="533"/>
      <c r="F461" s="533"/>
      <c r="G461" s="533"/>
      <c r="H461" s="533"/>
      <c r="I461" s="533"/>
      <c r="J461" s="533"/>
      <c r="K461" s="533"/>
      <c r="L461" s="533"/>
      <c r="M461" s="533"/>
      <c r="N461" s="533"/>
      <c r="O461" s="533"/>
      <c r="P461" s="533"/>
      <c r="Q461" s="533"/>
      <c r="R461" s="533"/>
      <c r="S461" s="533"/>
      <c r="T461" s="533"/>
      <c r="U461" s="533"/>
      <c r="V461" s="533"/>
      <c r="W461" s="533"/>
      <c r="X461" s="533"/>
      <c r="Y461" s="533"/>
      <c r="Z461" s="533"/>
      <c r="AA461" s="533"/>
      <c r="AB461" s="533"/>
      <c r="AC461" s="533"/>
    </row>
    <row r="462" spans="1:29" ht="15.75" customHeight="1">
      <c r="A462" s="533"/>
      <c r="B462" s="533"/>
      <c r="C462" s="533"/>
      <c r="D462" s="533"/>
      <c r="E462" s="533"/>
      <c r="F462" s="533"/>
      <c r="G462" s="533"/>
      <c r="H462" s="533"/>
      <c r="I462" s="533"/>
      <c r="J462" s="533"/>
      <c r="K462" s="533"/>
      <c r="L462" s="533"/>
      <c r="M462" s="533"/>
      <c r="N462" s="533"/>
      <c r="O462" s="533"/>
      <c r="P462" s="533"/>
      <c r="Q462" s="533"/>
      <c r="R462" s="533"/>
      <c r="S462" s="533"/>
      <c r="T462" s="533"/>
      <c r="U462" s="533"/>
      <c r="V462" s="533"/>
      <c r="W462" s="533"/>
      <c r="X462" s="533"/>
      <c r="Y462" s="533"/>
      <c r="Z462" s="533"/>
      <c r="AA462" s="533"/>
      <c r="AB462" s="533"/>
      <c r="AC462" s="533"/>
    </row>
    <row r="463" spans="1:29" ht="15.75" customHeight="1">
      <c r="A463" s="533"/>
      <c r="B463" s="533"/>
      <c r="C463" s="533"/>
      <c r="D463" s="533"/>
      <c r="E463" s="533"/>
      <c r="F463" s="533"/>
      <c r="G463" s="533"/>
      <c r="H463" s="533"/>
      <c r="I463" s="533"/>
      <c r="J463" s="533"/>
      <c r="K463" s="533"/>
      <c r="L463" s="533"/>
      <c r="M463" s="533"/>
      <c r="N463" s="533"/>
      <c r="O463" s="533"/>
      <c r="P463" s="533"/>
      <c r="Q463" s="533"/>
      <c r="R463" s="533"/>
      <c r="S463" s="533"/>
      <c r="T463" s="533"/>
      <c r="U463" s="533"/>
      <c r="V463" s="533"/>
      <c r="W463" s="533"/>
      <c r="X463" s="533"/>
      <c r="Y463" s="533"/>
      <c r="Z463" s="533"/>
      <c r="AA463" s="533"/>
      <c r="AB463" s="533"/>
      <c r="AC463" s="533"/>
    </row>
    <row r="464" spans="1:29" ht="15.75" customHeight="1">
      <c r="A464" s="533"/>
      <c r="B464" s="533"/>
      <c r="C464" s="533"/>
      <c r="D464" s="533"/>
      <c r="E464" s="533"/>
      <c r="F464" s="533"/>
      <c r="G464" s="533"/>
      <c r="H464" s="533"/>
      <c r="I464" s="533"/>
      <c r="J464" s="533"/>
      <c r="K464" s="533"/>
      <c r="L464" s="533"/>
      <c r="M464" s="533"/>
      <c r="N464" s="533"/>
      <c r="O464" s="533"/>
      <c r="P464" s="533"/>
      <c r="Q464" s="533"/>
      <c r="R464" s="533"/>
      <c r="S464" s="533"/>
      <c r="T464" s="533"/>
      <c r="U464" s="533"/>
      <c r="V464" s="533"/>
      <c r="W464" s="533"/>
      <c r="X464" s="533"/>
      <c r="Y464" s="533"/>
      <c r="Z464" s="533"/>
      <c r="AA464" s="533"/>
      <c r="AB464" s="533"/>
      <c r="AC464" s="533"/>
    </row>
    <row r="465" spans="1:29" ht="15.75" customHeight="1">
      <c r="A465" s="533"/>
      <c r="B465" s="533"/>
      <c r="C465" s="533"/>
      <c r="D465" s="533"/>
      <c r="E465" s="533"/>
      <c r="F465" s="533"/>
      <c r="G465" s="533"/>
      <c r="H465" s="533"/>
      <c r="I465" s="533"/>
      <c r="J465" s="533"/>
      <c r="K465" s="533"/>
      <c r="L465" s="533"/>
      <c r="M465" s="533"/>
      <c r="N465" s="533"/>
      <c r="O465" s="533"/>
      <c r="P465" s="533"/>
      <c r="Q465" s="533"/>
      <c r="R465" s="533"/>
      <c r="S465" s="533"/>
      <c r="T465" s="533"/>
      <c r="U465" s="533"/>
      <c r="V465" s="533"/>
      <c r="W465" s="533"/>
      <c r="X465" s="533"/>
      <c r="Y465" s="533"/>
      <c r="Z465" s="533"/>
      <c r="AA465" s="533"/>
      <c r="AB465" s="533"/>
      <c r="AC465" s="533"/>
    </row>
    <row r="466" spans="1:29" ht="15.75" customHeight="1">
      <c r="A466" s="533"/>
      <c r="B466" s="533"/>
      <c r="C466" s="533"/>
      <c r="D466" s="533"/>
      <c r="E466" s="533"/>
      <c r="F466" s="533"/>
      <c r="G466" s="533"/>
      <c r="H466" s="533"/>
      <c r="I466" s="533"/>
      <c r="J466" s="533"/>
      <c r="K466" s="533"/>
      <c r="L466" s="533"/>
      <c r="M466" s="533"/>
      <c r="N466" s="533"/>
      <c r="O466" s="533"/>
      <c r="P466" s="533"/>
      <c r="Q466" s="533"/>
      <c r="R466" s="533"/>
      <c r="S466" s="533"/>
      <c r="T466" s="533"/>
      <c r="U466" s="533"/>
      <c r="V466" s="533"/>
      <c r="W466" s="533"/>
      <c r="X466" s="533"/>
      <c r="Y466" s="533"/>
      <c r="Z466" s="533"/>
      <c r="AA466" s="533"/>
      <c r="AB466" s="533"/>
      <c r="AC466" s="533"/>
    </row>
    <row r="467" spans="1:29" ht="15.75" customHeight="1">
      <c r="A467" s="533"/>
      <c r="B467" s="533"/>
      <c r="C467" s="533"/>
      <c r="D467" s="533"/>
      <c r="E467" s="533"/>
      <c r="F467" s="533"/>
      <c r="G467" s="533"/>
      <c r="H467" s="533"/>
      <c r="I467" s="533"/>
      <c r="J467" s="533"/>
      <c r="K467" s="533"/>
      <c r="L467" s="533"/>
      <c r="M467" s="533"/>
      <c r="N467" s="533"/>
      <c r="O467" s="533"/>
      <c r="P467" s="533"/>
      <c r="Q467" s="533"/>
      <c r="R467" s="533"/>
      <c r="S467" s="533"/>
      <c r="T467" s="533"/>
      <c r="U467" s="533"/>
      <c r="V467" s="533"/>
      <c r="W467" s="533"/>
      <c r="X467" s="533"/>
      <c r="Y467" s="533"/>
      <c r="Z467" s="533"/>
      <c r="AA467" s="533"/>
      <c r="AB467" s="533"/>
      <c r="AC467" s="533"/>
    </row>
    <row r="468" spans="1:29" ht="15.75" customHeight="1">
      <c r="A468" s="533"/>
      <c r="B468" s="533"/>
      <c r="C468" s="533"/>
      <c r="D468" s="533"/>
      <c r="E468" s="533"/>
      <c r="F468" s="533"/>
      <c r="G468" s="533"/>
      <c r="H468" s="533"/>
      <c r="I468" s="533"/>
      <c r="J468" s="533"/>
      <c r="K468" s="533"/>
      <c r="L468" s="533"/>
      <c r="M468" s="533"/>
      <c r="N468" s="533"/>
      <c r="O468" s="533"/>
      <c r="P468" s="533"/>
      <c r="Q468" s="533"/>
      <c r="R468" s="533"/>
      <c r="S468" s="533"/>
      <c r="T468" s="533"/>
      <c r="U468" s="533"/>
      <c r="V468" s="533"/>
      <c r="W468" s="533"/>
      <c r="X468" s="533"/>
      <c r="Y468" s="533"/>
      <c r="Z468" s="533"/>
      <c r="AA468" s="533"/>
      <c r="AB468" s="533"/>
      <c r="AC468" s="533"/>
    </row>
    <row r="469" spans="1:29" ht="15.75" customHeight="1">
      <c r="A469" s="533"/>
      <c r="B469" s="533"/>
      <c r="C469" s="533"/>
      <c r="D469" s="533"/>
      <c r="E469" s="533"/>
      <c r="F469" s="533"/>
      <c r="G469" s="533"/>
      <c r="H469" s="533"/>
      <c r="I469" s="533"/>
      <c r="J469" s="533"/>
      <c r="K469" s="533"/>
      <c r="L469" s="533"/>
      <c r="M469" s="533"/>
      <c r="N469" s="533"/>
      <c r="O469" s="533"/>
      <c r="P469" s="533"/>
      <c r="Q469" s="533"/>
      <c r="R469" s="533"/>
      <c r="S469" s="533"/>
      <c r="T469" s="533"/>
      <c r="U469" s="533"/>
      <c r="V469" s="533"/>
      <c r="W469" s="533"/>
      <c r="X469" s="533"/>
      <c r="Y469" s="533"/>
      <c r="Z469" s="533"/>
      <c r="AA469" s="533"/>
      <c r="AB469" s="533"/>
      <c r="AC469" s="533"/>
    </row>
    <row r="470" spans="1:29" ht="15.75" customHeight="1">
      <c r="A470" s="533"/>
      <c r="B470" s="533"/>
      <c r="C470" s="533"/>
      <c r="D470" s="533"/>
      <c r="E470" s="533"/>
      <c r="F470" s="533"/>
      <c r="G470" s="533"/>
      <c r="H470" s="533"/>
      <c r="I470" s="533"/>
      <c r="J470" s="533"/>
      <c r="K470" s="533"/>
      <c r="L470" s="533"/>
      <c r="M470" s="533"/>
      <c r="N470" s="533"/>
      <c r="O470" s="533"/>
      <c r="P470" s="533"/>
      <c r="Q470" s="533"/>
      <c r="R470" s="533"/>
      <c r="S470" s="533"/>
      <c r="T470" s="533"/>
      <c r="U470" s="533"/>
      <c r="V470" s="533"/>
      <c r="W470" s="533"/>
      <c r="X470" s="533"/>
      <c r="Y470" s="533"/>
      <c r="Z470" s="533"/>
      <c r="AA470" s="533"/>
      <c r="AB470" s="533"/>
      <c r="AC470" s="533"/>
    </row>
    <row r="471" spans="1:29" ht="15.75" customHeight="1">
      <c r="A471" s="533"/>
      <c r="B471" s="533"/>
      <c r="C471" s="533"/>
      <c r="D471" s="533"/>
      <c r="E471" s="533"/>
      <c r="F471" s="533"/>
      <c r="G471" s="533"/>
      <c r="H471" s="533"/>
      <c r="I471" s="533"/>
      <c r="J471" s="533"/>
      <c r="K471" s="533"/>
      <c r="L471" s="533"/>
      <c r="M471" s="533"/>
      <c r="N471" s="533"/>
      <c r="O471" s="533"/>
      <c r="P471" s="533"/>
      <c r="Q471" s="533"/>
      <c r="R471" s="533"/>
      <c r="S471" s="533"/>
      <c r="T471" s="533"/>
      <c r="U471" s="533"/>
      <c r="V471" s="533"/>
      <c r="W471" s="533"/>
      <c r="X471" s="533"/>
      <c r="Y471" s="533"/>
      <c r="Z471" s="533"/>
      <c r="AA471" s="533"/>
      <c r="AB471" s="533"/>
      <c r="AC471" s="533"/>
    </row>
    <row r="472" spans="1:29" ht="15.75" customHeight="1">
      <c r="A472" s="533"/>
      <c r="B472" s="533"/>
      <c r="C472" s="533"/>
      <c r="D472" s="533"/>
      <c r="E472" s="533"/>
      <c r="F472" s="533"/>
      <c r="G472" s="533"/>
      <c r="H472" s="533"/>
      <c r="I472" s="533"/>
      <c r="J472" s="533"/>
      <c r="K472" s="533"/>
      <c r="L472" s="533"/>
      <c r="M472" s="533"/>
      <c r="N472" s="533"/>
      <c r="O472" s="533"/>
      <c r="P472" s="533"/>
      <c r="Q472" s="533"/>
      <c r="R472" s="533"/>
      <c r="S472" s="533"/>
      <c r="T472" s="533"/>
      <c r="U472" s="533"/>
      <c r="V472" s="533"/>
      <c r="W472" s="533"/>
      <c r="X472" s="533"/>
      <c r="Y472" s="533"/>
      <c r="Z472" s="533"/>
      <c r="AA472" s="533"/>
      <c r="AB472" s="533"/>
      <c r="AC472" s="533"/>
    </row>
    <row r="473" spans="1:29" ht="15.75" customHeight="1">
      <c r="A473" s="533"/>
      <c r="B473" s="533"/>
      <c r="C473" s="533"/>
      <c r="D473" s="533"/>
      <c r="E473" s="533"/>
      <c r="F473" s="533"/>
      <c r="G473" s="533"/>
      <c r="H473" s="533"/>
      <c r="I473" s="533"/>
      <c r="J473" s="533"/>
      <c r="K473" s="533"/>
      <c r="L473" s="533"/>
      <c r="M473" s="533"/>
      <c r="N473" s="533"/>
      <c r="O473" s="533"/>
      <c r="P473" s="533"/>
      <c r="Q473" s="533"/>
      <c r="R473" s="533"/>
      <c r="S473" s="533"/>
      <c r="T473" s="533"/>
      <c r="U473" s="533"/>
      <c r="V473" s="533"/>
      <c r="W473" s="533"/>
      <c r="X473" s="533"/>
      <c r="Y473" s="533"/>
      <c r="Z473" s="533"/>
      <c r="AA473" s="533"/>
      <c r="AB473" s="533"/>
      <c r="AC473" s="533"/>
    </row>
    <row r="474" spans="1:29" ht="15.75" customHeight="1">
      <c r="A474" s="533"/>
      <c r="B474" s="533"/>
      <c r="C474" s="533"/>
      <c r="D474" s="533"/>
      <c r="E474" s="533"/>
      <c r="F474" s="533"/>
      <c r="G474" s="533"/>
      <c r="H474" s="533"/>
      <c r="I474" s="533"/>
      <c r="J474" s="533"/>
      <c r="K474" s="533"/>
      <c r="L474" s="533"/>
      <c r="M474" s="533"/>
      <c r="N474" s="533"/>
      <c r="O474" s="533"/>
      <c r="P474" s="533"/>
      <c r="Q474" s="533"/>
      <c r="R474" s="533"/>
      <c r="S474" s="533"/>
      <c r="T474" s="533"/>
      <c r="U474" s="533"/>
      <c r="V474" s="533"/>
      <c r="W474" s="533"/>
      <c r="X474" s="533"/>
      <c r="Y474" s="533"/>
      <c r="Z474" s="533"/>
      <c r="AA474" s="533"/>
      <c r="AB474" s="533"/>
      <c r="AC474" s="533"/>
    </row>
    <row r="475" spans="1:29" ht="15.75" customHeight="1">
      <c r="A475" s="533"/>
      <c r="B475" s="533"/>
      <c r="C475" s="533"/>
      <c r="D475" s="533"/>
      <c r="E475" s="533"/>
      <c r="F475" s="533"/>
      <c r="G475" s="533"/>
      <c r="H475" s="533"/>
      <c r="I475" s="533"/>
      <c r="J475" s="533"/>
      <c r="K475" s="533"/>
      <c r="L475" s="533"/>
      <c r="M475" s="533"/>
      <c r="N475" s="533"/>
      <c r="O475" s="533"/>
      <c r="P475" s="533"/>
      <c r="Q475" s="533"/>
      <c r="R475" s="533"/>
      <c r="S475" s="533"/>
      <c r="T475" s="533"/>
      <c r="U475" s="533"/>
      <c r="V475" s="533"/>
      <c r="W475" s="533"/>
      <c r="X475" s="533"/>
      <c r="Y475" s="533"/>
      <c r="Z475" s="533"/>
      <c r="AA475" s="533"/>
      <c r="AB475" s="533"/>
      <c r="AC475" s="533"/>
    </row>
    <row r="476" spans="1:29" ht="15.75" customHeight="1">
      <c r="A476" s="533"/>
      <c r="B476" s="533"/>
      <c r="C476" s="533"/>
      <c r="D476" s="533"/>
      <c r="E476" s="533"/>
      <c r="F476" s="533"/>
      <c r="G476" s="533"/>
      <c r="H476" s="533"/>
      <c r="I476" s="533"/>
      <c r="J476" s="533"/>
      <c r="K476" s="533"/>
      <c r="L476" s="533"/>
      <c r="M476" s="533"/>
      <c r="N476" s="533"/>
      <c r="O476" s="533"/>
      <c r="P476" s="533"/>
      <c r="Q476" s="533"/>
      <c r="R476" s="533"/>
      <c r="S476" s="533"/>
      <c r="T476" s="533"/>
      <c r="U476" s="533"/>
      <c r="V476" s="533"/>
      <c r="W476" s="533"/>
      <c r="X476" s="533"/>
      <c r="Y476" s="533"/>
      <c r="Z476" s="533"/>
      <c r="AA476" s="533"/>
      <c r="AB476" s="533"/>
      <c r="AC476" s="533"/>
    </row>
    <row r="477" spans="1:29" ht="15.75" customHeight="1">
      <c r="A477" s="533"/>
      <c r="B477" s="533"/>
      <c r="C477" s="533"/>
      <c r="D477" s="533"/>
      <c r="E477" s="533"/>
      <c r="F477" s="533"/>
      <c r="G477" s="533"/>
      <c r="H477" s="533"/>
      <c r="I477" s="533"/>
      <c r="J477" s="533"/>
      <c r="K477" s="533"/>
      <c r="L477" s="533"/>
      <c r="M477" s="533"/>
      <c r="N477" s="533"/>
      <c r="O477" s="533"/>
      <c r="P477" s="533"/>
      <c r="Q477" s="533"/>
      <c r="R477" s="533"/>
      <c r="S477" s="533"/>
      <c r="T477" s="533"/>
      <c r="U477" s="533"/>
      <c r="V477" s="533"/>
      <c r="W477" s="533"/>
      <c r="X477" s="533"/>
      <c r="Y477" s="533"/>
      <c r="Z477" s="533"/>
      <c r="AA477" s="533"/>
      <c r="AB477" s="533"/>
      <c r="AC477" s="533"/>
    </row>
    <row r="478" spans="1:29" ht="15.75" customHeight="1">
      <c r="A478" s="533"/>
      <c r="B478" s="533"/>
      <c r="C478" s="533"/>
      <c r="D478" s="533"/>
      <c r="E478" s="533"/>
      <c r="F478" s="533"/>
      <c r="G478" s="533"/>
      <c r="H478" s="533"/>
      <c r="I478" s="533"/>
      <c r="J478" s="533"/>
      <c r="K478" s="533"/>
      <c r="L478" s="533"/>
      <c r="M478" s="533"/>
      <c r="N478" s="533"/>
      <c r="O478" s="533"/>
      <c r="P478" s="533"/>
      <c r="Q478" s="533"/>
      <c r="R478" s="533"/>
      <c r="S478" s="533"/>
      <c r="T478" s="533"/>
      <c r="U478" s="533"/>
      <c r="V478" s="533"/>
      <c r="W478" s="533"/>
      <c r="X478" s="533"/>
      <c r="Y478" s="533"/>
      <c r="Z478" s="533"/>
      <c r="AA478" s="533"/>
      <c r="AB478" s="533"/>
      <c r="AC478" s="533"/>
    </row>
    <row r="479" spans="1:29" ht="15.75" customHeight="1">
      <c r="A479" s="533"/>
      <c r="B479" s="533"/>
      <c r="C479" s="533"/>
      <c r="D479" s="533"/>
      <c r="E479" s="533"/>
      <c r="F479" s="533"/>
      <c r="G479" s="533"/>
      <c r="H479" s="533"/>
      <c r="I479" s="533"/>
      <c r="J479" s="533"/>
      <c r="K479" s="533"/>
      <c r="L479" s="533"/>
      <c r="M479" s="533"/>
      <c r="N479" s="533"/>
      <c r="O479" s="533"/>
      <c r="P479" s="533"/>
      <c r="Q479" s="533"/>
      <c r="R479" s="533"/>
      <c r="S479" s="533"/>
      <c r="T479" s="533"/>
      <c r="U479" s="533"/>
      <c r="V479" s="533"/>
      <c r="W479" s="533"/>
      <c r="X479" s="533"/>
      <c r="Y479" s="533"/>
      <c r="Z479" s="533"/>
      <c r="AA479" s="533"/>
      <c r="AB479" s="533"/>
      <c r="AC479" s="533"/>
    </row>
    <row r="480" spans="1:29" ht="15.75" customHeight="1">
      <c r="A480" s="533"/>
      <c r="B480" s="533"/>
      <c r="C480" s="533"/>
      <c r="D480" s="533"/>
      <c r="E480" s="533"/>
      <c r="F480" s="533"/>
      <c r="G480" s="533"/>
      <c r="H480" s="533"/>
      <c r="I480" s="533"/>
      <c r="J480" s="533"/>
      <c r="K480" s="533"/>
      <c r="L480" s="533"/>
      <c r="M480" s="533"/>
      <c r="N480" s="533"/>
      <c r="O480" s="533"/>
      <c r="P480" s="533"/>
      <c r="Q480" s="533"/>
      <c r="R480" s="533"/>
      <c r="S480" s="533"/>
      <c r="T480" s="533"/>
      <c r="U480" s="533"/>
      <c r="V480" s="533"/>
      <c r="W480" s="533"/>
      <c r="X480" s="533"/>
      <c r="Y480" s="533"/>
      <c r="Z480" s="533"/>
      <c r="AA480" s="533"/>
      <c r="AB480" s="533"/>
      <c r="AC480" s="533"/>
    </row>
    <row r="481" spans="1:29" ht="15.75" customHeight="1">
      <c r="A481" s="533"/>
      <c r="B481" s="533"/>
      <c r="C481" s="533"/>
      <c r="D481" s="533"/>
      <c r="E481" s="533"/>
      <c r="F481" s="533"/>
      <c r="G481" s="533"/>
      <c r="H481" s="533"/>
      <c r="I481" s="533"/>
      <c r="J481" s="533"/>
      <c r="K481" s="533"/>
      <c r="L481" s="533"/>
      <c r="M481" s="533"/>
      <c r="N481" s="533"/>
      <c r="O481" s="533"/>
      <c r="P481" s="533"/>
      <c r="Q481" s="533"/>
      <c r="R481" s="533"/>
      <c r="S481" s="533"/>
      <c r="T481" s="533"/>
      <c r="U481" s="533"/>
      <c r="V481" s="533"/>
      <c r="W481" s="533"/>
      <c r="X481" s="533"/>
      <c r="Y481" s="533"/>
      <c r="Z481" s="533"/>
      <c r="AA481" s="533"/>
      <c r="AB481" s="533"/>
      <c r="AC481" s="533"/>
    </row>
    <row r="482" spans="1:29" ht="15.75" customHeight="1">
      <c r="A482" s="533"/>
      <c r="B482" s="533"/>
      <c r="C482" s="533"/>
      <c r="D482" s="533"/>
      <c r="E482" s="533"/>
      <c r="F482" s="533"/>
      <c r="G482" s="533"/>
      <c r="H482" s="533"/>
      <c r="I482" s="533"/>
      <c r="J482" s="533"/>
      <c r="K482" s="533"/>
      <c r="L482" s="533"/>
      <c r="M482" s="533"/>
      <c r="N482" s="533"/>
      <c r="O482" s="533"/>
      <c r="P482" s="533"/>
      <c r="Q482" s="533"/>
      <c r="R482" s="533"/>
      <c r="S482" s="533"/>
      <c r="T482" s="533"/>
      <c r="U482" s="533"/>
      <c r="V482" s="533"/>
      <c r="W482" s="533"/>
      <c r="X482" s="533"/>
      <c r="Y482" s="533"/>
      <c r="Z482" s="533"/>
      <c r="AA482" s="533"/>
      <c r="AB482" s="533"/>
      <c r="AC482" s="533"/>
    </row>
    <row r="483" spans="1:29" ht="15.75" customHeight="1">
      <c r="A483" s="533"/>
      <c r="B483" s="533"/>
      <c r="C483" s="533"/>
      <c r="D483" s="533"/>
      <c r="E483" s="533"/>
      <c r="F483" s="533"/>
      <c r="G483" s="533"/>
      <c r="H483" s="533"/>
      <c r="I483" s="533"/>
      <c r="J483" s="533"/>
      <c r="K483" s="533"/>
      <c r="L483" s="533"/>
      <c r="M483" s="533"/>
      <c r="N483" s="533"/>
      <c r="O483" s="533"/>
      <c r="P483" s="533"/>
      <c r="Q483" s="533"/>
      <c r="R483" s="533"/>
      <c r="S483" s="533"/>
      <c r="T483" s="533"/>
      <c r="U483" s="533"/>
      <c r="V483" s="533"/>
      <c r="W483" s="533"/>
      <c r="X483" s="533"/>
      <c r="Y483" s="533"/>
      <c r="Z483" s="533"/>
      <c r="AA483" s="533"/>
      <c r="AB483" s="533"/>
      <c r="AC483" s="533"/>
    </row>
    <row r="484" spans="1:29" ht="15.75" customHeight="1">
      <c r="A484" s="533"/>
      <c r="B484" s="533"/>
      <c r="C484" s="533"/>
      <c r="D484" s="533"/>
      <c r="E484" s="533"/>
      <c r="F484" s="533"/>
      <c r="G484" s="533"/>
      <c r="H484" s="533"/>
      <c r="I484" s="533"/>
      <c r="J484" s="533"/>
      <c r="K484" s="533"/>
      <c r="L484" s="533"/>
      <c r="M484" s="533"/>
      <c r="N484" s="533"/>
      <c r="O484" s="533"/>
      <c r="P484" s="533"/>
      <c r="Q484" s="533"/>
      <c r="R484" s="533"/>
      <c r="S484" s="533"/>
      <c r="T484" s="533"/>
      <c r="U484" s="533"/>
      <c r="V484" s="533"/>
      <c r="W484" s="533"/>
      <c r="X484" s="533"/>
      <c r="Y484" s="533"/>
      <c r="Z484" s="533"/>
      <c r="AA484" s="533"/>
      <c r="AB484" s="533"/>
      <c r="AC484" s="533"/>
    </row>
    <row r="485" spans="1:29" ht="15.75" customHeight="1">
      <c r="A485" s="533"/>
      <c r="B485" s="533"/>
      <c r="C485" s="533"/>
      <c r="D485" s="533"/>
      <c r="E485" s="533"/>
      <c r="F485" s="533"/>
      <c r="G485" s="533"/>
      <c r="H485" s="533"/>
      <c r="I485" s="533"/>
      <c r="J485" s="533"/>
      <c r="K485" s="533"/>
      <c r="L485" s="533"/>
      <c r="M485" s="533"/>
      <c r="N485" s="533"/>
      <c r="O485" s="533"/>
      <c r="P485" s="533"/>
      <c r="Q485" s="533"/>
      <c r="R485" s="533"/>
      <c r="S485" s="533"/>
      <c r="T485" s="533"/>
      <c r="U485" s="533"/>
      <c r="V485" s="533"/>
      <c r="W485" s="533"/>
      <c r="X485" s="533"/>
      <c r="Y485" s="533"/>
      <c r="Z485" s="533"/>
      <c r="AA485" s="533"/>
      <c r="AB485" s="533"/>
      <c r="AC485" s="533"/>
    </row>
    <row r="486" spans="1:29" ht="15.75" customHeight="1">
      <c r="A486" s="533"/>
      <c r="B486" s="533"/>
      <c r="C486" s="533"/>
      <c r="D486" s="533"/>
      <c r="E486" s="533"/>
      <c r="F486" s="533"/>
      <c r="G486" s="533"/>
      <c r="H486" s="533"/>
      <c r="I486" s="533"/>
      <c r="J486" s="533"/>
      <c r="K486" s="533"/>
      <c r="L486" s="533"/>
      <c r="M486" s="533"/>
      <c r="N486" s="533"/>
      <c r="O486" s="533"/>
      <c r="P486" s="533"/>
      <c r="Q486" s="533"/>
      <c r="R486" s="533"/>
      <c r="S486" s="533"/>
      <c r="T486" s="533"/>
      <c r="U486" s="533"/>
      <c r="V486" s="533"/>
      <c r="W486" s="533"/>
      <c r="X486" s="533"/>
      <c r="Y486" s="533"/>
      <c r="Z486" s="533"/>
      <c r="AA486" s="533"/>
      <c r="AB486" s="533"/>
      <c r="AC486" s="533"/>
    </row>
    <row r="487" spans="1:29" ht="15.75" customHeight="1">
      <c r="A487" s="533"/>
      <c r="B487" s="533"/>
      <c r="C487" s="533"/>
      <c r="D487" s="533"/>
      <c r="E487" s="533"/>
      <c r="F487" s="533"/>
      <c r="G487" s="533"/>
      <c r="H487" s="533"/>
      <c r="I487" s="533"/>
      <c r="J487" s="533"/>
      <c r="K487" s="533"/>
      <c r="L487" s="533"/>
      <c r="M487" s="533"/>
      <c r="N487" s="533"/>
      <c r="O487" s="533"/>
      <c r="P487" s="533"/>
      <c r="Q487" s="533"/>
      <c r="R487" s="533"/>
      <c r="S487" s="533"/>
      <c r="T487" s="533"/>
      <c r="U487" s="533"/>
      <c r="V487" s="533"/>
      <c r="W487" s="533"/>
      <c r="X487" s="533"/>
      <c r="Y487" s="533"/>
      <c r="Z487" s="533"/>
      <c r="AA487" s="533"/>
      <c r="AB487" s="533"/>
      <c r="AC487" s="533"/>
    </row>
    <row r="488" spans="1:29" ht="15.75" customHeight="1">
      <c r="A488" s="533"/>
      <c r="B488" s="533"/>
      <c r="C488" s="533"/>
      <c r="D488" s="533"/>
      <c r="E488" s="533"/>
      <c r="F488" s="533"/>
      <c r="G488" s="533"/>
      <c r="H488" s="533"/>
      <c r="I488" s="533"/>
      <c r="J488" s="533"/>
      <c r="K488" s="533"/>
      <c r="L488" s="533"/>
      <c r="M488" s="533"/>
      <c r="N488" s="533"/>
      <c r="O488" s="533"/>
      <c r="P488" s="533"/>
      <c r="Q488" s="533"/>
      <c r="R488" s="533"/>
      <c r="S488" s="533"/>
      <c r="T488" s="533"/>
      <c r="U488" s="533"/>
      <c r="V488" s="533"/>
      <c r="W488" s="533"/>
      <c r="X488" s="533"/>
      <c r="Y488" s="533"/>
      <c r="Z488" s="533"/>
      <c r="AA488" s="533"/>
      <c r="AB488" s="533"/>
      <c r="AC488" s="533"/>
    </row>
    <row r="489" spans="1:29" ht="15.75" customHeight="1">
      <c r="A489" s="533"/>
      <c r="B489" s="533"/>
      <c r="C489" s="533"/>
      <c r="D489" s="533"/>
      <c r="E489" s="533"/>
      <c r="F489" s="533"/>
      <c r="G489" s="533"/>
      <c r="H489" s="533"/>
      <c r="I489" s="533"/>
      <c r="J489" s="533"/>
      <c r="K489" s="533"/>
      <c r="L489" s="533"/>
      <c r="M489" s="533"/>
      <c r="N489" s="533"/>
      <c r="O489" s="533"/>
      <c r="P489" s="533"/>
      <c r="Q489" s="533"/>
      <c r="R489" s="533"/>
      <c r="S489" s="533"/>
      <c r="T489" s="533"/>
      <c r="U489" s="533"/>
      <c r="V489" s="533"/>
      <c r="W489" s="533"/>
      <c r="X489" s="533"/>
      <c r="Y489" s="533"/>
      <c r="Z489" s="533"/>
      <c r="AA489" s="533"/>
      <c r="AB489" s="533"/>
      <c r="AC489" s="533"/>
    </row>
    <row r="490" spans="1:29" ht="15.75" customHeight="1">
      <c r="A490" s="533"/>
      <c r="B490" s="533"/>
      <c r="C490" s="533"/>
      <c r="D490" s="533"/>
      <c r="E490" s="533"/>
      <c r="F490" s="533"/>
      <c r="G490" s="533"/>
      <c r="H490" s="533"/>
      <c r="I490" s="533"/>
      <c r="J490" s="533"/>
      <c r="K490" s="533"/>
      <c r="L490" s="533"/>
      <c r="M490" s="533"/>
      <c r="N490" s="533"/>
      <c r="O490" s="533"/>
      <c r="P490" s="533"/>
      <c r="Q490" s="533"/>
      <c r="R490" s="533"/>
      <c r="S490" s="533"/>
      <c r="T490" s="533"/>
      <c r="U490" s="533"/>
      <c r="V490" s="533"/>
      <c r="W490" s="533"/>
      <c r="X490" s="533"/>
      <c r="Y490" s="533"/>
      <c r="Z490" s="533"/>
      <c r="AA490" s="533"/>
      <c r="AB490" s="533"/>
      <c r="AC490" s="533"/>
    </row>
    <row r="491" spans="1:29" ht="15.75" customHeight="1">
      <c r="A491" s="533"/>
      <c r="B491" s="533"/>
      <c r="C491" s="533"/>
      <c r="D491" s="533"/>
      <c r="E491" s="533"/>
      <c r="F491" s="533"/>
      <c r="G491" s="533"/>
      <c r="H491" s="533"/>
      <c r="I491" s="533"/>
      <c r="J491" s="533"/>
      <c r="K491" s="533"/>
      <c r="L491" s="533"/>
      <c r="M491" s="533"/>
      <c r="N491" s="533"/>
      <c r="O491" s="533"/>
      <c r="P491" s="533"/>
      <c r="Q491" s="533"/>
      <c r="R491" s="533"/>
      <c r="S491" s="533"/>
      <c r="T491" s="533"/>
      <c r="U491" s="533"/>
      <c r="V491" s="533"/>
      <c r="W491" s="533"/>
      <c r="X491" s="533"/>
      <c r="Y491" s="533"/>
      <c r="Z491" s="533"/>
      <c r="AA491" s="533"/>
      <c r="AB491" s="533"/>
      <c r="AC491" s="533"/>
    </row>
    <row r="492" spans="1:29" ht="15.75" customHeight="1">
      <c r="A492" s="533"/>
      <c r="B492" s="533"/>
      <c r="C492" s="533"/>
      <c r="D492" s="533"/>
      <c r="E492" s="533"/>
      <c r="F492" s="533"/>
      <c r="G492" s="533"/>
      <c r="H492" s="533"/>
      <c r="I492" s="533"/>
      <c r="J492" s="533"/>
      <c r="K492" s="533"/>
      <c r="L492" s="533"/>
      <c r="M492" s="533"/>
      <c r="N492" s="533"/>
      <c r="O492" s="533"/>
      <c r="P492" s="533"/>
      <c r="Q492" s="533"/>
      <c r="R492" s="533"/>
      <c r="S492" s="533"/>
      <c r="T492" s="533"/>
      <c r="U492" s="533"/>
      <c r="V492" s="533"/>
      <c r="W492" s="533"/>
      <c r="X492" s="533"/>
      <c r="Y492" s="533"/>
      <c r="Z492" s="533"/>
      <c r="AA492" s="533"/>
      <c r="AB492" s="533"/>
      <c r="AC492" s="533"/>
    </row>
    <row r="493" spans="1:29" ht="15.75" customHeight="1">
      <c r="A493" s="533"/>
      <c r="B493" s="533"/>
      <c r="C493" s="533"/>
      <c r="D493" s="533"/>
      <c r="E493" s="533"/>
      <c r="F493" s="533"/>
      <c r="G493" s="533"/>
      <c r="H493" s="533"/>
      <c r="I493" s="533"/>
      <c r="J493" s="533"/>
      <c r="K493" s="533"/>
      <c r="L493" s="533"/>
      <c r="M493" s="533"/>
      <c r="N493" s="533"/>
      <c r="O493" s="533"/>
      <c r="P493" s="533"/>
      <c r="Q493" s="533"/>
      <c r="R493" s="533"/>
      <c r="S493" s="533"/>
      <c r="T493" s="533"/>
      <c r="U493" s="533"/>
      <c r="V493" s="533"/>
      <c r="W493" s="533"/>
      <c r="X493" s="533"/>
      <c r="Y493" s="533"/>
      <c r="Z493" s="533"/>
      <c r="AA493" s="533"/>
      <c r="AB493" s="533"/>
      <c r="AC493" s="533"/>
    </row>
    <row r="494" spans="1:29" ht="15.75" customHeight="1">
      <c r="A494" s="533"/>
      <c r="B494" s="533"/>
      <c r="C494" s="533"/>
      <c r="D494" s="533"/>
      <c r="E494" s="533"/>
      <c r="F494" s="533"/>
      <c r="G494" s="533"/>
      <c r="H494" s="533"/>
      <c r="I494" s="533"/>
      <c r="J494" s="533"/>
      <c r="K494" s="533"/>
      <c r="L494" s="533"/>
      <c r="M494" s="533"/>
      <c r="N494" s="533"/>
      <c r="O494" s="533"/>
      <c r="P494" s="533"/>
      <c r="Q494" s="533"/>
      <c r="R494" s="533"/>
      <c r="S494" s="533"/>
      <c r="T494" s="533"/>
      <c r="U494" s="533"/>
      <c r="V494" s="533"/>
      <c r="W494" s="533"/>
      <c r="X494" s="533"/>
      <c r="Y494" s="533"/>
      <c r="Z494" s="533"/>
      <c r="AA494" s="533"/>
      <c r="AB494" s="533"/>
      <c r="AC494" s="533"/>
    </row>
    <row r="495" spans="1:29" ht="15.75" customHeight="1">
      <c r="A495" s="533"/>
      <c r="B495" s="533"/>
      <c r="C495" s="533"/>
      <c r="D495" s="533"/>
      <c r="E495" s="533"/>
      <c r="F495" s="533"/>
      <c r="G495" s="533"/>
      <c r="H495" s="533"/>
      <c r="I495" s="533"/>
      <c r="J495" s="533"/>
      <c r="K495" s="533"/>
      <c r="L495" s="533"/>
      <c r="M495" s="533"/>
      <c r="N495" s="533"/>
      <c r="O495" s="533"/>
      <c r="P495" s="533"/>
      <c r="Q495" s="533"/>
      <c r="R495" s="533"/>
      <c r="S495" s="533"/>
      <c r="T495" s="533"/>
      <c r="U495" s="533"/>
      <c r="V495" s="533"/>
      <c r="W495" s="533"/>
      <c r="X495" s="533"/>
      <c r="Y495" s="533"/>
      <c r="Z495" s="533"/>
      <c r="AA495" s="533"/>
      <c r="AB495" s="533"/>
      <c r="AC495" s="533"/>
    </row>
    <row r="496" spans="1:29" ht="15.75" customHeight="1">
      <c r="A496" s="533"/>
      <c r="B496" s="533"/>
      <c r="C496" s="533"/>
      <c r="D496" s="533"/>
      <c r="E496" s="533"/>
      <c r="F496" s="533"/>
      <c r="G496" s="533"/>
      <c r="H496" s="533"/>
      <c r="I496" s="533"/>
      <c r="J496" s="533"/>
      <c r="K496" s="533"/>
      <c r="L496" s="533"/>
      <c r="M496" s="533"/>
      <c r="N496" s="533"/>
      <c r="O496" s="533"/>
      <c r="P496" s="533"/>
      <c r="Q496" s="533"/>
      <c r="R496" s="533"/>
      <c r="S496" s="533"/>
      <c r="T496" s="533"/>
      <c r="U496" s="533"/>
      <c r="V496" s="533"/>
      <c r="W496" s="533"/>
      <c r="X496" s="533"/>
      <c r="Y496" s="533"/>
      <c r="Z496" s="533"/>
      <c r="AA496" s="533"/>
      <c r="AB496" s="533"/>
      <c r="AC496" s="533"/>
    </row>
    <row r="497" spans="1:29" ht="15.75" customHeight="1">
      <c r="A497" s="533"/>
      <c r="B497" s="533"/>
      <c r="C497" s="533"/>
      <c r="D497" s="533"/>
      <c r="E497" s="533"/>
      <c r="F497" s="533"/>
      <c r="G497" s="533"/>
      <c r="H497" s="533"/>
      <c r="I497" s="533"/>
      <c r="J497" s="533"/>
      <c r="K497" s="533"/>
      <c r="L497" s="533"/>
      <c r="M497" s="533"/>
      <c r="N497" s="533"/>
      <c r="O497" s="533"/>
      <c r="P497" s="533"/>
      <c r="Q497" s="533"/>
      <c r="R497" s="533"/>
      <c r="S497" s="533"/>
      <c r="T497" s="533"/>
      <c r="U497" s="533"/>
      <c r="V497" s="533"/>
      <c r="W497" s="533"/>
      <c r="X497" s="533"/>
      <c r="Y497" s="533"/>
      <c r="Z497" s="533"/>
      <c r="AA497" s="533"/>
      <c r="AB497" s="533"/>
      <c r="AC497" s="533"/>
    </row>
    <row r="498" spans="1:29" ht="15.75" customHeight="1">
      <c r="A498" s="533"/>
      <c r="B498" s="533"/>
      <c r="C498" s="533"/>
      <c r="D498" s="533"/>
      <c r="E498" s="533"/>
      <c r="F498" s="533"/>
      <c r="G498" s="533"/>
      <c r="H498" s="533"/>
      <c r="I498" s="533"/>
      <c r="J498" s="533"/>
      <c r="K498" s="533"/>
      <c r="L498" s="533"/>
      <c r="M498" s="533"/>
      <c r="N498" s="533"/>
      <c r="O498" s="533"/>
      <c r="P498" s="533"/>
      <c r="Q498" s="533"/>
      <c r="R498" s="533"/>
      <c r="S498" s="533"/>
      <c r="T498" s="533"/>
      <c r="U498" s="533"/>
      <c r="V498" s="533"/>
      <c r="W498" s="533"/>
      <c r="X498" s="533"/>
      <c r="Y498" s="533"/>
      <c r="Z498" s="533"/>
      <c r="AA498" s="533"/>
      <c r="AB498" s="533"/>
      <c r="AC498" s="533"/>
    </row>
    <row r="499" spans="1:29" ht="15.75" customHeight="1">
      <c r="A499" s="533"/>
      <c r="B499" s="533"/>
      <c r="C499" s="533"/>
      <c r="D499" s="533"/>
      <c r="E499" s="533"/>
      <c r="F499" s="533"/>
      <c r="G499" s="533"/>
      <c r="H499" s="533"/>
      <c r="I499" s="533"/>
      <c r="J499" s="533"/>
      <c r="K499" s="533"/>
      <c r="L499" s="533"/>
      <c r="M499" s="533"/>
      <c r="N499" s="533"/>
      <c r="O499" s="533"/>
      <c r="P499" s="533"/>
      <c r="Q499" s="533"/>
      <c r="R499" s="533"/>
      <c r="S499" s="533"/>
      <c r="T499" s="533"/>
      <c r="U499" s="533"/>
      <c r="V499" s="533"/>
      <c r="W499" s="533"/>
      <c r="X499" s="533"/>
      <c r="Y499" s="533"/>
      <c r="Z499" s="533"/>
      <c r="AA499" s="533"/>
      <c r="AB499" s="533"/>
      <c r="AC499" s="533"/>
    </row>
    <row r="500" spans="1:29" ht="15.75" customHeight="1">
      <c r="A500" s="533"/>
      <c r="B500" s="533"/>
      <c r="C500" s="533"/>
      <c r="D500" s="533"/>
      <c r="E500" s="533"/>
      <c r="F500" s="533"/>
      <c r="G500" s="533"/>
      <c r="H500" s="533"/>
      <c r="I500" s="533"/>
      <c r="J500" s="533"/>
      <c r="K500" s="533"/>
      <c r="L500" s="533"/>
      <c r="M500" s="533"/>
      <c r="N500" s="533"/>
      <c r="O500" s="533"/>
      <c r="P500" s="533"/>
      <c r="Q500" s="533"/>
      <c r="R500" s="533"/>
      <c r="S500" s="533"/>
      <c r="T500" s="533"/>
      <c r="U500" s="533"/>
      <c r="V500" s="533"/>
      <c r="W500" s="533"/>
      <c r="X500" s="533"/>
      <c r="Y500" s="533"/>
      <c r="Z500" s="533"/>
      <c r="AA500" s="533"/>
      <c r="AB500" s="533"/>
      <c r="AC500" s="533"/>
    </row>
    <row r="501" spans="1:29" ht="15.75" customHeight="1">
      <c r="A501" s="533"/>
      <c r="B501" s="533"/>
      <c r="C501" s="533"/>
      <c r="D501" s="533"/>
      <c r="E501" s="533"/>
      <c r="F501" s="533"/>
      <c r="G501" s="533"/>
      <c r="H501" s="533"/>
      <c r="I501" s="533"/>
      <c r="J501" s="533"/>
      <c r="K501" s="533"/>
      <c r="L501" s="533"/>
      <c r="M501" s="533"/>
      <c r="N501" s="533"/>
      <c r="O501" s="533"/>
      <c r="P501" s="533"/>
      <c r="Q501" s="533"/>
      <c r="R501" s="533"/>
      <c r="S501" s="533"/>
      <c r="T501" s="533"/>
      <c r="U501" s="533"/>
      <c r="V501" s="533"/>
      <c r="W501" s="533"/>
      <c r="X501" s="533"/>
      <c r="Y501" s="533"/>
      <c r="Z501" s="533"/>
      <c r="AA501" s="533"/>
      <c r="AB501" s="533"/>
      <c r="AC501" s="533"/>
    </row>
    <row r="502" spans="1:29" ht="15.75" customHeight="1">
      <c r="A502" s="533"/>
      <c r="B502" s="533"/>
      <c r="C502" s="533"/>
      <c r="D502" s="533"/>
      <c r="E502" s="533"/>
      <c r="F502" s="533"/>
      <c r="G502" s="533"/>
      <c r="H502" s="533"/>
      <c r="I502" s="533"/>
      <c r="J502" s="533"/>
      <c r="K502" s="533"/>
      <c r="L502" s="533"/>
      <c r="M502" s="533"/>
      <c r="N502" s="533"/>
      <c r="O502" s="533"/>
      <c r="P502" s="533"/>
      <c r="Q502" s="533"/>
      <c r="R502" s="533"/>
      <c r="S502" s="533"/>
      <c r="T502" s="533"/>
      <c r="U502" s="533"/>
      <c r="V502" s="533"/>
      <c r="W502" s="533"/>
      <c r="X502" s="533"/>
      <c r="Y502" s="533"/>
      <c r="Z502" s="533"/>
      <c r="AA502" s="533"/>
      <c r="AB502" s="533"/>
      <c r="AC502" s="533"/>
    </row>
    <row r="503" spans="1:29" ht="15.75" customHeight="1">
      <c r="A503" s="533"/>
      <c r="B503" s="533"/>
      <c r="C503" s="533"/>
      <c r="D503" s="533"/>
      <c r="E503" s="533"/>
      <c r="F503" s="533"/>
      <c r="G503" s="533"/>
      <c r="H503" s="533"/>
      <c r="I503" s="533"/>
      <c r="J503" s="533"/>
      <c r="K503" s="533"/>
      <c r="L503" s="533"/>
      <c r="M503" s="533"/>
      <c r="N503" s="533"/>
      <c r="O503" s="533"/>
      <c r="P503" s="533"/>
      <c r="Q503" s="533"/>
      <c r="R503" s="533"/>
      <c r="S503" s="533"/>
      <c r="T503" s="533"/>
      <c r="U503" s="533"/>
      <c r="V503" s="533"/>
      <c r="W503" s="533"/>
      <c r="X503" s="533"/>
      <c r="Y503" s="533"/>
      <c r="Z503" s="533"/>
      <c r="AA503" s="533"/>
      <c r="AB503" s="533"/>
      <c r="AC503" s="533"/>
    </row>
    <row r="504" spans="1:29" ht="15.75" customHeight="1">
      <c r="A504" s="533"/>
      <c r="B504" s="533"/>
      <c r="C504" s="533"/>
      <c r="D504" s="533"/>
      <c r="E504" s="533"/>
      <c r="F504" s="533"/>
      <c r="G504" s="533"/>
      <c r="H504" s="533"/>
      <c r="I504" s="533"/>
      <c r="J504" s="533"/>
      <c r="K504" s="533"/>
      <c r="L504" s="533"/>
      <c r="M504" s="533"/>
      <c r="N504" s="533"/>
      <c r="O504" s="533"/>
      <c r="P504" s="533"/>
      <c r="Q504" s="533"/>
      <c r="R504" s="533"/>
      <c r="S504" s="533"/>
      <c r="T504" s="533"/>
      <c r="U504" s="533"/>
      <c r="V504" s="533"/>
      <c r="W504" s="533"/>
      <c r="X504" s="533"/>
      <c r="Y504" s="533"/>
      <c r="Z504" s="533"/>
      <c r="AA504" s="533"/>
      <c r="AB504" s="533"/>
      <c r="AC504" s="533"/>
    </row>
    <row r="505" spans="1:29" ht="15.75" customHeight="1">
      <c r="A505" s="533"/>
      <c r="B505" s="533"/>
      <c r="C505" s="533"/>
      <c r="D505" s="533"/>
      <c r="E505" s="533"/>
      <c r="F505" s="533"/>
      <c r="G505" s="533"/>
      <c r="H505" s="533"/>
      <c r="I505" s="533"/>
      <c r="J505" s="533"/>
      <c r="K505" s="533"/>
      <c r="L505" s="533"/>
      <c r="M505" s="533"/>
      <c r="N505" s="533"/>
      <c r="O505" s="533"/>
      <c r="P505" s="533"/>
      <c r="Q505" s="533"/>
      <c r="R505" s="533"/>
      <c r="S505" s="533"/>
      <c r="T505" s="533"/>
      <c r="U505" s="533"/>
      <c r="V505" s="533"/>
      <c r="W505" s="533"/>
      <c r="X505" s="533"/>
      <c r="Y505" s="533"/>
      <c r="Z505" s="533"/>
      <c r="AA505" s="533"/>
      <c r="AB505" s="533"/>
      <c r="AC505" s="533"/>
    </row>
    <row r="506" spans="1:29" ht="15.75" customHeight="1">
      <c r="A506" s="533"/>
      <c r="B506" s="533"/>
      <c r="C506" s="533"/>
      <c r="D506" s="533"/>
      <c r="E506" s="533"/>
      <c r="F506" s="533"/>
      <c r="G506" s="533"/>
      <c r="H506" s="533"/>
      <c r="I506" s="533"/>
      <c r="J506" s="533"/>
      <c r="K506" s="533"/>
      <c r="L506" s="533"/>
      <c r="M506" s="533"/>
      <c r="N506" s="533"/>
      <c r="O506" s="533"/>
      <c r="P506" s="533"/>
      <c r="Q506" s="533"/>
      <c r="R506" s="533"/>
      <c r="S506" s="533"/>
      <c r="T506" s="533"/>
      <c r="U506" s="533"/>
      <c r="V506" s="533"/>
      <c r="W506" s="533"/>
      <c r="X506" s="533"/>
      <c r="Y506" s="533"/>
      <c r="Z506" s="533"/>
      <c r="AA506" s="533"/>
      <c r="AB506" s="533"/>
      <c r="AC506" s="533"/>
    </row>
    <row r="507" spans="1:29" ht="15.75" customHeight="1">
      <c r="A507" s="533"/>
      <c r="B507" s="533"/>
      <c r="C507" s="533"/>
      <c r="D507" s="533"/>
      <c r="E507" s="533"/>
      <c r="F507" s="533"/>
      <c r="G507" s="533"/>
      <c r="H507" s="533"/>
      <c r="I507" s="533"/>
      <c r="J507" s="533"/>
      <c r="K507" s="533"/>
      <c r="L507" s="533"/>
      <c r="M507" s="533"/>
      <c r="N507" s="533"/>
      <c r="O507" s="533"/>
      <c r="P507" s="533"/>
      <c r="Q507" s="533"/>
      <c r="R507" s="533"/>
      <c r="S507" s="533"/>
      <c r="T507" s="533"/>
      <c r="U507" s="533"/>
      <c r="V507" s="533"/>
      <c r="W507" s="533"/>
      <c r="X507" s="533"/>
      <c r="Y507" s="533"/>
      <c r="Z507" s="533"/>
      <c r="AA507" s="533"/>
      <c r="AB507" s="533"/>
      <c r="AC507" s="533"/>
    </row>
    <row r="508" spans="1:29" ht="15.75" customHeight="1">
      <c r="A508" s="533"/>
      <c r="B508" s="533"/>
      <c r="C508" s="533"/>
      <c r="D508" s="533"/>
      <c r="E508" s="533"/>
      <c r="F508" s="533"/>
      <c r="G508" s="533"/>
      <c r="H508" s="533"/>
      <c r="I508" s="533"/>
      <c r="J508" s="533"/>
      <c r="K508" s="533"/>
      <c r="L508" s="533"/>
      <c r="M508" s="533"/>
      <c r="N508" s="533"/>
      <c r="O508" s="533"/>
      <c r="P508" s="533"/>
      <c r="Q508" s="533"/>
      <c r="R508" s="533"/>
      <c r="S508" s="533"/>
      <c r="T508" s="533"/>
      <c r="U508" s="533"/>
      <c r="V508" s="533"/>
      <c r="W508" s="533"/>
      <c r="X508" s="533"/>
      <c r="Y508" s="533"/>
      <c r="Z508" s="533"/>
      <c r="AA508" s="533"/>
      <c r="AB508" s="533"/>
      <c r="AC508" s="533"/>
    </row>
    <row r="509" spans="1:29" ht="15.75" customHeight="1">
      <c r="A509" s="533"/>
      <c r="B509" s="533"/>
      <c r="C509" s="533"/>
      <c r="D509" s="533"/>
      <c r="E509" s="533"/>
      <c r="F509" s="533"/>
      <c r="G509" s="533"/>
      <c r="H509" s="533"/>
      <c r="I509" s="533"/>
      <c r="J509" s="533"/>
      <c r="K509" s="533"/>
      <c r="L509" s="533"/>
      <c r="M509" s="533"/>
      <c r="N509" s="533"/>
      <c r="O509" s="533"/>
      <c r="P509" s="533"/>
      <c r="Q509" s="533"/>
      <c r="R509" s="533"/>
      <c r="S509" s="533"/>
      <c r="T509" s="533"/>
      <c r="U509" s="533"/>
      <c r="V509" s="533"/>
      <c r="W509" s="533"/>
      <c r="X509" s="533"/>
      <c r="Y509" s="533"/>
      <c r="Z509" s="533"/>
      <c r="AA509" s="533"/>
      <c r="AB509" s="533"/>
      <c r="AC509" s="533"/>
    </row>
    <row r="510" spans="1:29" ht="15.75" customHeight="1">
      <c r="A510" s="533"/>
      <c r="B510" s="533"/>
      <c r="C510" s="533"/>
      <c r="D510" s="533"/>
      <c r="E510" s="533"/>
      <c r="F510" s="533"/>
      <c r="G510" s="533"/>
      <c r="H510" s="533"/>
      <c r="I510" s="533"/>
      <c r="J510" s="533"/>
      <c r="K510" s="533"/>
      <c r="L510" s="533"/>
      <c r="M510" s="533"/>
      <c r="N510" s="533"/>
      <c r="O510" s="533"/>
      <c r="P510" s="533"/>
      <c r="Q510" s="533"/>
      <c r="R510" s="533"/>
      <c r="S510" s="533"/>
      <c r="T510" s="533"/>
      <c r="U510" s="533"/>
      <c r="V510" s="533"/>
      <c r="W510" s="533"/>
      <c r="X510" s="533"/>
      <c r="Y510" s="533"/>
      <c r="Z510" s="533"/>
      <c r="AA510" s="533"/>
      <c r="AB510" s="533"/>
      <c r="AC510" s="533"/>
    </row>
    <row r="511" spans="1:29" ht="15.75" customHeight="1">
      <c r="A511" s="533"/>
      <c r="B511" s="533"/>
      <c r="C511" s="533"/>
      <c r="D511" s="533"/>
      <c r="E511" s="533"/>
      <c r="F511" s="533"/>
      <c r="G511" s="533"/>
      <c r="H511" s="533"/>
      <c r="I511" s="533"/>
      <c r="J511" s="533"/>
      <c r="K511" s="533"/>
      <c r="L511" s="533"/>
      <c r="M511" s="533"/>
      <c r="N511" s="533"/>
      <c r="O511" s="533"/>
      <c r="P511" s="533"/>
      <c r="Q511" s="533"/>
      <c r="R511" s="533"/>
      <c r="S511" s="533"/>
      <c r="T511" s="533"/>
      <c r="U511" s="533"/>
      <c r="V511" s="533"/>
      <c r="W511" s="533"/>
      <c r="X511" s="533"/>
      <c r="Y511" s="533"/>
      <c r="Z511" s="533"/>
      <c r="AA511" s="533"/>
      <c r="AB511" s="533"/>
      <c r="AC511" s="533"/>
    </row>
    <row r="512" spans="1:29" ht="15.75" customHeight="1">
      <c r="A512" s="533"/>
      <c r="B512" s="533"/>
      <c r="C512" s="533"/>
      <c r="D512" s="533"/>
      <c r="E512" s="533"/>
      <c r="F512" s="533"/>
      <c r="G512" s="533"/>
      <c r="H512" s="533"/>
      <c r="I512" s="533"/>
      <c r="J512" s="533"/>
      <c r="K512" s="533"/>
      <c r="L512" s="533"/>
      <c r="M512" s="533"/>
      <c r="N512" s="533"/>
      <c r="O512" s="533"/>
      <c r="P512" s="533"/>
      <c r="Q512" s="533"/>
      <c r="R512" s="533"/>
      <c r="S512" s="533"/>
      <c r="T512" s="533"/>
      <c r="U512" s="533"/>
      <c r="V512" s="533"/>
      <c r="W512" s="533"/>
      <c r="X512" s="533"/>
      <c r="Y512" s="533"/>
      <c r="Z512" s="533"/>
      <c r="AA512" s="533"/>
      <c r="AB512" s="533"/>
      <c r="AC512" s="533"/>
    </row>
    <row r="513" spans="1:29" ht="15.75" customHeight="1">
      <c r="A513" s="533"/>
      <c r="B513" s="533"/>
      <c r="C513" s="533"/>
      <c r="D513" s="533"/>
      <c r="E513" s="533"/>
      <c r="F513" s="533"/>
      <c r="G513" s="533"/>
      <c r="H513" s="533"/>
      <c r="I513" s="533"/>
      <c r="J513" s="533"/>
      <c r="K513" s="533"/>
      <c r="L513" s="533"/>
      <c r="M513" s="533"/>
      <c r="N513" s="533"/>
      <c r="O513" s="533"/>
      <c r="P513" s="533"/>
      <c r="Q513" s="533"/>
      <c r="R513" s="533"/>
      <c r="S513" s="533"/>
      <c r="T513" s="533"/>
      <c r="U513" s="533"/>
      <c r="V513" s="533"/>
      <c r="W513" s="533"/>
      <c r="X513" s="533"/>
      <c r="Y513" s="533"/>
      <c r="Z513" s="533"/>
      <c r="AA513" s="533"/>
      <c r="AB513" s="533"/>
      <c r="AC513" s="533"/>
    </row>
    <row r="514" spans="1:29" ht="15.75" customHeight="1">
      <c r="A514" s="533"/>
      <c r="B514" s="533"/>
      <c r="C514" s="533"/>
      <c r="D514" s="533"/>
      <c r="E514" s="533"/>
      <c r="F514" s="533"/>
      <c r="G514" s="533"/>
      <c r="H514" s="533"/>
      <c r="I514" s="533"/>
      <c r="J514" s="533"/>
      <c r="K514" s="533"/>
      <c r="L514" s="533"/>
      <c r="M514" s="533"/>
      <c r="N514" s="533"/>
      <c r="O514" s="533"/>
      <c r="P514" s="533"/>
      <c r="Q514" s="533"/>
      <c r="R514" s="533"/>
      <c r="S514" s="533"/>
      <c r="T514" s="533"/>
      <c r="U514" s="533"/>
      <c r="V514" s="533"/>
      <c r="W514" s="533"/>
      <c r="X514" s="533"/>
      <c r="Y514" s="533"/>
      <c r="Z514" s="533"/>
      <c r="AA514" s="533"/>
      <c r="AB514" s="533"/>
      <c r="AC514" s="533"/>
    </row>
    <row r="515" spans="1:29" ht="15.75" customHeight="1">
      <c r="A515" s="533"/>
      <c r="B515" s="533"/>
      <c r="C515" s="533"/>
      <c r="D515" s="533"/>
      <c r="E515" s="533"/>
      <c r="F515" s="533"/>
      <c r="G515" s="533"/>
      <c r="H515" s="533"/>
      <c r="I515" s="533"/>
      <c r="J515" s="533"/>
      <c r="K515" s="533"/>
      <c r="L515" s="533"/>
      <c r="M515" s="533"/>
      <c r="N515" s="533"/>
      <c r="O515" s="533"/>
      <c r="P515" s="533"/>
      <c r="Q515" s="533"/>
      <c r="R515" s="533"/>
      <c r="S515" s="533"/>
      <c r="T515" s="533"/>
      <c r="U515" s="533"/>
      <c r="V515" s="533"/>
      <c r="W515" s="533"/>
      <c r="X515" s="533"/>
      <c r="Y515" s="533"/>
      <c r="Z515" s="533"/>
      <c r="AA515" s="533"/>
      <c r="AB515" s="533"/>
      <c r="AC515" s="533"/>
    </row>
    <row r="516" spans="1:29" ht="15.75" customHeight="1">
      <c r="A516" s="533"/>
      <c r="B516" s="533"/>
      <c r="C516" s="533"/>
      <c r="D516" s="533"/>
      <c r="E516" s="533"/>
      <c r="F516" s="533"/>
      <c r="G516" s="533"/>
      <c r="H516" s="533"/>
      <c r="I516" s="533"/>
      <c r="J516" s="533"/>
      <c r="K516" s="533"/>
      <c r="L516" s="533"/>
      <c r="M516" s="533"/>
      <c r="N516" s="533"/>
      <c r="O516" s="533"/>
      <c r="P516" s="533"/>
      <c r="Q516" s="533"/>
      <c r="R516" s="533"/>
      <c r="S516" s="533"/>
      <c r="T516" s="533"/>
      <c r="U516" s="533"/>
      <c r="V516" s="533"/>
      <c r="W516" s="533"/>
      <c r="X516" s="533"/>
      <c r="Y516" s="533"/>
      <c r="Z516" s="533"/>
      <c r="AA516" s="533"/>
      <c r="AB516" s="533"/>
      <c r="AC516" s="533"/>
    </row>
    <row r="517" spans="1:29" ht="15.75" customHeight="1">
      <c r="A517" s="533"/>
      <c r="B517" s="533"/>
      <c r="C517" s="533"/>
      <c r="D517" s="533"/>
      <c r="E517" s="533"/>
      <c r="F517" s="533"/>
      <c r="G517" s="533"/>
      <c r="H517" s="533"/>
      <c r="I517" s="533"/>
      <c r="J517" s="533"/>
      <c r="K517" s="533"/>
      <c r="L517" s="533"/>
      <c r="M517" s="533"/>
      <c r="N517" s="533"/>
      <c r="O517" s="533"/>
      <c r="P517" s="533"/>
      <c r="Q517" s="533"/>
      <c r="R517" s="533"/>
      <c r="S517" s="533"/>
      <c r="T517" s="533"/>
      <c r="U517" s="533"/>
      <c r="V517" s="533"/>
      <c r="W517" s="533"/>
      <c r="X517" s="533"/>
      <c r="Y517" s="533"/>
      <c r="Z517" s="533"/>
      <c r="AA517" s="533"/>
      <c r="AB517" s="533"/>
      <c r="AC517" s="533"/>
    </row>
    <row r="518" spans="1:29" ht="15.75" customHeight="1">
      <c r="A518" s="533"/>
      <c r="B518" s="533"/>
      <c r="C518" s="533"/>
      <c r="D518" s="533"/>
      <c r="E518" s="533"/>
      <c r="F518" s="533"/>
      <c r="G518" s="533"/>
      <c r="H518" s="533"/>
      <c r="I518" s="533"/>
      <c r="J518" s="533"/>
      <c r="K518" s="533"/>
      <c r="L518" s="533"/>
      <c r="M518" s="533"/>
      <c r="N518" s="533"/>
      <c r="O518" s="533"/>
      <c r="P518" s="533"/>
      <c r="Q518" s="533"/>
      <c r="R518" s="533"/>
      <c r="S518" s="533"/>
      <c r="T518" s="533"/>
      <c r="U518" s="533"/>
      <c r="V518" s="533"/>
      <c r="W518" s="533"/>
      <c r="X518" s="533"/>
      <c r="Y518" s="533"/>
      <c r="Z518" s="533"/>
      <c r="AA518" s="533"/>
      <c r="AB518" s="533"/>
      <c r="AC518" s="533"/>
    </row>
    <row r="519" spans="1:29" ht="15.75" customHeight="1">
      <c r="A519" s="533"/>
      <c r="B519" s="533"/>
      <c r="C519" s="533"/>
      <c r="D519" s="533"/>
      <c r="E519" s="533"/>
      <c r="F519" s="533"/>
      <c r="G519" s="533"/>
      <c r="H519" s="533"/>
      <c r="I519" s="533"/>
      <c r="J519" s="533"/>
      <c r="K519" s="533"/>
      <c r="L519" s="533"/>
      <c r="M519" s="533"/>
      <c r="N519" s="533"/>
      <c r="O519" s="533"/>
      <c r="P519" s="533"/>
      <c r="Q519" s="533"/>
      <c r="R519" s="533"/>
      <c r="S519" s="533"/>
      <c r="T519" s="533"/>
      <c r="U519" s="533"/>
      <c r="V519" s="533"/>
      <c r="W519" s="533"/>
      <c r="X519" s="533"/>
      <c r="Y519" s="533"/>
      <c r="Z519" s="533"/>
      <c r="AA519" s="533"/>
      <c r="AB519" s="533"/>
      <c r="AC519" s="533"/>
    </row>
    <row r="520" spans="1:29" ht="15.75" customHeight="1">
      <c r="A520" s="533"/>
      <c r="B520" s="533"/>
      <c r="C520" s="533"/>
      <c r="D520" s="533"/>
      <c r="E520" s="533"/>
      <c r="F520" s="533"/>
      <c r="G520" s="533"/>
      <c r="H520" s="533"/>
      <c r="I520" s="533"/>
      <c r="J520" s="533"/>
      <c r="K520" s="533"/>
      <c r="L520" s="533"/>
      <c r="M520" s="533"/>
      <c r="N520" s="533"/>
      <c r="O520" s="533"/>
      <c r="P520" s="533"/>
      <c r="Q520" s="533"/>
      <c r="R520" s="533"/>
      <c r="S520" s="533"/>
      <c r="T520" s="533"/>
      <c r="U520" s="533"/>
      <c r="V520" s="533"/>
      <c r="W520" s="533"/>
      <c r="X520" s="533"/>
      <c r="Y520" s="533"/>
      <c r="Z520" s="533"/>
      <c r="AA520" s="533"/>
      <c r="AB520" s="533"/>
      <c r="AC520" s="533"/>
    </row>
    <row r="521" spans="1:29" ht="15.75" customHeight="1">
      <c r="A521" s="533"/>
      <c r="B521" s="533"/>
      <c r="C521" s="533"/>
      <c r="D521" s="533"/>
      <c r="E521" s="533"/>
      <c r="F521" s="533"/>
      <c r="G521" s="533"/>
      <c r="H521" s="533"/>
      <c r="I521" s="533"/>
      <c r="J521" s="533"/>
      <c r="K521" s="533"/>
      <c r="L521" s="533"/>
      <c r="M521" s="533"/>
      <c r="N521" s="533"/>
      <c r="O521" s="533"/>
      <c r="P521" s="533"/>
      <c r="Q521" s="533"/>
      <c r="R521" s="533"/>
      <c r="S521" s="533"/>
      <c r="T521" s="533"/>
      <c r="U521" s="533"/>
      <c r="V521" s="533"/>
      <c r="W521" s="533"/>
      <c r="X521" s="533"/>
      <c r="Y521" s="533"/>
      <c r="Z521" s="533"/>
      <c r="AA521" s="533"/>
      <c r="AB521" s="533"/>
      <c r="AC521" s="533"/>
    </row>
    <row r="522" spans="1:29" ht="15.75" customHeight="1">
      <c r="A522" s="533"/>
      <c r="B522" s="533"/>
      <c r="C522" s="533"/>
      <c r="D522" s="533"/>
      <c r="E522" s="533"/>
      <c r="F522" s="533"/>
      <c r="G522" s="533"/>
      <c r="H522" s="533"/>
      <c r="I522" s="533"/>
      <c r="J522" s="533"/>
      <c r="K522" s="533"/>
      <c r="L522" s="533"/>
      <c r="M522" s="533"/>
      <c r="N522" s="533"/>
      <c r="O522" s="533"/>
      <c r="P522" s="533"/>
      <c r="Q522" s="533"/>
      <c r="R522" s="533"/>
      <c r="S522" s="533"/>
      <c r="T522" s="533"/>
      <c r="U522" s="533"/>
      <c r="V522" s="533"/>
      <c r="W522" s="533"/>
      <c r="X522" s="533"/>
      <c r="Y522" s="533"/>
      <c r="Z522" s="533"/>
      <c r="AA522" s="533"/>
      <c r="AB522" s="533"/>
      <c r="AC522" s="533"/>
    </row>
    <row r="523" spans="1:29" ht="15.75" customHeight="1">
      <c r="A523" s="533"/>
      <c r="B523" s="533"/>
      <c r="C523" s="533"/>
      <c r="D523" s="533"/>
      <c r="E523" s="533"/>
      <c r="F523" s="533"/>
      <c r="G523" s="533"/>
      <c r="H523" s="533"/>
      <c r="I523" s="533"/>
      <c r="J523" s="533"/>
      <c r="K523" s="533"/>
      <c r="L523" s="533"/>
      <c r="M523" s="533"/>
      <c r="N523" s="533"/>
      <c r="O523" s="533"/>
      <c r="P523" s="533"/>
      <c r="Q523" s="533"/>
      <c r="R523" s="533"/>
      <c r="S523" s="533"/>
      <c r="T523" s="533"/>
      <c r="U523" s="533"/>
      <c r="V523" s="533"/>
      <c r="W523" s="533"/>
      <c r="X523" s="533"/>
      <c r="Y523" s="533"/>
      <c r="Z523" s="533"/>
      <c r="AA523" s="533"/>
      <c r="AB523" s="533"/>
      <c r="AC523" s="533"/>
    </row>
    <row r="524" spans="1:29" ht="15.75" customHeight="1">
      <c r="A524" s="533"/>
      <c r="B524" s="533"/>
      <c r="C524" s="533"/>
      <c r="D524" s="533"/>
      <c r="E524" s="533"/>
      <c r="F524" s="533"/>
      <c r="G524" s="533"/>
      <c r="H524" s="533"/>
      <c r="I524" s="533"/>
      <c r="J524" s="533"/>
      <c r="K524" s="533"/>
      <c r="L524" s="533"/>
      <c r="M524" s="533"/>
      <c r="N524" s="533"/>
      <c r="O524" s="533"/>
      <c r="P524" s="533"/>
      <c r="Q524" s="533"/>
      <c r="R524" s="533"/>
      <c r="S524" s="533"/>
      <c r="T524" s="533"/>
      <c r="U524" s="533"/>
      <c r="V524" s="533"/>
      <c r="W524" s="533"/>
      <c r="X524" s="533"/>
      <c r="Y524" s="533"/>
      <c r="Z524" s="533"/>
      <c r="AA524" s="533"/>
      <c r="AB524" s="533"/>
      <c r="AC524" s="533"/>
    </row>
    <row r="525" spans="1:29" ht="15.75" customHeight="1">
      <c r="A525" s="533"/>
      <c r="B525" s="533"/>
      <c r="C525" s="533"/>
      <c r="D525" s="533"/>
      <c r="E525" s="533"/>
      <c r="F525" s="533"/>
      <c r="G525" s="533"/>
      <c r="H525" s="533"/>
      <c r="I525" s="533"/>
      <c r="J525" s="533"/>
      <c r="K525" s="533"/>
      <c r="L525" s="533"/>
      <c r="M525" s="533"/>
      <c r="N525" s="533"/>
      <c r="O525" s="533"/>
      <c r="P525" s="533"/>
      <c r="Q525" s="533"/>
      <c r="R525" s="533"/>
      <c r="S525" s="533"/>
      <c r="T525" s="533"/>
      <c r="U525" s="533"/>
      <c r="V525" s="533"/>
      <c r="W525" s="533"/>
      <c r="X525" s="533"/>
      <c r="Y525" s="533"/>
      <c r="Z525" s="533"/>
      <c r="AA525" s="533"/>
      <c r="AB525" s="533"/>
      <c r="AC525" s="533"/>
    </row>
    <row r="526" spans="1:29" ht="15.75" customHeight="1">
      <c r="A526" s="533"/>
      <c r="B526" s="533"/>
      <c r="C526" s="533"/>
      <c r="D526" s="533"/>
      <c r="E526" s="533"/>
      <c r="F526" s="533"/>
      <c r="G526" s="533"/>
      <c r="H526" s="533"/>
      <c r="I526" s="533"/>
      <c r="J526" s="533"/>
      <c r="K526" s="533"/>
      <c r="L526" s="533"/>
      <c r="M526" s="533"/>
      <c r="N526" s="533"/>
      <c r="O526" s="533"/>
      <c r="P526" s="533"/>
      <c r="Q526" s="533"/>
      <c r="R526" s="533"/>
      <c r="S526" s="533"/>
      <c r="T526" s="533"/>
      <c r="U526" s="533"/>
      <c r="V526" s="533"/>
      <c r="W526" s="533"/>
      <c r="X526" s="533"/>
      <c r="Y526" s="533"/>
      <c r="Z526" s="533"/>
      <c r="AA526" s="533"/>
      <c r="AB526" s="533"/>
      <c r="AC526" s="533"/>
    </row>
    <row r="527" spans="1:29" ht="15.75" customHeight="1">
      <c r="A527" s="533"/>
      <c r="B527" s="533"/>
      <c r="C527" s="533"/>
      <c r="D527" s="533"/>
      <c r="E527" s="533"/>
      <c r="F527" s="533"/>
      <c r="G527" s="533"/>
      <c r="H527" s="533"/>
      <c r="I527" s="533"/>
      <c r="J527" s="533"/>
      <c r="K527" s="533"/>
      <c r="L527" s="533"/>
      <c r="M527" s="533"/>
      <c r="N527" s="533"/>
      <c r="O527" s="533"/>
      <c r="P527" s="533"/>
      <c r="Q527" s="533"/>
      <c r="R527" s="533"/>
      <c r="S527" s="533"/>
      <c r="T527" s="533"/>
      <c r="U527" s="533"/>
      <c r="V527" s="533"/>
      <c r="W527" s="533"/>
      <c r="X527" s="533"/>
      <c r="Y527" s="533"/>
      <c r="Z527" s="533"/>
      <c r="AA527" s="533"/>
      <c r="AB527" s="533"/>
      <c r="AC527" s="533"/>
    </row>
    <row r="528" spans="1:29" ht="15.75" customHeight="1">
      <c r="A528" s="533"/>
      <c r="B528" s="533"/>
      <c r="C528" s="533"/>
      <c r="D528" s="533"/>
      <c r="E528" s="533"/>
      <c r="F528" s="533"/>
      <c r="G528" s="533"/>
      <c r="H528" s="533"/>
      <c r="I528" s="533"/>
      <c r="J528" s="533"/>
      <c r="K528" s="533"/>
      <c r="L528" s="533"/>
      <c r="M528" s="533"/>
      <c r="N528" s="533"/>
      <c r="O528" s="533"/>
      <c r="P528" s="533"/>
      <c r="Q528" s="533"/>
      <c r="R528" s="533"/>
      <c r="S528" s="533"/>
      <c r="T528" s="533"/>
      <c r="U528" s="533"/>
      <c r="V528" s="533"/>
      <c r="W528" s="533"/>
      <c r="X528" s="533"/>
      <c r="Y528" s="533"/>
      <c r="Z528" s="533"/>
      <c r="AA528" s="533"/>
      <c r="AB528" s="533"/>
      <c r="AC528" s="533"/>
    </row>
    <row r="529" spans="1:29" ht="15.75" customHeight="1">
      <c r="A529" s="533"/>
      <c r="B529" s="533"/>
      <c r="C529" s="533"/>
      <c r="D529" s="533"/>
      <c r="E529" s="533"/>
      <c r="F529" s="533"/>
      <c r="G529" s="533"/>
      <c r="H529" s="533"/>
      <c r="I529" s="533"/>
      <c r="J529" s="533"/>
      <c r="K529" s="533"/>
      <c r="L529" s="533"/>
      <c r="M529" s="533"/>
      <c r="N529" s="533"/>
      <c r="O529" s="533"/>
      <c r="P529" s="533"/>
      <c r="Q529" s="533"/>
      <c r="R529" s="533"/>
      <c r="S529" s="533"/>
      <c r="T529" s="533"/>
      <c r="U529" s="533"/>
      <c r="V529" s="533"/>
      <c r="W529" s="533"/>
      <c r="X529" s="533"/>
      <c r="Y529" s="533"/>
      <c r="Z529" s="533"/>
      <c r="AA529" s="533"/>
      <c r="AB529" s="533"/>
      <c r="AC529" s="533"/>
    </row>
    <row r="530" spans="1:29" ht="15.75" customHeight="1">
      <c r="A530" s="533"/>
      <c r="B530" s="533"/>
      <c r="C530" s="533"/>
      <c r="D530" s="533"/>
      <c r="E530" s="533"/>
      <c r="F530" s="533"/>
      <c r="G530" s="533"/>
      <c r="H530" s="533"/>
      <c r="I530" s="533"/>
      <c r="J530" s="533"/>
      <c r="K530" s="533"/>
      <c r="L530" s="533"/>
      <c r="M530" s="533"/>
      <c r="N530" s="533"/>
      <c r="O530" s="533"/>
      <c r="P530" s="533"/>
      <c r="Q530" s="533"/>
      <c r="R530" s="533"/>
      <c r="S530" s="533"/>
      <c r="T530" s="533"/>
      <c r="U530" s="533"/>
      <c r="V530" s="533"/>
      <c r="W530" s="533"/>
      <c r="X530" s="533"/>
      <c r="Y530" s="533"/>
      <c r="Z530" s="533"/>
      <c r="AA530" s="533"/>
      <c r="AB530" s="533"/>
      <c r="AC530" s="533"/>
    </row>
    <row r="531" spans="1:29" ht="15.75" customHeight="1">
      <c r="A531" s="533"/>
      <c r="B531" s="533"/>
      <c r="C531" s="533"/>
      <c r="D531" s="533"/>
      <c r="E531" s="533"/>
      <c r="F531" s="533"/>
      <c r="G531" s="533"/>
      <c r="H531" s="533"/>
      <c r="I531" s="533"/>
      <c r="J531" s="533"/>
      <c r="K531" s="533"/>
      <c r="L531" s="533"/>
      <c r="M531" s="533"/>
      <c r="N531" s="533"/>
      <c r="O531" s="533"/>
      <c r="P531" s="533"/>
      <c r="Q531" s="533"/>
      <c r="R531" s="533"/>
      <c r="S531" s="533"/>
      <c r="T531" s="533"/>
      <c r="U531" s="533"/>
      <c r="V531" s="533"/>
      <c r="W531" s="533"/>
      <c r="X531" s="533"/>
      <c r="Y531" s="533"/>
      <c r="Z531" s="533"/>
      <c r="AA531" s="533"/>
      <c r="AB531" s="533"/>
      <c r="AC531" s="533"/>
    </row>
    <row r="532" spans="1:29" ht="15.75" customHeight="1">
      <c r="A532" s="533"/>
      <c r="B532" s="533"/>
      <c r="C532" s="533"/>
      <c r="D532" s="533"/>
      <c r="E532" s="533"/>
      <c r="F532" s="533"/>
      <c r="G532" s="533"/>
      <c r="H532" s="533"/>
      <c r="I532" s="533"/>
      <c r="J532" s="533"/>
      <c r="K532" s="533"/>
      <c r="L532" s="533"/>
      <c r="M532" s="533"/>
      <c r="N532" s="533"/>
      <c r="O532" s="533"/>
      <c r="P532" s="533"/>
      <c r="Q532" s="533"/>
      <c r="R532" s="533"/>
      <c r="S532" s="533"/>
      <c r="T532" s="533"/>
      <c r="U532" s="533"/>
      <c r="V532" s="533"/>
      <c r="W532" s="533"/>
      <c r="X532" s="533"/>
      <c r="Y532" s="533"/>
      <c r="Z532" s="533"/>
      <c r="AA532" s="533"/>
      <c r="AB532" s="533"/>
      <c r="AC532" s="533"/>
    </row>
    <row r="533" spans="1:29" ht="15.75" customHeight="1">
      <c r="A533" s="533"/>
      <c r="B533" s="533"/>
      <c r="C533" s="533"/>
      <c r="D533" s="533"/>
      <c r="E533" s="533"/>
      <c r="F533" s="533"/>
      <c r="G533" s="533"/>
      <c r="H533" s="533"/>
      <c r="I533" s="533"/>
      <c r="J533" s="533"/>
      <c r="K533" s="533"/>
      <c r="L533" s="533"/>
      <c r="M533" s="533"/>
      <c r="N533" s="533"/>
      <c r="O533" s="533"/>
      <c r="P533" s="533"/>
      <c r="Q533" s="533"/>
      <c r="R533" s="533"/>
      <c r="S533" s="533"/>
      <c r="T533" s="533"/>
      <c r="U533" s="533"/>
      <c r="V533" s="533"/>
      <c r="W533" s="533"/>
      <c r="X533" s="533"/>
      <c r="Y533" s="533"/>
      <c r="Z533" s="533"/>
      <c r="AA533" s="533"/>
      <c r="AB533" s="533"/>
      <c r="AC533" s="533"/>
    </row>
    <row r="534" spans="1:29" ht="15.75" customHeight="1">
      <c r="A534" s="533"/>
      <c r="B534" s="533"/>
      <c r="C534" s="533"/>
      <c r="D534" s="533"/>
      <c r="E534" s="533"/>
      <c r="F534" s="533"/>
      <c r="G534" s="533"/>
      <c r="H534" s="533"/>
      <c r="I534" s="533"/>
      <c r="J534" s="533"/>
      <c r="K534" s="533"/>
      <c r="L534" s="533"/>
      <c r="M534" s="533"/>
      <c r="N534" s="533"/>
      <c r="O534" s="533"/>
      <c r="P534" s="533"/>
      <c r="Q534" s="533"/>
      <c r="R534" s="533"/>
      <c r="S534" s="533"/>
      <c r="T534" s="533"/>
      <c r="U534" s="533"/>
      <c r="V534" s="533"/>
      <c r="W534" s="533"/>
      <c r="X534" s="533"/>
      <c r="Y534" s="533"/>
      <c r="Z534" s="533"/>
      <c r="AA534" s="533"/>
      <c r="AB534" s="533"/>
      <c r="AC534" s="533"/>
    </row>
    <row r="535" spans="1:29" ht="15.75" customHeight="1">
      <c r="A535" s="533"/>
      <c r="B535" s="533"/>
      <c r="C535" s="533"/>
      <c r="D535" s="533"/>
      <c r="E535" s="533"/>
      <c r="F535" s="533"/>
      <c r="G535" s="533"/>
      <c r="H535" s="533"/>
      <c r="I535" s="533"/>
      <c r="J535" s="533"/>
      <c r="K535" s="533"/>
      <c r="L535" s="533"/>
      <c r="M535" s="533"/>
      <c r="N535" s="533"/>
      <c r="O535" s="533"/>
      <c r="P535" s="533"/>
      <c r="Q535" s="533"/>
      <c r="R535" s="533"/>
      <c r="S535" s="533"/>
      <c r="T535" s="533"/>
      <c r="U535" s="533"/>
      <c r="V535" s="533"/>
      <c r="W535" s="533"/>
      <c r="X535" s="533"/>
      <c r="Y535" s="533"/>
      <c r="Z535" s="533"/>
      <c r="AA535" s="533"/>
      <c r="AB535" s="533"/>
      <c r="AC535" s="533"/>
    </row>
    <row r="536" spans="1:29" ht="15.75" customHeight="1">
      <c r="A536" s="533"/>
      <c r="B536" s="533"/>
      <c r="C536" s="533"/>
      <c r="D536" s="533"/>
      <c r="E536" s="533"/>
      <c r="F536" s="533"/>
      <c r="G536" s="533"/>
      <c r="H536" s="533"/>
      <c r="I536" s="533"/>
      <c r="J536" s="533"/>
      <c r="K536" s="533"/>
      <c r="L536" s="533"/>
      <c r="M536" s="533"/>
      <c r="N536" s="533"/>
      <c r="O536" s="533"/>
      <c r="P536" s="533"/>
      <c r="Q536" s="533"/>
      <c r="R536" s="533"/>
      <c r="S536" s="533"/>
      <c r="T536" s="533"/>
      <c r="U536" s="533"/>
      <c r="V536" s="533"/>
      <c r="W536" s="533"/>
      <c r="X536" s="533"/>
      <c r="Y536" s="533"/>
      <c r="Z536" s="533"/>
      <c r="AA536" s="533"/>
      <c r="AB536" s="533"/>
      <c r="AC536" s="533"/>
    </row>
    <row r="537" spans="1:29" ht="15.75" customHeight="1">
      <c r="A537" s="533"/>
      <c r="B537" s="533"/>
      <c r="C537" s="533"/>
      <c r="D537" s="533"/>
      <c r="E537" s="533"/>
      <c r="F537" s="533"/>
      <c r="G537" s="533"/>
      <c r="H537" s="533"/>
      <c r="I537" s="533"/>
      <c r="J537" s="533"/>
      <c r="K537" s="533"/>
      <c r="L537" s="533"/>
      <c r="M537" s="533"/>
      <c r="N537" s="533"/>
      <c r="O537" s="533"/>
      <c r="P537" s="533"/>
      <c r="Q537" s="533"/>
      <c r="R537" s="533"/>
      <c r="S537" s="533"/>
      <c r="T537" s="533"/>
      <c r="U537" s="533"/>
      <c r="V537" s="533"/>
      <c r="W537" s="533"/>
      <c r="X537" s="533"/>
      <c r="Y537" s="533"/>
      <c r="Z537" s="533"/>
      <c r="AA537" s="533"/>
      <c r="AB537" s="533"/>
      <c r="AC537" s="533"/>
    </row>
    <row r="538" spans="1:29" ht="15.75" customHeight="1">
      <c r="A538" s="533"/>
      <c r="B538" s="533"/>
      <c r="C538" s="533"/>
      <c r="D538" s="533"/>
      <c r="E538" s="533"/>
      <c r="F538" s="533"/>
      <c r="G538" s="533"/>
      <c r="H538" s="533"/>
      <c r="I538" s="533"/>
      <c r="J538" s="533"/>
      <c r="K538" s="533"/>
      <c r="L538" s="533"/>
      <c r="M538" s="533"/>
      <c r="N538" s="533"/>
      <c r="O538" s="533"/>
      <c r="P538" s="533"/>
      <c r="Q538" s="533"/>
      <c r="R538" s="533"/>
      <c r="S538" s="533"/>
      <c r="T538" s="533"/>
      <c r="U538" s="533"/>
      <c r="V538" s="533"/>
      <c r="W538" s="533"/>
      <c r="X538" s="533"/>
      <c r="Y538" s="533"/>
      <c r="Z538" s="533"/>
      <c r="AA538" s="533"/>
      <c r="AB538" s="533"/>
      <c r="AC538" s="533"/>
    </row>
    <row r="539" spans="1:29" ht="15.75" customHeight="1">
      <c r="A539" s="533"/>
      <c r="B539" s="533"/>
      <c r="C539" s="533"/>
      <c r="D539" s="533"/>
      <c r="E539" s="533"/>
      <c r="F539" s="533"/>
      <c r="G539" s="533"/>
      <c r="H539" s="533"/>
      <c r="I539" s="533"/>
      <c r="J539" s="533"/>
      <c r="K539" s="533"/>
      <c r="L539" s="533"/>
      <c r="M539" s="533"/>
      <c r="N539" s="533"/>
      <c r="O539" s="533"/>
      <c r="P539" s="533"/>
      <c r="Q539" s="533"/>
      <c r="R539" s="533"/>
      <c r="S539" s="533"/>
      <c r="T539" s="533"/>
      <c r="U539" s="533"/>
      <c r="V539" s="533"/>
      <c r="W539" s="533"/>
      <c r="X539" s="533"/>
      <c r="Y539" s="533"/>
      <c r="Z539" s="533"/>
      <c r="AA539" s="533"/>
      <c r="AB539" s="533"/>
      <c r="AC539" s="533"/>
    </row>
    <row r="540" spans="1:29" ht="15.75" customHeight="1">
      <c r="A540" s="533"/>
      <c r="B540" s="533"/>
      <c r="C540" s="533"/>
      <c r="D540" s="533"/>
      <c r="E540" s="533"/>
      <c r="F540" s="533"/>
      <c r="G540" s="533"/>
      <c r="H540" s="533"/>
      <c r="I540" s="533"/>
      <c r="J540" s="533"/>
      <c r="K540" s="533"/>
      <c r="L540" s="533"/>
      <c r="M540" s="533"/>
      <c r="N540" s="533"/>
      <c r="O540" s="533"/>
      <c r="P540" s="533"/>
      <c r="Q540" s="533"/>
      <c r="R540" s="533"/>
      <c r="S540" s="533"/>
      <c r="T540" s="533"/>
      <c r="U540" s="533"/>
      <c r="V540" s="533"/>
      <c r="W540" s="533"/>
      <c r="X540" s="533"/>
      <c r="Y540" s="533"/>
      <c r="Z540" s="533"/>
      <c r="AA540" s="533"/>
      <c r="AB540" s="533"/>
      <c r="AC540" s="533"/>
    </row>
    <row r="541" spans="1:29" ht="15.75" customHeight="1">
      <c r="A541" s="533"/>
      <c r="B541" s="533"/>
      <c r="C541" s="533"/>
      <c r="D541" s="533"/>
      <c r="E541" s="533"/>
      <c r="F541" s="533"/>
      <c r="G541" s="533"/>
      <c r="H541" s="533"/>
      <c r="I541" s="533"/>
      <c r="J541" s="533"/>
      <c r="K541" s="533"/>
      <c r="L541" s="533"/>
      <c r="M541" s="533"/>
      <c r="N541" s="533"/>
      <c r="O541" s="533"/>
      <c r="P541" s="533"/>
      <c r="Q541" s="533"/>
      <c r="R541" s="533"/>
      <c r="S541" s="533"/>
      <c r="T541" s="533"/>
      <c r="U541" s="533"/>
      <c r="V541" s="533"/>
      <c r="W541" s="533"/>
      <c r="X541" s="533"/>
      <c r="Y541" s="533"/>
      <c r="Z541" s="533"/>
      <c r="AA541" s="533"/>
      <c r="AB541" s="533"/>
      <c r="AC541" s="533"/>
    </row>
    <row r="542" spans="1:29" ht="15.75" customHeight="1">
      <c r="A542" s="533"/>
      <c r="B542" s="533"/>
      <c r="C542" s="533"/>
      <c r="D542" s="533"/>
      <c r="E542" s="533"/>
      <c r="F542" s="533"/>
      <c r="G542" s="533"/>
      <c r="H542" s="533"/>
      <c r="I542" s="533"/>
      <c r="J542" s="533"/>
      <c r="K542" s="533"/>
      <c r="L542" s="533"/>
      <c r="M542" s="533"/>
      <c r="N542" s="533"/>
      <c r="O542" s="533"/>
      <c r="P542" s="533"/>
      <c r="Q542" s="533"/>
      <c r="R542" s="533"/>
      <c r="S542" s="533"/>
      <c r="T542" s="533"/>
      <c r="U542" s="533"/>
      <c r="V542" s="533"/>
      <c r="W542" s="533"/>
      <c r="X542" s="533"/>
      <c r="Y542" s="533"/>
      <c r="Z542" s="533"/>
      <c r="AA542" s="533"/>
      <c r="AB542" s="533"/>
      <c r="AC542" s="533"/>
    </row>
    <row r="543" spans="1:29" ht="15.75" customHeight="1">
      <c r="A543" s="533"/>
      <c r="B543" s="533"/>
      <c r="C543" s="533"/>
      <c r="D543" s="533"/>
      <c r="E543" s="533"/>
      <c r="F543" s="533"/>
      <c r="G543" s="533"/>
      <c r="H543" s="533"/>
      <c r="I543" s="533"/>
      <c r="J543" s="533"/>
      <c r="K543" s="533"/>
      <c r="L543" s="533"/>
      <c r="M543" s="533"/>
      <c r="N543" s="533"/>
      <c r="O543" s="533"/>
      <c r="P543" s="533"/>
      <c r="Q543" s="533"/>
      <c r="R543" s="533"/>
      <c r="S543" s="533"/>
      <c r="T543" s="533"/>
      <c r="U543" s="533"/>
      <c r="V543" s="533"/>
      <c r="W543" s="533"/>
      <c r="X543" s="533"/>
      <c r="Y543" s="533"/>
      <c r="Z543" s="533"/>
      <c r="AA543" s="533"/>
      <c r="AB543" s="533"/>
      <c r="AC543" s="533"/>
    </row>
    <row r="544" spans="1:29" ht="15.75" customHeight="1">
      <c r="A544" s="533"/>
      <c r="B544" s="533"/>
      <c r="C544" s="533"/>
      <c r="D544" s="533"/>
      <c r="E544" s="533"/>
      <c r="F544" s="533"/>
      <c r="G544" s="533"/>
      <c r="H544" s="533"/>
      <c r="I544" s="533"/>
      <c r="J544" s="533"/>
      <c r="K544" s="533"/>
      <c r="L544" s="533"/>
      <c r="M544" s="533"/>
      <c r="N544" s="533"/>
      <c r="O544" s="533"/>
      <c r="P544" s="533"/>
      <c r="Q544" s="533"/>
      <c r="R544" s="533"/>
      <c r="S544" s="533"/>
      <c r="T544" s="533"/>
      <c r="U544" s="533"/>
      <c r="V544" s="533"/>
      <c r="W544" s="533"/>
      <c r="X544" s="533"/>
      <c r="Y544" s="533"/>
      <c r="Z544" s="533"/>
      <c r="AA544" s="533"/>
      <c r="AB544" s="533"/>
      <c r="AC544" s="533"/>
    </row>
    <row r="545" spans="1:29" ht="15.75" customHeight="1">
      <c r="A545" s="533"/>
      <c r="B545" s="533"/>
      <c r="C545" s="533"/>
      <c r="D545" s="533"/>
      <c r="E545" s="533"/>
      <c r="F545" s="533"/>
      <c r="G545" s="533"/>
      <c r="H545" s="533"/>
      <c r="I545" s="533"/>
      <c r="J545" s="533"/>
      <c r="K545" s="533"/>
      <c r="L545" s="533"/>
      <c r="M545" s="533"/>
      <c r="N545" s="533"/>
      <c r="O545" s="533"/>
      <c r="P545" s="533"/>
      <c r="Q545" s="533"/>
      <c r="R545" s="533"/>
      <c r="S545" s="533"/>
      <c r="T545" s="533"/>
      <c r="U545" s="533"/>
      <c r="V545" s="533"/>
      <c r="W545" s="533"/>
      <c r="X545" s="533"/>
      <c r="Y545" s="533"/>
      <c r="Z545" s="533"/>
      <c r="AA545" s="533"/>
      <c r="AB545" s="533"/>
      <c r="AC545" s="533"/>
    </row>
    <row r="546" spans="1:29" ht="15.75" customHeight="1">
      <c r="A546" s="533"/>
      <c r="B546" s="533"/>
      <c r="C546" s="533"/>
      <c r="D546" s="533"/>
      <c r="E546" s="533"/>
      <c r="F546" s="533"/>
      <c r="G546" s="533"/>
      <c r="H546" s="533"/>
      <c r="I546" s="533"/>
      <c r="J546" s="533"/>
      <c r="K546" s="533"/>
      <c r="L546" s="533"/>
      <c r="M546" s="533"/>
      <c r="N546" s="533"/>
      <c r="O546" s="533"/>
      <c r="P546" s="533"/>
      <c r="Q546" s="533"/>
      <c r="R546" s="533"/>
      <c r="S546" s="533"/>
      <c r="T546" s="533"/>
      <c r="U546" s="533"/>
      <c r="V546" s="533"/>
      <c r="W546" s="533"/>
      <c r="X546" s="533"/>
      <c r="Y546" s="533"/>
      <c r="Z546" s="533"/>
      <c r="AA546" s="533"/>
      <c r="AB546" s="533"/>
      <c r="AC546" s="533"/>
    </row>
    <row r="547" spans="1:29" ht="15.75" customHeight="1">
      <c r="A547" s="533"/>
      <c r="B547" s="533"/>
      <c r="C547" s="533"/>
      <c r="D547" s="533"/>
      <c r="E547" s="533"/>
      <c r="F547" s="533"/>
      <c r="G547" s="533"/>
      <c r="H547" s="533"/>
      <c r="I547" s="533"/>
      <c r="J547" s="533"/>
      <c r="K547" s="533"/>
      <c r="L547" s="533"/>
      <c r="M547" s="533"/>
      <c r="N547" s="533"/>
      <c r="O547" s="533"/>
      <c r="P547" s="533"/>
      <c r="Q547" s="533"/>
      <c r="R547" s="533"/>
      <c r="S547" s="533"/>
      <c r="T547" s="533"/>
      <c r="U547" s="533"/>
      <c r="V547" s="533"/>
      <c r="W547" s="533"/>
      <c r="X547" s="533"/>
      <c r="Y547" s="533"/>
      <c r="Z547" s="533"/>
      <c r="AA547" s="533"/>
      <c r="AB547" s="533"/>
      <c r="AC547" s="533"/>
    </row>
    <row r="548" spans="1:29" ht="15.75" customHeight="1">
      <c r="A548" s="533"/>
      <c r="B548" s="533"/>
      <c r="C548" s="533"/>
      <c r="D548" s="533"/>
      <c r="E548" s="533"/>
      <c r="F548" s="533"/>
      <c r="G548" s="533"/>
      <c r="H548" s="533"/>
      <c r="I548" s="533"/>
      <c r="J548" s="533"/>
      <c r="K548" s="533"/>
      <c r="L548" s="533"/>
      <c r="M548" s="533"/>
      <c r="N548" s="533"/>
      <c r="O548" s="533"/>
      <c r="P548" s="533"/>
      <c r="Q548" s="533"/>
      <c r="R548" s="533"/>
      <c r="S548" s="533"/>
      <c r="T548" s="533"/>
      <c r="U548" s="533"/>
      <c r="V548" s="533"/>
      <c r="W548" s="533"/>
      <c r="X548" s="533"/>
      <c r="Y548" s="533"/>
      <c r="Z548" s="533"/>
      <c r="AA548" s="533"/>
      <c r="AB548" s="533"/>
      <c r="AC548" s="533"/>
    </row>
    <row r="549" spans="1:29" ht="15.75" customHeight="1">
      <c r="A549" s="533"/>
      <c r="B549" s="533"/>
      <c r="C549" s="533"/>
      <c r="D549" s="533"/>
      <c r="E549" s="533"/>
      <c r="F549" s="533"/>
      <c r="G549" s="533"/>
      <c r="H549" s="533"/>
      <c r="I549" s="533"/>
      <c r="J549" s="533"/>
      <c r="K549" s="533"/>
      <c r="L549" s="533"/>
      <c r="M549" s="533"/>
      <c r="N549" s="533"/>
      <c r="O549" s="533"/>
      <c r="P549" s="533"/>
      <c r="Q549" s="533"/>
      <c r="R549" s="533"/>
      <c r="S549" s="533"/>
      <c r="T549" s="533"/>
      <c r="U549" s="533"/>
      <c r="V549" s="533"/>
      <c r="W549" s="533"/>
      <c r="X549" s="533"/>
      <c r="Y549" s="533"/>
      <c r="Z549" s="533"/>
      <c r="AA549" s="533"/>
      <c r="AB549" s="533"/>
      <c r="AC549" s="533"/>
    </row>
    <row r="550" spans="1:29" ht="15.75" customHeight="1">
      <c r="A550" s="533"/>
      <c r="B550" s="533"/>
      <c r="C550" s="533"/>
      <c r="D550" s="533"/>
      <c r="E550" s="533"/>
      <c r="F550" s="533"/>
      <c r="G550" s="533"/>
      <c r="H550" s="533"/>
      <c r="I550" s="533"/>
      <c r="J550" s="533"/>
      <c r="K550" s="533"/>
      <c r="L550" s="533"/>
      <c r="M550" s="533"/>
      <c r="N550" s="533"/>
      <c r="O550" s="533"/>
      <c r="P550" s="533"/>
      <c r="Q550" s="533"/>
      <c r="R550" s="533"/>
      <c r="S550" s="533"/>
      <c r="T550" s="533"/>
      <c r="U550" s="533"/>
      <c r="V550" s="533"/>
      <c r="W550" s="533"/>
      <c r="X550" s="533"/>
      <c r="Y550" s="533"/>
      <c r="Z550" s="533"/>
      <c r="AA550" s="533"/>
      <c r="AB550" s="533"/>
      <c r="AC550" s="533"/>
    </row>
    <row r="551" spans="1:29" ht="15.75" customHeight="1">
      <c r="A551" s="533"/>
      <c r="B551" s="533"/>
      <c r="C551" s="533"/>
      <c r="D551" s="533"/>
      <c r="E551" s="533"/>
      <c r="F551" s="533"/>
      <c r="G551" s="533"/>
      <c r="H551" s="533"/>
      <c r="I551" s="533"/>
      <c r="J551" s="533"/>
      <c r="K551" s="533"/>
      <c r="L551" s="533"/>
      <c r="M551" s="533"/>
      <c r="N551" s="533"/>
      <c r="O551" s="533"/>
      <c r="P551" s="533"/>
      <c r="Q551" s="533"/>
      <c r="R551" s="533"/>
      <c r="S551" s="533"/>
      <c r="T551" s="533"/>
      <c r="U551" s="533"/>
      <c r="V551" s="533"/>
      <c r="W551" s="533"/>
      <c r="X551" s="533"/>
      <c r="Y551" s="533"/>
      <c r="Z551" s="533"/>
      <c r="AA551" s="533"/>
      <c r="AB551" s="533"/>
      <c r="AC551" s="533"/>
    </row>
    <row r="552" spans="1:29" ht="15.75" customHeight="1">
      <c r="A552" s="533"/>
      <c r="B552" s="533"/>
      <c r="C552" s="533"/>
      <c r="D552" s="533"/>
      <c r="E552" s="533"/>
      <c r="F552" s="533"/>
      <c r="G552" s="533"/>
      <c r="H552" s="533"/>
      <c r="I552" s="533"/>
      <c r="J552" s="533"/>
      <c r="K552" s="533"/>
      <c r="L552" s="533"/>
      <c r="M552" s="533"/>
      <c r="N552" s="533"/>
      <c r="O552" s="533"/>
      <c r="P552" s="533"/>
      <c r="Q552" s="533"/>
      <c r="R552" s="533"/>
      <c r="S552" s="533"/>
      <c r="T552" s="533"/>
      <c r="U552" s="533"/>
      <c r="V552" s="533"/>
      <c r="W552" s="533"/>
      <c r="X552" s="533"/>
      <c r="Y552" s="533"/>
      <c r="Z552" s="533"/>
      <c r="AA552" s="533"/>
      <c r="AB552" s="533"/>
      <c r="AC552" s="533"/>
    </row>
    <row r="553" spans="1:29" ht="15.75" customHeight="1">
      <c r="A553" s="533"/>
      <c r="B553" s="533"/>
      <c r="C553" s="533"/>
      <c r="D553" s="533"/>
      <c r="E553" s="533"/>
      <c r="F553" s="533"/>
      <c r="G553" s="533"/>
      <c r="H553" s="533"/>
      <c r="I553" s="533"/>
      <c r="J553" s="533"/>
      <c r="K553" s="533"/>
      <c r="L553" s="533"/>
      <c r="M553" s="533"/>
      <c r="N553" s="533"/>
      <c r="O553" s="533"/>
      <c r="P553" s="533"/>
      <c r="Q553" s="533"/>
      <c r="R553" s="533"/>
      <c r="S553" s="533"/>
      <c r="T553" s="533"/>
      <c r="U553" s="533"/>
      <c r="V553" s="533"/>
      <c r="W553" s="533"/>
      <c r="X553" s="533"/>
      <c r="Y553" s="533"/>
      <c r="Z553" s="533"/>
      <c r="AA553" s="533"/>
      <c r="AB553" s="533"/>
      <c r="AC553" s="533"/>
    </row>
    <row r="554" spans="1:29" ht="15.75" customHeight="1">
      <c r="A554" s="533"/>
      <c r="B554" s="533"/>
      <c r="C554" s="533"/>
      <c r="D554" s="533"/>
      <c r="E554" s="533"/>
      <c r="F554" s="533"/>
      <c r="G554" s="533"/>
      <c r="H554" s="533"/>
      <c r="I554" s="533"/>
      <c r="J554" s="533"/>
      <c r="K554" s="533"/>
      <c r="L554" s="533"/>
      <c r="M554" s="533"/>
      <c r="N554" s="533"/>
      <c r="O554" s="533"/>
      <c r="P554" s="533"/>
      <c r="Q554" s="533"/>
      <c r="R554" s="533"/>
      <c r="S554" s="533"/>
      <c r="T554" s="533"/>
      <c r="U554" s="533"/>
      <c r="V554" s="533"/>
      <c r="W554" s="533"/>
      <c r="X554" s="533"/>
      <c r="Y554" s="533"/>
      <c r="Z554" s="533"/>
      <c r="AA554" s="533"/>
      <c r="AB554" s="533"/>
      <c r="AC554" s="533"/>
    </row>
    <row r="555" spans="1:29" ht="15.75" customHeight="1">
      <c r="A555" s="533"/>
      <c r="B555" s="533"/>
      <c r="C555" s="533"/>
      <c r="D555" s="533"/>
      <c r="E555" s="533"/>
      <c r="F555" s="533"/>
      <c r="G555" s="533"/>
      <c r="H555" s="533"/>
      <c r="I555" s="533"/>
      <c r="J555" s="533"/>
      <c r="K555" s="533"/>
      <c r="L555" s="533"/>
      <c r="M555" s="533"/>
      <c r="N555" s="533"/>
      <c r="O555" s="533"/>
      <c r="P555" s="533"/>
      <c r="Q555" s="533"/>
      <c r="R555" s="533"/>
      <c r="S555" s="533"/>
      <c r="T555" s="533"/>
      <c r="U555" s="533"/>
      <c r="V555" s="533"/>
      <c r="W555" s="533"/>
      <c r="X555" s="533"/>
      <c r="Y555" s="533"/>
      <c r="Z555" s="533"/>
      <c r="AA555" s="533"/>
      <c r="AB555" s="533"/>
      <c r="AC555" s="533"/>
    </row>
    <row r="556" spans="1:29" ht="15.75" customHeight="1">
      <c r="A556" s="533"/>
      <c r="B556" s="533"/>
      <c r="C556" s="533"/>
      <c r="D556" s="533"/>
      <c r="E556" s="533"/>
      <c r="F556" s="533"/>
      <c r="G556" s="533"/>
      <c r="H556" s="533"/>
      <c r="I556" s="533"/>
      <c r="J556" s="533"/>
      <c r="K556" s="533"/>
      <c r="L556" s="533"/>
      <c r="M556" s="533"/>
      <c r="N556" s="533"/>
      <c r="O556" s="533"/>
      <c r="P556" s="533"/>
      <c r="Q556" s="533"/>
      <c r="R556" s="533"/>
      <c r="S556" s="533"/>
      <c r="T556" s="533"/>
      <c r="U556" s="533"/>
      <c r="V556" s="533"/>
      <c r="W556" s="533"/>
      <c r="X556" s="533"/>
      <c r="Y556" s="533"/>
      <c r="Z556" s="533"/>
      <c r="AA556" s="533"/>
      <c r="AB556" s="533"/>
      <c r="AC556" s="533"/>
    </row>
    <row r="557" spans="1:29" ht="15.75" customHeight="1">
      <c r="A557" s="533"/>
      <c r="B557" s="533"/>
      <c r="C557" s="533"/>
      <c r="D557" s="533"/>
      <c r="E557" s="533"/>
      <c r="F557" s="533"/>
      <c r="G557" s="533"/>
      <c r="H557" s="533"/>
      <c r="I557" s="533"/>
      <c r="J557" s="533"/>
      <c r="K557" s="533"/>
      <c r="L557" s="533"/>
      <c r="M557" s="533"/>
      <c r="N557" s="533"/>
      <c r="O557" s="533"/>
      <c r="P557" s="533"/>
      <c r="Q557" s="533"/>
      <c r="R557" s="533"/>
      <c r="S557" s="533"/>
      <c r="T557" s="533"/>
      <c r="U557" s="533"/>
      <c r="V557" s="533"/>
      <c r="W557" s="533"/>
      <c r="X557" s="533"/>
      <c r="Y557" s="533"/>
      <c r="Z557" s="533"/>
      <c r="AA557" s="533"/>
      <c r="AB557" s="533"/>
      <c r="AC557" s="533"/>
    </row>
    <row r="558" spans="1:29" ht="15.75" customHeight="1">
      <c r="A558" s="533"/>
      <c r="B558" s="533"/>
      <c r="C558" s="533"/>
      <c r="D558" s="533"/>
      <c r="E558" s="533"/>
      <c r="F558" s="533"/>
      <c r="G558" s="533"/>
      <c r="H558" s="533"/>
      <c r="I558" s="533"/>
      <c r="J558" s="533"/>
      <c r="K558" s="533"/>
      <c r="L558" s="533"/>
      <c r="M558" s="533"/>
      <c r="N558" s="533"/>
      <c r="O558" s="533"/>
      <c r="P558" s="533"/>
      <c r="Q558" s="533"/>
      <c r="R558" s="533"/>
      <c r="S558" s="533"/>
      <c r="T558" s="533"/>
      <c r="U558" s="533"/>
      <c r="V558" s="533"/>
      <c r="W558" s="533"/>
      <c r="X558" s="533"/>
      <c r="Y558" s="533"/>
      <c r="Z558" s="533"/>
      <c r="AA558" s="533"/>
      <c r="AB558" s="533"/>
      <c r="AC558" s="533"/>
    </row>
    <row r="559" spans="1:29" ht="15.75" customHeight="1">
      <c r="A559" s="533"/>
      <c r="B559" s="533"/>
      <c r="C559" s="533"/>
      <c r="D559" s="533"/>
      <c r="E559" s="533"/>
      <c r="F559" s="533"/>
      <c r="G559" s="533"/>
      <c r="H559" s="533"/>
      <c r="I559" s="533"/>
      <c r="J559" s="533"/>
      <c r="K559" s="533"/>
      <c r="L559" s="533"/>
      <c r="M559" s="533"/>
      <c r="N559" s="533"/>
      <c r="O559" s="533"/>
      <c r="P559" s="533"/>
      <c r="Q559" s="533"/>
      <c r="R559" s="533"/>
      <c r="S559" s="533"/>
      <c r="T559" s="533"/>
      <c r="U559" s="533"/>
      <c r="V559" s="533"/>
      <c r="W559" s="533"/>
      <c r="X559" s="533"/>
      <c r="Y559" s="533"/>
      <c r="Z559" s="533"/>
      <c r="AA559" s="533"/>
      <c r="AB559" s="533"/>
      <c r="AC559" s="533"/>
    </row>
    <row r="560" spans="1:29" ht="15.75" customHeight="1">
      <c r="A560" s="533"/>
      <c r="B560" s="533"/>
      <c r="C560" s="533"/>
      <c r="D560" s="533"/>
      <c r="E560" s="533"/>
      <c r="F560" s="533"/>
      <c r="G560" s="533"/>
      <c r="H560" s="533"/>
      <c r="I560" s="533"/>
      <c r="J560" s="533"/>
      <c r="K560" s="533"/>
      <c r="L560" s="533"/>
      <c r="M560" s="533"/>
      <c r="N560" s="533"/>
      <c r="O560" s="533"/>
      <c r="P560" s="533"/>
      <c r="Q560" s="533"/>
      <c r="R560" s="533"/>
      <c r="S560" s="533"/>
      <c r="T560" s="533"/>
      <c r="U560" s="533"/>
      <c r="V560" s="533"/>
      <c r="W560" s="533"/>
      <c r="X560" s="533"/>
      <c r="Y560" s="533"/>
      <c r="Z560" s="533"/>
      <c r="AA560" s="533"/>
      <c r="AB560" s="533"/>
      <c r="AC560" s="533"/>
    </row>
    <row r="561" spans="1:29" ht="15.75" customHeight="1">
      <c r="A561" s="533"/>
      <c r="B561" s="533"/>
      <c r="C561" s="533"/>
      <c r="D561" s="533"/>
      <c r="E561" s="533"/>
      <c r="F561" s="533"/>
      <c r="G561" s="533"/>
      <c r="H561" s="533"/>
      <c r="I561" s="533"/>
      <c r="J561" s="533"/>
      <c r="K561" s="533"/>
      <c r="L561" s="533"/>
      <c r="M561" s="533"/>
      <c r="N561" s="533"/>
      <c r="O561" s="533"/>
      <c r="P561" s="533"/>
      <c r="Q561" s="533"/>
      <c r="R561" s="533"/>
      <c r="S561" s="533"/>
      <c r="T561" s="533"/>
      <c r="U561" s="533"/>
      <c r="V561" s="533"/>
      <c r="W561" s="533"/>
      <c r="X561" s="533"/>
      <c r="Y561" s="533"/>
      <c r="Z561" s="533"/>
      <c r="AA561" s="533"/>
      <c r="AB561" s="533"/>
      <c r="AC561" s="533"/>
    </row>
    <row r="562" spans="1:29" ht="15.75" customHeight="1">
      <c r="A562" s="533"/>
      <c r="B562" s="533"/>
      <c r="C562" s="533"/>
      <c r="D562" s="533"/>
      <c r="E562" s="533"/>
      <c r="F562" s="533"/>
      <c r="G562" s="533"/>
      <c r="H562" s="533"/>
      <c r="I562" s="533"/>
      <c r="J562" s="533"/>
      <c r="K562" s="533"/>
      <c r="L562" s="533"/>
      <c r="M562" s="533"/>
      <c r="N562" s="533"/>
      <c r="O562" s="533"/>
      <c r="P562" s="533"/>
      <c r="Q562" s="533"/>
      <c r="R562" s="533"/>
      <c r="S562" s="533"/>
      <c r="T562" s="533"/>
      <c r="U562" s="533"/>
      <c r="V562" s="533"/>
      <c r="W562" s="533"/>
      <c r="X562" s="533"/>
      <c r="Y562" s="533"/>
      <c r="Z562" s="533"/>
      <c r="AA562" s="533"/>
      <c r="AB562" s="533"/>
      <c r="AC562" s="533"/>
    </row>
    <row r="563" spans="1:29" ht="15.75" customHeight="1">
      <c r="A563" s="533"/>
      <c r="B563" s="533"/>
      <c r="C563" s="533"/>
      <c r="D563" s="533"/>
      <c r="E563" s="533"/>
      <c r="F563" s="533"/>
      <c r="G563" s="533"/>
      <c r="H563" s="533"/>
      <c r="I563" s="533"/>
      <c r="J563" s="533"/>
      <c r="K563" s="533"/>
      <c r="L563" s="533"/>
      <c r="M563" s="533"/>
      <c r="N563" s="533"/>
      <c r="O563" s="533"/>
      <c r="P563" s="533"/>
      <c r="Q563" s="533"/>
      <c r="R563" s="533"/>
      <c r="S563" s="533"/>
      <c r="T563" s="533"/>
      <c r="U563" s="533"/>
      <c r="V563" s="533"/>
      <c r="W563" s="533"/>
      <c r="X563" s="533"/>
      <c r="Y563" s="533"/>
      <c r="Z563" s="533"/>
      <c r="AA563" s="533"/>
      <c r="AB563" s="533"/>
      <c r="AC563" s="533"/>
    </row>
    <row r="564" spans="1:29" ht="15.75" customHeight="1">
      <c r="A564" s="533"/>
      <c r="B564" s="533"/>
      <c r="C564" s="533"/>
      <c r="D564" s="533"/>
      <c r="E564" s="533"/>
      <c r="F564" s="533"/>
      <c r="G564" s="533"/>
      <c r="H564" s="533"/>
      <c r="I564" s="533"/>
      <c r="J564" s="533"/>
      <c r="K564" s="533"/>
      <c r="L564" s="533"/>
      <c r="M564" s="533"/>
      <c r="N564" s="533"/>
      <c r="O564" s="533"/>
      <c r="P564" s="533"/>
      <c r="Q564" s="533"/>
      <c r="R564" s="533"/>
      <c r="S564" s="533"/>
      <c r="T564" s="533"/>
      <c r="U564" s="533"/>
      <c r="V564" s="533"/>
      <c r="W564" s="533"/>
      <c r="X564" s="533"/>
      <c r="Y564" s="533"/>
      <c r="Z564" s="533"/>
      <c r="AA564" s="533"/>
      <c r="AB564" s="533"/>
      <c r="AC564" s="533"/>
    </row>
    <row r="565" spans="1:29" ht="15.75" customHeight="1">
      <c r="A565" s="533"/>
      <c r="B565" s="533"/>
      <c r="C565" s="533"/>
      <c r="D565" s="533"/>
      <c r="E565" s="533"/>
      <c r="F565" s="533"/>
      <c r="G565" s="533"/>
      <c r="H565" s="533"/>
      <c r="I565" s="533"/>
      <c r="J565" s="533"/>
      <c r="K565" s="533"/>
      <c r="L565" s="533"/>
      <c r="M565" s="533"/>
      <c r="N565" s="533"/>
      <c r="O565" s="533"/>
      <c r="P565" s="533"/>
      <c r="Q565" s="533"/>
      <c r="R565" s="533"/>
      <c r="S565" s="533"/>
      <c r="T565" s="533"/>
      <c r="U565" s="533"/>
      <c r="V565" s="533"/>
      <c r="W565" s="533"/>
      <c r="X565" s="533"/>
      <c r="Y565" s="533"/>
      <c r="Z565" s="533"/>
      <c r="AA565" s="533"/>
      <c r="AB565" s="533"/>
      <c r="AC565" s="533"/>
    </row>
    <row r="566" spans="1:29" ht="15.75" customHeight="1">
      <c r="A566" s="533"/>
      <c r="B566" s="533"/>
      <c r="C566" s="533"/>
      <c r="D566" s="533"/>
      <c r="E566" s="533"/>
      <c r="F566" s="533"/>
      <c r="G566" s="533"/>
      <c r="H566" s="533"/>
      <c r="I566" s="533"/>
      <c r="J566" s="533"/>
      <c r="K566" s="533"/>
      <c r="L566" s="533"/>
      <c r="M566" s="533"/>
      <c r="N566" s="533"/>
      <c r="O566" s="533"/>
      <c r="P566" s="533"/>
      <c r="Q566" s="533"/>
      <c r="R566" s="533"/>
      <c r="S566" s="533"/>
      <c r="T566" s="533"/>
      <c r="U566" s="533"/>
      <c r="V566" s="533"/>
      <c r="W566" s="533"/>
      <c r="X566" s="533"/>
      <c r="Y566" s="533"/>
      <c r="Z566" s="533"/>
      <c r="AA566" s="533"/>
      <c r="AB566" s="533"/>
      <c r="AC566" s="533"/>
    </row>
    <row r="567" spans="1:29" ht="15.75" customHeight="1">
      <c r="A567" s="533"/>
      <c r="B567" s="533"/>
      <c r="C567" s="533"/>
      <c r="D567" s="533"/>
      <c r="E567" s="533"/>
      <c r="F567" s="533"/>
      <c r="G567" s="533"/>
      <c r="H567" s="533"/>
      <c r="I567" s="533"/>
      <c r="J567" s="533"/>
      <c r="K567" s="533"/>
      <c r="L567" s="533"/>
      <c r="M567" s="533"/>
      <c r="N567" s="533"/>
      <c r="O567" s="533"/>
      <c r="P567" s="533"/>
      <c r="Q567" s="533"/>
      <c r="R567" s="533"/>
      <c r="S567" s="533"/>
      <c r="T567" s="533"/>
      <c r="U567" s="533"/>
      <c r="V567" s="533"/>
      <c r="W567" s="533"/>
      <c r="X567" s="533"/>
      <c r="Y567" s="533"/>
      <c r="Z567" s="533"/>
      <c r="AA567" s="533"/>
      <c r="AB567" s="533"/>
      <c r="AC567" s="533"/>
    </row>
    <row r="568" spans="1:29" ht="15.75" customHeight="1">
      <c r="A568" s="533"/>
      <c r="B568" s="533"/>
      <c r="C568" s="533"/>
      <c r="D568" s="533"/>
      <c r="E568" s="533"/>
      <c r="F568" s="533"/>
      <c r="G568" s="533"/>
      <c r="H568" s="533"/>
      <c r="I568" s="533"/>
      <c r="J568" s="533"/>
      <c r="K568" s="533"/>
      <c r="L568" s="533"/>
      <c r="M568" s="533"/>
      <c r="N568" s="533"/>
      <c r="O568" s="533"/>
      <c r="P568" s="533"/>
      <c r="Q568" s="533"/>
      <c r="R568" s="533"/>
      <c r="S568" s="533"/>
      <c r="T568" s="533"/>
      <c r="U568" s="533"/>
      <c r="V568" s="533"/>
      <c r="W568" s="533"/>
      <c r="X568" s="533"/>
      <c r="Y568" s="533"/>
      <c r="Z568" s="533"/>
      <c r="AA568" s="533"/>
      <c r="AB568" s="533"/>
      <c r="AC568" s="533"/>
    </row>
    <row r="569" spans="1:29" ht="15.75" customHeight="1">
      <c r="A569" s="533"/>
      <c r="B569" s="533"/>
      <c r="C569" s="533"/>
      <c r="D569" s="533"/>
      <c r="E569" s="533"/>
      <c r="F569" s="533"/>
      <c r="G569" s="533"/>
      <c r="H569" s="533"/>
      <c r="I569" s="533"/>
      <c r="J569" s="533"/>
      <c r="K569" s="533"/>
      <c r="L569" s="533"/>
      <c r="M569" s="533"/>
      <c r="N569" s="533"/>
      <c r="O569" s="533"/>
      <c r="P569" s="533"/>
      <c r="Q569" s="533"/>
      <c r="R569" s="533"/>
      <c r="S569" s="533"/>
      <c r="T569" s="533"/>
      <c r="U569" s="533"/>
      <c r="V569" s="533"/>
      <c r="W569" s="533"/>
      <c r="X569" s="533"/>
      <c r="Y569" s="533"/>
      <c r="Z569" s="533"/>
      <c r="AA569" s="533"/>
      <c r="AB569" s="533"/>
      <c r="AC569" s="533"/>
    </row>
    <row r="570" spans="1:29" ht="15.75" customHeight="1">
      <c r="A570" s="533"/>
      <c r="B570" s="533"/>
      <c r="C570" s="533"/>
      <c r="D570" s="533"/>
      <c r="E570" s="533"/>
      <c r="F570" s="533"/>
      <c r="G570" s="533"/>
      <c r="H570" s="533"/>
      <c r="I570" s="533"/>
      <c r="J570" s="533"/>
      <c r="K570" s="533"/>
      <c r="L570" s="533"/>
      <c r="M570" s="533"/>
      <c r="N570" s="533"/>
      <c r="O570" s="533"/>
      <c r="P570" s="533"/>
      <c r="Q570" s="533"/>
      <c r="R570" s="533"/>
      <c r="S570" s="533"/>
      <c r="T570" s="533"/>
      <c r="U570" s="533"/>
      <c r="V570" s="533"/>
      <c r="W570" s="533"/>
      <c r="X570" s="533"/>
      <c r="Y570" s="533"/>
      <c r="Z570" s="533"/>
      <c r="AA570" s="533"/>
      <c r="AB570" s="533"/>
      <c r="AC570" s="533"/>
    </row>
    <row r="571" spans="1:29" ht="15.75" customHeight="1">
      <c r="A571" s="533"/>
      <c r="B571" s="533"/>
      <c r="C571" s="533"/>
      <c r="D571" s="533"/>
      <c r="E571" s="533"/>
      <c r="F571" s="533"/>
      <c r="G571" s="533"/>
      <c r="H571" s="533"/>
      <c r="I571" s="533"/>
      <c r="J571" s="533"/>
      <c r="K571" s="533"/>
      <c r="L571" s="533"/>
      <c r="M571" s="533"/>
      <c r="N571" s="533"/>
      <c r="O571" s="533"/>
      <c r="P571" s="533"/>
      <c r="Q571" s="533"/>
      <c r="R571" s="533"/>
      <c r="S571" s="533"/>
      <c r="T571" s="533"/>
      <c r="U571" s="533"/>
      <c r="V571" s="533"/>
      <c r="W571" s="533"/>
      <c r="X571" s="533"/>
      <c r="Y571" s="533"/>
      <c r="Z571" s="533"/>
      <c r="AA571" s="533"/>
      <c r="AB571" s="533"/>
      <c r="AC571" s="533"/>
    </row>
    <row r="572" spans="1:29" ht="15.75" customHeight="1">
      <c r="A572" s="533"/>
      <c r="B572" s="533"/>
      <c r="C572" s="533"/>
      <c r="D572" s="533"/>
      <c r="E572" s="533"/>
      <c r="F572" s="533"/>
      <c r="G572" s="533"/>
      <c r="H572" s="533"/>
      <c r="I572" s="533"/>
      <c r="J572" s="533"/>
      <c r="K572" s="533"/>
      <c r="L572" s="533"/>
      <c r="M572" s="533"/>
      <c r="N572" s="533"/>
      <c r="O572" s="533"/>
      <c r="P572" s="533"/>
      <c r="Q572" s="533"/>
      <c r="R572" s="533"/>
      <c r="S572" s="533"/>
      <c r="T572" s="533"/>
      <c r="U572" s="533"/>
      <c r="V572" s="533"/>
      <c r="W572" s="533"/>
      <c r="X572" s="533"/>
      <c r="Y572" s="533"/>
      <c r="Z572" s="533"/>
      <c r="AA572" s="533"/>
      <c r="AB572" s="533"/>
      <c r="AC572" s="533"/>
    </row>
    <row r="573" spans="1:29" ht="15.75" customHeight="1">
      <c r="A573" s="533"/>
      <c r="B573" s="533"/>
      <c r="C573" s="533"/>
      <c r="D573" s="533"/>
      <c r="E573" s="533"/>
      <c r="F573" s="533"/>
      <c r="G573" s="533"/>
      <c r="H573" s="533"/>
      <c r="I573" s="533"/>
      <c r="J573" s="533"/>
      <c r="K573" s="533"/>
      <c r="L573" s="533"/>
      <c r="M573" s="533"/>
      <c r="N573" s="533"/>
      <c r="O573" s="533"/>
      <c r="P573" s="533"/>
      <c r="Q573" s="533"/>
      <c r="R573" s="533"/>
      <c r="S573" s="533"/>
      <c r="T573" s="533"/>
      <c r="U573" s="533"/>
      <c r="V573" s="533"/>
      <c r="W573" s="533"/>
      <c r="X573" s="533"/>
      <c r="Y573" s="533"/>
      <c r="Z573" s="533"/>
      <c r="AA573" s="533"/>
      <c r="AB573" s="533"/>
      <c r="AC573" s="533"/>
    </row>
    <row r="574" spans="1:29" ht="15.75" customHeight="1">
      <c r="A574" s="533"/>
      <c r="B574" s="533"/>
      <c r="C574" s="533"/>
      <c r="D574" s="533"/>
      <c r="E574" s="533"/>
      <c r="F574" s="533"/>
      <c r="G574" s="533"/>
      <c r="H574" s="533"/>
      <c r="I574" s="533"/>
      <c r="J574" s="533"/>
      <c r="K574" s="533"/>
      <c r="L574" s="533"/>
      <c r="M574" s="533"/>
      <c r="N574" s="533"/>
      <c r="O574" s="533"/>
      <c r="P574" s="533"/>
      <c r="Q574" s="533"/>
      <c r="R574" s="533"/>
      <c r="S574" s="533"/>
      <c r="T574" s="533"/>
      <c r="U574" s="533"/>
      <c r="V574" s="533"/>
      <c r="W574" s="533"/>
      <c r="X574" s="533"/>
      <c r="Y574" s="533"/>
      <c r="Z574" s="533"/>
      <c r="AA574" s="533"/>
      <c r="AB574" s="533"/>
      <c r="AC574" s="533"/>
    </row>
    <row r="575" spans="1:29" ht="15.75" customHeight="1">
      <c r="A575" s="533"/>
      <c r="B575" s="533"/>
      <c r="C575" s="533"/>
      <c r="D575" s="533"/>
      <c r="E575" s="533"/>
      <c r="F575" s="533"/>
      <c r="G575" s="533"/>
      <c r="H575" s="533"/>
      <c r="I575" s="533"/>
      <c r="J575" s="533"/>
      <c r="K575" s="533"/>
      <c r="L575" s="533"/>
      <c r="M575" s="533"/>
      <c r="N575" s="533"/>
      <c r="O575" s="533"/>
      <c r="P575" s="533"/>
      <c r="Q575" s="533"/>
      <c r="R575" s="533"/>
      <c r="S575" s="533"/>
      <c r="T575" s="533"/>
      <c r="U575" s="533"/>
      <c r="V575" s="533"/>
      <c r="W575" s="533"/>
      <c r="X575" s="533"/>
      <c r="Y575" s="533"/>
      <c r="Z575" s="533"/>
      <c r="AA575" s="533"/>
      <c r="AB575" s="533"/>
      <c r="AC575" s="533"/>
    </row>
    <row r="576" spans="1:29" ht="15.75" customHeight="1">
      <c r="A576" s="533"/>
      <c r="B576" s="533"/>
      <c r="C576" s="533"/>
      <c r="D576" s="533"/>
      <c r="E576" s="533"/>
      <c r="F576" s="533"/>
      <c r="G576" s="533"/>
      <c r="H576" s="533"/>
      <c r="I576" s="533"/>
      <c r="J576" s="533"/>
      <c r="K576" s="533"/>
      <c r="L576" s="533"/>
      <c r="M576" s="533"/>
      <c r="N576" s="533"/>
      <c r="O576" s="533"/>
      <c r="P576" s="533"/>
      <c r="Q576" s="533"/>
      <c r="R576" s="533"/>
      <c r="S576" s="533"/>
      <c r="T576" s="533"/>
      <c r="U576" s="533"/>
      <c r="V576" s="533"/>
      <c r="W576" s="533"/>
      <c r="X576" s="533"/>
      <c r="Y576" s="533"/>
      <c r="Z576" s="533"/>
      <c r="AA576" s="533"/>
      <c r="AB576" s="533"/>
      <c r="AC576" s="533"/>
    </row>
    <row r="577" spans="1:29" ht="15.75" customHeight="1">
      <c r="A577" s="533"/>
      <c r="B577" s="533"/>
      <c r="C577" s="533"/>
      <c r="D577" s="533"/>
      <c r="E577" s="533"/>
      <c r="F577" s="533"/>
      <c r="G577" s="533"/>
      <c r="H577" s="533"/>
      <c r="I577" s="533"/>
      <c r="J577" s="533"/>
      <c r="K577" s="533"/>
      <c r="L577" s="533"/>
      <c r="M577" s="533"/>
      <c r="N577" s="533"/>
      <c r="O577" s="533"/>
      <c r="P577" s="533"/>
      <c r="Q577" s="533"/>
      <c r="R577" s="533"/>
      <c r="S577" s="533"/>
      <c r="T577" s="533"/>
      <c r="U577" s="533"/>
      <c r="V577" s="533"/>
      <c r="W577" s="533"/>
      <c r="X577" s="533"/>
      <c r="Y577" s="533"/>
      <c r="Z577" s="533"/>
      <c r="AA577" s="533"/>
      <c r="AB577" s="533"/>
      <c r="AC577" s="533"/>
    </row>
    <row r="578" spans="1:29" ht="15.75" customHeight="1">
      <c r="A578" s="533"/>
      <c r="B578" s="533"/>
      <c r="C578" s="533"/>
      <c r="D578" s="533"/>
      <c r="E578" s="533"/>
      <c r="F578" s="533"/>
      <c r="G578" s="533"/>
      <c r="H578" s="533"/>
      <c r="I578" s="533"/>
      <c r="J578" s="533"/>
      <c r="K578" s="533"/>
      <c r="L578" s="533"/>
      <c r="M578" s="533"/>
      <c r="N578" s="533"/>
      <c r="O578" s="533"/>
      <c r="P578" s="533"/>
      <c r="Q578" s="533"/>
      <c r="R578" s="533"/>
      <c r="S578" s="533"/>
      <c r="T578" s="533"/>
      <c r="U578" s="533"/>
      <c r="V578" s="533"/>
      <c r="W578" s="533"/>
      <c r="X578" s="533"/>
      <c r="Y578" s="533"/>
      <c r="Z578" s="533"/>
      <c r="AA578" s="533"/>
      <c r="AB578" s="533"/>
      <c r="AC578" s="533"/>
    </row>
    <row r="579" spans="1:29" ht="15.75" customHeight="1">
      <c r="A579" s="533"/>
      <c r="B579" s="533"/>
      <c r="C579" s="533"/>
      <c r="D579" s="533"/>
      <c r="E579" s="533"/>
      <c r="F579" s="533"/>
      <c r="G579" s="533"/>
      <c r="H579" s="533"/>
      <c r="I579" s="533"/>
      <c r="J579" s="533"/>
      <c r="K579" s="533"/>
      <c r="L579" s="533"/>
      <c r="M579" s="533"/>
      <c r="N579" s="533"/>
      <c r="O579" s="533"/>
      <c r="P579" s="533"/>
      <c r="Q579" s="533"/>
      <c r="R579" s="533"/>
      <c r="S579" s="533"/>
      <c r="T579" s="533"/>
      <c r="U579" s="533"/>
      <c r="V579" s="533"/>
      <c r="W579" s="533"/>
      <c r="X579" s="533"/>
      <c r="Y579" s="533"/>
      <c r="Z579" s="533"/>
      <c r="AA579" s="533"/>
      <c r="AB579" s="533"/>
      <c r="AC579" s="533"/>
    </row>
    <row r="580" spans="1:29" ht="15.75" customHeight="1">
      <c r="A580" s="533"/>
      <c r="B580" s="533"/>
      <c r="C580" s="533"/>
      <c r="D580" s="533"/>
      <c r="E580" s="533"/>
      <c r="F580" s="533"/>
      <c r="G580" s="533"/>
      <c r="H580" s="533"/>
      <c r="I580" s="533"/>
      <c r="J580" s="533"/>
      <c r="K580" s="533"/>
      <c r="L580" s="533"/>
      <c r="M580" s="533"/>
      <c r="N580" s="533"/>
      <c r="O580" s="533"/>
      <c r="P580" s="533"/>
      <c r="Q580" s="533"/>
      <c r="R580" s="533"/>
      <c r="S580" s="533"/>
      <c r="T580" s="533"/>
      <c r="U580" s="533"/>
      <c r="V580" s="533"/>
      <c r="W580" s="533"/>
      <c r="X580" s="533"/>
      <c r="Y580" s="533"/>
      <c r="Z580" s="533"/>
      <c r="AA580" s="533"/>
      <c r="AB580" s="533"/>
      <c r="AC580" s="533"/>
    </row>
    <row r="581" spans="1:29" ht="15.75" customHeight="1">
      <c r="A581" s="533"/>
      <c r="B581" s="533"/>
      <c r="C581" s="533"/>
      <c r="D581" s="533"/>
      <c r="E581" s="533"/>
      <c r="F581" s="533"/>
      <c r="G581" s="533"/>
      <c r="H581" s="533"/>
      <c r="I581" s="533"/>
      <c r="J581" s="533"/>
      <c r="K581" s="533"/>
      <c r="L581" s="533"/>
      <c r="M581" s="533"/>
      <c r="N581" s="533"/>
      <c r="O581" s="533"/>
      <c r="P581" s="533"/>
      <c r="Q581" s="533"/>
      <c r="R581" s="533"/>
      <c r="S581" s="533"/>
      <c r="T581" s="533"/>
      <c r="U581" s="533"/>
      <c r="V581" s="533"/>
      <c r="W581" s="533"/>
      <c r="X581" s="533"/>
      <c r="Y581" s="533"/>
      <c r="Z581" s="533"/>
      <c r="AA581" s="533"/>
      <c r="AB581" s="533"/>
      <c r="AC581" s="533"/>
    </row>
    <row r="582" spans="1:29" ht="15.75" customHeight="1">
      <c r="A582" s="533"/>
      <c r="B582" s="533"/>
      <c r="C582" s="533"/>
      <c r="D582" s="533"/>
      <c r="E582" s="533"/>
      <c r="F582" s="533"/>
      <c r="G582" s="533"/>
      <c r="H582" s="533"/>
      <c r="I582" s="533"/>
      <c r="J582" s="533"/>
      <c r="K582" s="533"/>
      <c r="L582" s="533"/>
      <c r="M582" s="533"/>
      <c r="N582" s="533"/>
      <c r="O582" s="533"/>
      <c r="P582" s="533"/>
      <c r="Q582" s="533"/>
      <c r="R582" s="533"/>
      <c r="S582" s="533"/>
      <c r="T582" s="533"/>
      <c r="U582" s="533"/>
      <c r="V582" s="533"/>
      <c r="W582" s="533"/>
      <c r="X582" s="533"/>
      <c r="Y582" s="533"/>
      <c r="Z582" s="533"/>
      <c r="AA582" s="533"/>
      <c r="AB582" s="533"/>
      <c r="AC582" s="533"/>
    </row>
    <row r="583" spans="1:29" ht="15.75" customHeight="1">
      <c r="A583" s="533"/>
      <c r="B583" s="533"/>
      <c r="C583" s="533"/>
      <c r="D583" s="533"/>
      <c r="E583" s="533"/>
      <c r="F583" s="533"/>
      <c r="G583" s="533"/>
      <c r="H583" s="533"/>
      <c r="I583" s="533"/>
      <c r="J583" s="533"/>
      <c r="K583" s="533"/>
      <c r="L583" s="533"/>
      <c r="M583" s="533"/>
      <c r="N583" s="533"/>
      <c r="O583" s="533"/>
      <c r="P583" s="533"/>
      <c r="Q583" s="533"/>
      <c r="R583" s="533"/>
      <c r="S583" s="533"/>
      <c r="T583" s="533"/>
      <c r="U583" s="533"/>
      <c r="V583" s="533"/>
      <c r="W583" s="533"/>
      <c r="X583" s="533"/>
      <c r="Y583" s="533"/>
      <c r="Z583" s="533"/>
      <c r="AA583" s="533"/>
      <c r="AB583" s="533"/>
      <c r="AC583" s="533"/>
    </row>
    <row r="584" spans="1:29" ht="15.75" customHeight="1">
      <c r="A584" s="533"/>
      <c r="B584" s="533"/>
      <c r="C584" s="533"/>
      <c r="D584" s="533"/>
      <c r="E584" s="533"/>
      <c r="F584" s="533"/>
      <c r="G584" s="533"/>
      <c r="H584" s="533"/>
      <c r="I584" s="533"/>
      <c r="J584" s="533"/>
      <c r="K584" s="533"/>
      <c r="L584" s="533"/>
      <c r="M584" s="533"/>
      <c r="N584" s="533"/>
      <c r="O584" s="533"/>
      <c r="P584" s="533"/>
      <c r="Q584" s="533"/>
      <c r="R584" s="533"/>
      <c r="S584" s="533"/>
      <c r="T584" s="533"/>
      <c r="U584" s="533"/>
      <c r="V584" s="533"/>
      <c r="W584" s="533"/>
      <c r="X584" s="533"/>
      <c r="Y584" s="533"/>
      <c r="Z584" s="533"/>
      <c r="AA584" s="533"/>
      <c r="AB584" s="533"/>
      <c r="AC584" s="533"/>
    </row>
    <row r="585" spans="1:29" ht="15.75" customHeight="1">
      <c r="A585" s="533"/>
      <c r="B585" s="533"/>
      <c r="C585" s="533"/>
      <c r="D585" s="533"/>
      <c r="E585" s="533"/>
      <c r="F585" s="533"/>
      <c r="G585" s="533"/>
      <c r="H585" s="533"/>
      <c r="I585" s="533"/>
      <c r="J585" s="533"/>
      <c r="K585" s="533"/>
      <c r="L585" s="533"/>
      <c r="M585" s="533"/>
      <c r="N585" s="533"/>
      <c r="O585" s="533"/>
      <c r="P585" s="533"/>
      <c r="Q585" s="533"/>
      <c r="R585" s="533"/>
      <c r="S585" s="533"/>
      <c r="T585" s="533"/>
      <c r="U585" s="533"/>
      <c r="V585" s="533"/>
      <c r="W585" s="533"/>
      <c r="X585" s="533"/>
      <c r="Y585" s="533"/>
      <c r="Z585" s="533"/>
      <c r="AA585" s="533"/>
      <c r="AB585" s="533"/>
      <c r="AC585" s="533"/>
    </row>
    <row r="586" spans="1:29" ht="15.75" customHeight="1">
      <c r="A586" s="533"/>
      <c r="B586" s="533"/>
      <c r="C586" s="533"/>
      <c r="D586" s="533"/>
      <c r="E586" s="533"/>
      <c r="F586" s="533"/>
      <c r="G586" s="533"/>
      <c r="H586" s="533"/>
      <c r="I586" s="533"/>
      <c r="J586" s="533"/>
      <c r="K586" s="533"/>
      <c r="L586" s="533"/>
      <c r="M586" s="533"/>
      <c r="N586" s="533"/>
      <c r="O586" s="533"/>
      <c r="P586" s="533"/>
      <c r="Q586" s="533"/>
      <c r="R586" s="533"/>
      <c r="S586" s="533"/>
      <c r="T586" s="533"/>
      <c r="U586" s="533"/>
      <c r="V586" s="533"/>
      <c r="W586" s="533"/>
      <c r="X586" s="533"/>
      <c r="Y586" s="533"/>
      <c r="Z586" s="533"/>
      <c r="AA586" s="533"/>
      <c r="AB586" s="533"/>
      <c r="AC586" s="533"/>
    </row>
    <row r="587" spans="1:29" ht="15.75" customHeight="1">
      <c r="A587" s="533"/>
      <c r="B587" s="533"/>
      <c r="C587" s="533"/>
      <c r="D587" s="533"/>
      <c r="E587" s="533"/>
      <c r="F587" s="533"/>
      <c r="G587" s="533"/>
      <c r="H587" s="533"/>
      <c r="I587" s="533"/>
      <c r="J587" s="533"/>
      <c r="K587" s="533"/>
      <c r="L587" s="533"/>
      <c r="M587" s="533"/>
      <c r="N587" s="533"/>
      <c r="O587" s="533"/>
      <c r="P587" s="533"/>
      <c r="Q587" s="533"/>
      <c r="R587" s="533"/>
      <c r="S587" s="533"/>
      <c r="T587" s="533"/>
      <c r="U587" s="533"/>
      <c r="V587" s="533"/>
      <c r="W587" s="533"/>
      <c r="X587" s="533"/>
      <c r="Y587" s="533"/>
      <c r="Z587" s="533"/>
      <c r="AA587" s="533"/>
      <c r="AB587" s="533"/>
      <c r="AC587" s="533"/>
    </row>
    <row r="588" spans="1:29" ht="15.75" customHeight="1">
      <c r="A588" s="533"/>
      <c r="B588" s="533"/>
      <c r="C588" s="533"/>
      <c r="D588" s="533"/>
      <c r="E588" s="533"/>
      <c r="F588" s="533"/>
      <c r="G588" s="533"/>
      <c r="H588" s="533"/>
      <c r="I588" s="533"/>
      <c r="J588" s="533"/>
      <c r="K588" s="533"/>
      <c r="L588" s="533"/>
      <c r="M588" s="533"/>
      <c r="N588" s="533"/>
      <c r="O588" s="533"/>
      <c r="P588" s="533"/>
      <c r="Q588" s="533"/>
      <c r="R588" s="533"/>
      <c r="S588" s="533"/>
      <c r="T588" s="533"/>
      <c r="U588" s="533"/>
      <c r="V588" s="533"/>
      <c r="W588" s="533"/>
      <c r="X588" s="533"/>
      <c r="Y588" s="533"/>
      <c r="Z588" s="533"/>
      <c r="AA588" s="533"/>
      <c r="AB588" s="533"/>
      <c r="AC588" s="533"/>
    </row>
    <row r="589" spans="1:29" ht="15.75" customHeight="1">
      <c r="A589" s="533"/>
      <c r="B589" s="533"/>
      <c r="C589" s="533"/>
      <c r="D589" s="533"/>
      <c r="E589" s="533"/>
      <c r="F589" s="533"/>
      <c r="G589" s="533"/>
      <c r="H589" s="533"/>
      <c r="I589" s="533"/>
      <c r="J589" s="533"/>
      <c r="K589" s="533"/>
      <c r="L589" s="533"/>
      <c r="M589" s="533"/>
      <c r="N589" s="533"/>
      <c r="O589" s="533"/>
      <c r="P589" s="533"/>
      <c r="Q589" s="533"/>
      <c r="R589" s="533"/>
      <c r="S589" s="533"/>
      <c r="T589" s="533"/>
      <c r="U589" s="533"/>
      <c r="V589" s="533"/>
      <c r="W589" s="533"/>
      <c r="X589" s="533"/>
      <c r="Y589" s="533"/>
      <c r="Z589" s="533"/>
      <c r="AA589" s="533"/>
      <c r="AB589" s="533"/>
      <c r="AC589" s="533"/>
    </row>
    <row r="590" spans="1:29" ht="15.75" customHeight="1">
      <c r="A590" s="533"/>
      <c r="B590" s="533"/>
      <c r="C590" s="533"/>
      <c r="D590" s="533"/>
      <c r="E590" s="533"/>
      <c r="F590" s="533"/>
      <c r="G590" s="533"/>
      <c r="H590" s="533"/>
      <c r="I590" s="533"/>
      <c r="J590" s="533"/>
      <c r="K590" s="533"/>
      <c r="L590" s="533"/>
      <c r="M590" s="533"/>
      <c r="N590" s="533"/>
      <c r="O590" s="533"/>
      <c r="P590" s="533"/>
      <c r="Q590" s="533"/>
      <c r="R590" s="533"/>
      <c r="S590" s="533"/>
      <c r="T590" s="533"/>
      <c r="U590" s="533"/>
      <c r="V590" s="533"/>
      <c r="W590" s="533"/>
      <c r="X590" s="533"/>
      <c r="Y590" s="533"/>
      <c r="Z590" s="533"/>
      <c r="AA590" s="533"/>
      <c r="AB590" s="533"/>
      <c r="AC590" s="533"/>
    </row>
    <row r="591" spans="1:29" ht="15.75" customHeight="1">
      <c r="A591" s="533"/>
      <c r="B591" s="533"/>
      <c r="C591" s="533"/>
      <c r="D591" s="533"/>
      <c r="E591" s="533"/>
      <c r="F591" s="533"/>
      <c r="G591" s="533"/>
      <c r="H591" s="533"/>
      <c r="I591" s="533"/>
      <c r="J591" s="533"/>
      <c r="K591" s="533"/>
      <c r="L591" s="533"/>
      <c r="M591" s="533"/>
      <c r="N591" s="533"/>
      <c r="O591" s="533"/>
      <c r="P591" s="533"/>
      <c r="Q591" s="533"/>
      <c r="R591" s="533"/>
      <c r="S591" s="533"/>
      <c r="T591" s="533"/>
      <c r="U591" s="533"/>
      <c r="V591" s="533"/>
      <c r="W591" s="533"/>
      <c r="X591" s="533"/>
      <c r="Y591" s="533"/>
      <c r="Z591" s="533"/>
      <c r="AA591" s="533"/>
      <c r="AB591" s="533"/>
      <c r="AC591" s="533"/>
    </row>
    <row r="592" spans="1:29" ht="15.75" customHeight="1">
      <c r="A592" s="533"/>
      <c r="B592" s="533"/>
      <c r="C592" s="533"/>
      <c r="D592" s="533"/>
      <c r="E592" s="533"/>
      <c r="F592" s="533"/>
      <c r="G592" s="533"/>
      <c r="H592" s="533"/>
      <c r="I592" s="533"/>
      <c r="J592" s="533"/>
      <c r="K592" s="533"/>
      <c r="L592" s="533"/>
      <c r="M592" s="533"/>
      <c r="N592" s="533"/>
      <c r="O592" s="533"/>
      <c r="P592" s="533"/>
      <c r="Q592" s="533"/>
      <c r="R592" s="533"/>
      <c r="S592" s="533"/>
      <c r="T592" s="533"/>
      <c r="U592" s="533"/>
      <c r="V592" s="533"/>
      <c r="W592" s="533"/>
      <c r="X592" s="533"/>
      <c r="Y592" s="533"/>
      <c r="Z592" s="533"/>
      <c r="AA592" s="533"/>
      <c r="AB592" s="533"/>
      <c r="AC592" s="533"/>
    </row>
    <row r="593" spans="1:29" ht="15.75" customHeight="1">
      <c r="A593" s="533"/>
      <c r="B593" s="533"/>
      <c r="C593" s="533"/>
      <c r="D593" s="533"/>
      <c r="E593" s="533"/>
      <c r="F593" s="533"/>
      <c r="G593" s="533"/>
      <c r="H593" s="533"/>
      <c r="I593" s="533"/>
      <c r="J593" s="533"/>
      <c r="K593" s="533"/>
      <c r="L593" s="533"/>
      <c r="M593" s="533"/>
      <c r="N593" s="533"/>
      <c r="O593" s="533"/>
      <c r="P593" s="533"/>
      <c r="Q593" s="533"/>
      <c r="R593" s="533"/>
      <c r="S593" s="533"/>
      <c r="T593" s="533"/>
      <c r="U593" s="533"/>
      <c r="V593" s="533"/>
      <c r="W593" s="533"/>
      <c r="X593" s="533"/>
      <c r="Y593" s="533"/>
      <c r="Z593" s="533"/>
      <c r="AA593" s="533"/>
      <c r="AB593" s="533"/>
      <c r="AC593" s="533"/>
    </row>
    <row r="594" spans="1:29" ht="15.75" customHeight="1">
      <c r="A594" s="533"/>
      <c r="B594" s="533"/>
      <c r="C594" s="533"/>
      <c r="D594" s="533"/>
      <c r="E594" s="533"/>
      <c r="F594" s="533"/>
      <c r="G594" s="533"/>
      <c r="H594" s="533"/>
      <c r="I594" s="533"/>
      <c r="J594" s="533"/>
      <c r="K594" s="533"/>
      <c r="L594" s="533"/>
      <c r="M594" s="533"/>
      <c r="N594" s="533"/>
      <c r="O594" s="533"/>
      <c r="P594" s="533"/>
      <c r="Q594" s="533"/>
      <c r="R594" s="533"/>
      <c r="S594" s="533"/>
      <c r="T594" s="533"/>
      <c r="U594" s="533"/>
      <c r="V594" s="533"/>
      <c r="W594" s="533"/>
      <c r="X594" s="533"/>
      <c r="Y594" s="533"/>
      <c r="Z594" s="533"/>
      <c r="AA594" s="533"/>
      <c r="AB594" s="533"/>
      <c r="AC594" s="533"/>
    </row>
    <row r="595" spans="1:29" ht="15.75" customHeight="1">
      <c r="A595" s="533"/>
      <c r="B595" s="533"/>
      <c r="C595" s="533"/>
      <c r="D595" s="533"/>
      <c r="E595" s="533"/>
      <c r="F595" s="533"/>
      <c r="G595" s="533"/>
      <c r="H595" s="533"/>
      <c r="I595" s="533"/>
      <c r="J595" s="533"/>
      <c r="K595" s="533"/>
      <c r="L595" s="533"/>
      <c r="M595" s="533"/>
      <c r="N595" s="533"/>
      <c r="O595" s="533"/>
      <c r="P595" s="533"/>
      <c r="Q595" s="533"/>
      <c r="R595" s="533"/>
      <c r="S595" s="533"/>
      <c r="T595" s="533"/>
      <c r="U595" s="533"/>
      <c r="V595" s="533"/>
      <c r="W595" s="533"/>
      <c r="X595" s="533"/>
      <c r="Y595" s="533"/>
      <c r="Z595" s="533"/>
      <c r="AA595" s="533"/>
      <c r="AB595" s="533"/>
      <c r="AC595" s="533"/>
    </row>
    <row r="596" spans="1:29" ht="15.75" customHeight="1">
      <c r="A596" s="533"/>
      <c r="B596" s="533"/>
      <c r="C596" s="533"/>
      <c r="D596" s="533"/>
      <c r="E596" s="533"/>
      <c r="F596" s="533"/>
      <c r="G596" s="533"/>
      <c r="H596" s="533"/>
      <c r="I596" s="533"/>
      <c r="J596" s="533"/>
      <c r="K596" s="533"/>
      <c r="L596" s="533"/>
      <c r="M596" s="533"/>
      <c r="N596" s="533"/>
      <c r="O596" s="533"/>
      <c r="P596" s="533"/>
      <c r="Q596" s="533"/>
      <c r="R596" s="533"/>
      <c r="S596" s="533"/>
      <c r="T596" s="533"/>
      <c r="U596" s="533"/>
      <c r="V596" s="533"/>
      <c r="W596" s="533"/>
      <c r="X596" s="533"/>
      <c r="Y596" s="533"/>
      <c r="Z596" s="533"/>
      <c r="AA596" s="533"/>
      <c r="AB596" s="533"/>
      <c r="AC596" s="533"/>
    </row>
    <row r="597" spans="1:29" ht="15.75" customHeight="1">
      <c r="A597" s="533"/>
      <c r="B597" s="533"/>
      <c r="C597" s="533"/>
      <c r="D597" s="533"/>
      <c r="E597" s="533"/>
      <c r="F597" s="533"/>
      <c r="G597" s="533"/>
      <c r="H597" s="533"/>
      <c r="I597" s="533"/>
      <c r="J597" s="533"/>
      <c r="K597" s="533"/>
      <c r="L597" s="533"/>
      <c r="M597" s="533"/>
      <c r="N597" s="533"/>
      <c r="O597" s="533"/>
      <c r="P597" s="533"/>
      <c r="Q597" s="533"/>
      <c r="R597" s="533"/>
      <c r="S597" s="533"/>
      <c r="T597" s="533"/>
      <c r="U597" s="533"/>
      <c r="V597" s="533"/>
      <c r="W597" s="533"/>
      <c r="X597" s="533"/>
      <c r="Y597" s="533"/>
      <c r="Z597" s="533"/>
      <c r="AA597" s="533"/>
      <c r="AB597" s="533"/>
      <c r="AC597" s="533"/>
    </row>
    <row r="598" spans="1:29" ht="15.75" customHeight="1">
      <c r="A598" s="533"/>
      <c r="B598" s="533"/>
      <c r="C598" s="533"/>
      <c r="D598" s="533"/>
      <c r="E598" s="533"/>
      <c r="F598" s="533"/>
      <c r="G598" s="533"/>
      <c r="H598" s="533"/>
      <c r="I598" s="533"/>
      <c r="J598" s="533"/>
      <c r="K598" s="533"/>
      <c r="L598" s="533"/>
      <c r="M598" s="533"/>
      <c r="N598" s="533"/>
      <c r="O598" s="533"/>
      <c r="P598" s="533"/>
      <c r="Q598" s="533"/>
      <c r="R598" s="533"/>
      <c r="S598" s="533"/>
      <c r="T598" s="533"/>
      <c r="U598" s="533"/>
      <c r="V598" s="533"/>
      <c r="W598" s="533"/>
      <c r="X598" s="533"/>
      <c r="Y598" s="533"/>
      <c r="Z598" s="533"/>
      <c r="AA598" s="533"/>
      <c r="AB598" s="533"/>
      <c r="AC598" s="533"/>
    </row>
    <row r="599" spans="1:29" ht="15.75" customHeight="1">
      <c r="A599" s="533"/>
      <c r="B599" s="533"/>
      <c r="C599" s="533"/>
      <c r="D599" s="533"/>
      <c r="E599" s="533"/>
      <c r="F599" s="533"/>
      <c r="G599" s="533"/>
      <c r="H599" s="533"/>
      <c r="I599" s="533"/>
      <c r="J599" s="533"/>
      <c r="K599" s="533"/>
      <c r="L599" s="533"/>
      <c r="M599" s="533"/>
      <c r="N599" s="533"/>
      <c r="O599" s="533"/>
      <c r="P599" s="533"/>
      <c r="Q599" s="533"/>
      <c r="R599" s="533"/>
      <c r="S599" s="533"/>
      <c r="T599" s="533"/>
      <c r="U599" s="533"/>
      <c r="V599" s="533"/>
      <c r="W599" s="533"/>
      <c r="X599" s="533"/>
      <c r="Y599" s="533"/>
      <c r="Z599" s="533"/>
      <c r="AA599" s="533"/>
      <c r="AB599" s="533"/>
      <c r="AC599" s="533"/>
    </row>
    <row r="600" spans="1:29" ht="15.75" customHeight="1">
      <c r="A600" s="533"/>
      <c r="B600" s="533"/>
      <c r="C600" s="533"/>
      <c r="D600" s="533"/>
      <c r="E600" s="533"/>
      <c r="F600" s="533"/>
      <c r="G600" s="533"/>
      <c r="H600" s="533"/>
      <c r="I600" s="533"/>
      <c r="J600" s="533"/>
      <c r="K600" s="533"/>
      <c r="L600" s="533"/>
      <c r="M600" s="533"/>
      <c r="N600" s="533"/>
      <c r="O600" s="533"/>
      <c r="P600" s="533"/>
      <c r="Q600" s="533"/>
      <c r="R600" s="533"/>
      <c r="S600" s="533"/>
      <c r="T600" s="533"/>
      <c r="U600" s="533"/>
      <c r="V600" s="533"/>
      <c r="W600" s="533"/>
      <c r="X600" s="533"/>
      <c r="Y600" s="533"/>
      <c r="Z600" s="533"/>
      <c r="AA600" s="533"/>
      <c r="AB600" s="533"/>
      <c r="AC600" s="533"/>
    </row>
    <row r="601" spans="1:29" ht="15.75" customHeight="1">
      <c r="A601" s="533"/>
      <c r="B601" s="533"/>
      <c r="C601" s="533"/>
      <c r="D601" s="533"/>
      <c r="E601" s="533"/>
      <c r="F601" s="533"/>
      <c r="G601" s="533"/>
      <c r="H601" s="533"/>
      <c r="I601" s="533"/>
      <c r="J601" s="533"/>
      <c r="K601" s="533"/>
      <c r="L601" s="533"/>
      <c r="M601" s="533"/>
      <c r="N601" s="533"/>
      <c r="O601" s="533"/>
      <c r="P601" s="533"/>
      <c r="Q601" s="533"/>
      <c r="R601" s="533"/>
      <c r="S601" s="533"/>
      <c r="T601" s="533"/>
      <c r="U601" s="533"/>
      <c r="V601" s="533"/>
      <c r="W601" s="533"/>
      <c r="X601" s="533"/>
      <c r="Y601" s="533"/>
      <c r="Z601" s="533"/>
      <c r="AA601" s="533"/>
      <c r="AB601" s="533"/>
      <c r="AC601" s="533"/>
    </row>
    <row r="602" spans="1:29" ht="15.75" customHeight="1">
      <c r="A602" s="533"/>
      <c r="B602" s="533"/>
      <c r="C602" s="533"/>
      <c r="D602" s="533"/>
      <c r="E602" s="533"/>
      <c r="F602" s="533"/>
      <c r="G602" s="533"/>
      <c r="H602" s="533"/>
      <c r="I602" s="533"/>
      <c r="J602" s="533"/>
      <c r="K602" s="533"/>
      <c r="L602" s="533"/>
      <c r="M602" s="533"/>
      <c r="N602" s="533"/>
      <c r="O602" s="533"/>
      <c r="P602" s="533"/>
      <c r="Q602" s="533"/>
      <c r="R602" s="533"/>
      <c r="S602" s="533"/>
      <c r="T602" s="533"/>
      <c r="U602" s="533"/>
      <c r="V602" s="533"/>
      <c r="W602" s="533"/>
      <c r="X602" s="533"/>
      <c r="Y602" s="533"/>
      <c r="Z602" s="533"/>
      <c r="AA602" s="533"/>
      <c r="AB602" s="533"/>
      <c r="AC602" s="533"/>
    </row>
    <row r="603" spans="1:29" ht="15.75" customHeight="1">
      <c r="A603" s="533"/>
      <c r="B603" s="533"/>
      <c r="C603" s="533"/>
      <c r="D603" s="533"/>
      <c r="E603" s="533"/>
      <c r="F603" s="533"/>
      <c r="G603" s="533"/>
      <c r="H603" s="533"/>
      <c r="I603" s="533"/>
      <c r="J603" s="533"/>
      <c r="K603" s="533"/>
      <c r="L603" s="533"/>
      <c r="M603" s="533"/>
      <c r="N603" s="533"/>
      <c r="O603" s="533"/>
      <c r="P603" s="533"/>
      <c r="Q603" s="533"/>
      <c r="R603" s="533"/>
      <c r="S603" s="533"/>
      <c r="T603" s="533"/>
      <c r="U603" s="533"/>
      <c r="V603" s="533"/>
      <c r="W603" s="533"/>
      <c r="X603" s="533"/>
      <c r="Y603" s="533"/>
      <c r="Z603" s="533"/>
      <c r="AA603" s="533"/>
      <c r="AB603" s="533"/>
      <c r="AC603" s="533"/>
    </row>
    <row r="604" spans="1:29" ht="15.75" customHeight="1">
      <c r="A604" s="533"/>
      <c r="B604" s="533"/>
      <c r="C604" s="533"/>
      <c r="D604" s="533"/>
      <c r="E604" s="533"/>
      <c r="F604" s="533"/>
      <c r="G604" s="533"/>
      <c r="H604" s="533"/>
      <c r="I604" s="533"/>
      <c r="J604" s="533"/>
      <c r="K604" s="533"/>
      <c r="L604" s="533"/>
      <c r="M604" s="533"/>
      <c r="N604" s="533"/>
      <c r="O604" s="533"/>
      <c r="P604" s="533"/>
      <c r="Q604" s="533"/>
      <c r="R604" s="533"/>
      <c r="S604" s="533"/>
      <c r="T604" s="533"/>
      <c r="U604" s="533"/>
      <c r="V604" s="533"/>
      <c r="W604" s="533"/>
      <c r="X604" s="533"/>
      <c r="Y604" s="533"/>
      <c r="Z604" s="533"/>
      <c r="AA604" s="533"/>
      <c r="AB604" s="533"/>
      <c r="AC604" s="533"/>
    </row>
    <row r="605" spans="1:29" ht="15.75" customHeight="1">
      <c r="A605" s="533"/>
      <c r="B605" s="533"/>
      <c r="C605" s="533"/>
      <c r="D605" s="533"/>
      <c r="E605" s="533"/>
      <c r="F605" s="533"/>
      <c r="G605" s="533"/>
      <c r="H605" s="533"/>
      <c r="I605" s="533"/>
      <c r="J605" s="533"/>
      <c r="K605" s="533"/>
      <c r="L605" s="533"/>
      <c r="M605" s="533"/>
      <c r="N605" s="533"/>
      <c r="O605" s="533"/>
      <c r="P605" s="533"/>
      <c r="Q605" s="533"/>
      <c r="R605" s="533"/>
      <c r="S605" s="533"/>
      <c r="T605" s="533"/>
      <c r="U605" s="533"/>
      <c r="V605" s="533"/>
      <c r="W605" s="533"/>
      <c r="X605" s="533"/>
      <c r="Y605" s="533"/>
      <c r="Z605" s="533"/>
      <c r="AA605" s="533"/>
      <c r="AB605" s="533"/>
      <c r="AC605" s="533"/>
    </row>
    <row r="606" spans="1:29" ht="15.75" customHeight="1">
      <c r="A606" s="533"/>
      <c r="B606" s="533"/>
      <c r="C606" s="533"/>
      <c r="D606" s="533"/>
      <c r="E606" s="533"/>
      <c r="F606" s="533"/>
      <c r="G606" s="533"/>
      <c r="H606" s="533"/>
      <c r="I606" s="533"/>
      <c r="J606" s="533"/>
      <c r="K606" s="533"/>
      <c r="L606" s="533"/>
      <c r="M606" s="533"/>
      <c r="N606" s="533"/>
      <c r="O606" s="533"/>
      <c r="P606" s="533"/>
      <c r="Q606" s="533"/>
      <c r="R606" s="533"/>
      <c r="S606" s="533"/>
      <c r="T606" s="533"/>
      <c r="U606" s="533"/>
      <c r="V606" s="533"/>
      <c r="W606" s="533"/>
      <c r="X606" s="533"/>
      <c r="Y606" s="533"/>
      <c r="Z606" s="533"/>
      <c r="AA606" s="533"/>
      <c r="AB606" s="533"/>
      <c r="AC606" s="533"/>
    </row>
    <row r="607" spans="1:29" ht="15.75" customHeight="1">
      <c r="A607" s="533"/>
      <c r="B607" s="533"/>
      <c r="C607" s="533"/>
      <c r="D607" s="533"/>
      <c r="E607" s="533"/>
      <c r="F607" s="533"/>
      <c r="G607" s="533"/>
      <c r="H607" s="533"/>
      <c r="I607" s="533"/>
      <c r="J607" s="533"/>
      <c r="K607" s="533"/>
      <c r="L607" s="533"/>
      <c r="M607" s="533"/>
      <c r="N607" s="533"/>
      <c r="O607" s="533"/>
      <c r="P607" s="533"/>
      <c r="Q607" s="533"/>
      <c r="R607" s="533"/>
      <c r="S607" s="533"/>
      <c r="T607" s="533"/>
      <c r="U607" s="533"/>
      <c r="V607" s="533"/>
      <c r="W607" s="533"/>
      <c r="X607" s="533"/>
      <c r="Y607" s="533"/>
      <c r="Z607" s="533"/>
      <c r="AA607" s="533"/>
      <c r="AB607" s="533"/>
      <c r="AC607" s="533"/>
    </row>
    <row r="608" spans="1:29" ht="15.75" customHeight="1">
      <c r="A608" s="533"/>
      <c r="B608" s="533"/>
      <c r="C608" s="533"/>
      <c r="D608" s="533"/>
      <c r="E608" s="533"/>
      <c r="F608" s="533"/>
      <c r="G608" s="533"/>
      <c r="H608" s="533"/>
      <c r="I608" s="533"/>
      <c r="J608" s="533"/>
      <c r="K608" s="533"/>
      <c r="L608" s="533"/>
      <c r="M608" s="533"/>
      <c r="N608" s="533"/>
      <c r="O608" s="533"/>
      <c r="P608" s="533"/>
      <c r="Q608" s="533"/>
      <c r="R608" s="533"/>
      <c r="S608" s="533"/>
      <c r="T608" s="533"/>
      <c r="U608" s="533"/>
      <c r="V608" s="533"/>
      <c r="W608" s="533"/>
      <c r="X608" s="533"/>
      <c r="Y608" s="533"/>
      <c r="Z608" s="533"/>
      <c r="AA608" s="533"/>
      <c r="AB608" s="533"/>
      <c r="AC608" s="533"/>
    </row>
    <row r="609" spans="1:29" ht="15.75" customHeight="1">
      <c r="A609" s="533"/>
      <c r="B609" s="533"/>
      <c r="C609" s="533"/>
      <c r="D609" s="533"/>
      <c r="E609" s="533"/>
      <c r="F609" s="533"/>
      <c r="G609" s="533"/>
      <c r="H609" s="533"/>
      <c r="I609" s="533"/>
      <c r="J609" s="533"/>
      <c r="K609" s="533"/>
      <c r="L609" s="533"/>
      <c r="M609" s="533"/>
      <c r="N609" s="533"/>
      <c r="O609" s="533"/>
      <c r="P609" s="533"/>
      <c r="Q609" s="533"/>
      <c r="R609" s="533"/>
      <c r="S609" s="533"/>
      <c r="T609" s="533"/>
      <c r="U609" s="533"/>
      <c r="V609" s="533"/>
      <c r="W609" s="533"/>
      <c r="X609" s="533"/>
      <c r="Y609" s="533"/>
      <c r="Z609" s="533"/>
      <c r="AA609" s="533"/>
      <c r="AB609" s="533"/>
      <c r="AC609" s="533"/>
    </row>
    <row r="610" spans="1:29" ht="15.75" customHeight="1">
      <c r="A610" s="533"/>
      <c r="B610" s="533"/>
      <c r="C610" s="533"/>
      <c r="D610" s="533"/>
      <c r="E610" s="533"/>
      <c r="F610" s="533"/>
      <c r="G610" s="533"/>
      <c r="H610" s="533"/>
      <c r="I610" s="533"/>
      <c r="J610" s="533"/>
      <c r="K610" s="533"/>
      <c r="L610" s="533"/>
      <c r="M610" s="533"/>
      <c r="N610" s="533"/>
      <c r="O610" s="533"/>
      <c r="P610" s="533"/>
      <c r="Q610" s="533"/>
      <c r="R610" s="533"/>
      <c r="S610" s="533"/>
      <c r="T610" s="533"/>
      <c r="U610" s="533"/>
      <c r="V610" s="533"/>
      <c r="W610" s="533"/>
      <c r="X610" s="533"/>
      <c r="Y610" s="533"/>
      <c r="Z610" s="533"/>
      <c r="AA610" s="533"/>
      <c r="AB610" s="533"/>
      <c r="AC610" s="533"/>
    </row>
    <row r="611" spans="1:29" ht="15.75" customHeight="1">
      <c r="A611" s="533"/>
      <c r="B611" s="533"/>
      <c r="C611" s="533"/>
      <c r="D611" s="533"/>
      <c r="E611" s="533"/>
      <c r="F611" s="533"/>
      <c r="G611" s="533"/>
      <c r="H611" s="533"/>
      <c r="I611" s="533"/>
      <c r="J611" s="533"/>
      <c r="K611" s="533"/>
      <c r="L611" s="533"/>
      <c r="M611" s="533"/>
      <c r="N611" s="533"/>
      <c r="O611" s="533"/>
      <c r="P611" s="533"/>
      <c r="Q611" s="533"/>
      <c r="R611" s="533"/>
      <c r="S611" s="533"/>
      <c r="T611" s="533"/>
      <c r="U611" s="533"/>
      <c r="V611" s="533"/>
      <c r="W611" s="533"/>
      <c r="X611" s="533"/>
      <c r="Y611" s="533"/>
      <c r="Z611" s="533"/>
      <c r="AA611" s="533"/>
      <c r="AB611" s="533"/>
      <c r="AC611" s="533"/>
    </row>
    <row r="612" spans="1:29" ht="15.75" customHeight="1">
      <c r="A612" s="533"/>
      <c r="B612" s="533"/>
      <c r="C612" s="533"/>
      <c r="D612" s="533"/>
      <c r="E612" s="533"/>
      <c r="F612" s="533"/>
      <c r="G612" s="533"/>
      <c r="H612" s="533"/>
      <c r="I612" s="533"/>
      <c r="J612" s="533"/>
      <c r="K612" s="533"/>
      <c r="L612" s="533"/>
      <c r="M612" s="533"/>
      <c r="N612" s="533"/>
      <c r="O612" s="533"/>
      <c r="P612" s="533"/>
      <c r="Q612" s="533"/>
      <c r="R612" s="533"/>
      <c r="S612" s="533"/>
      <c r="T612" s="533"/>
      <c r="U612" s="533"/>
      <c r="V612" s="533"/>
      <c r="W612" s="533"/>
      <c r="X612" s="533"/>
      <c r="Y612" s="533"/>
      <c r="Z612" s="533"/>
      <c r="AA612" s="533"/>
      <c r="AB612" s="533"/>
      <c r="AC612" s="533"/>
    </row>
    <row r="613" spans="1:29" ht="15.75" customHeight="1">
      <c r="A613" s="533"/>
      <c r="B613" s="533"/>
      <c r="C613" s="533"/>
      <c r="D613" s="533"/>
      <c r="E613" s="533"/>
      <c r="F613" s="533"/>
      <c r="G613" s="533"/>
      <c r="H613" s="533"/>
      <c r="I613" s="533"/>
      <c r="J613" s="533"/>
      <c r="K613" s="533"/>
      <c r="L613" s="533"/>
      <c r="M613" s="533"/>
      <c r="N613" s="533"/>
      <c r="O613" s="533"/>
      <c r="P613" s="533"/>
      <c r="Q613" s="533"/>
      <c r="R613" s="533"/>
      <c r="S613" s="533"/>
      <c r="T613" s="533"/>
      <c r="U613" s="533"/>
      <c r="V613" s="533"/>
      <c r="W613" s="533"/>
      <c r="X613" s="533"/>
      <c r="Y613" s="533"/>
      <c r="Z613" s="533"/>
      <c r="AA613" s="533"/>
      <c r="AB613" s="533"/>
      <c r="AC613" s="533"/>
    </row>
    <row r="614" spans="1:29" ht="15.75" customHeight="1">
      <c r="A614" s="533"/>
      <c r="B614" s="533"/>
      <c r="C614" s="533"/>
      <c r="D614" s="533"/>
      <c r="E614" s="533"/>
      <c r="F614" s="533"/>
      <c r="G614" s="533"/>
      <c r="H614" s="533"/>
      <c r="I614" s="533"/>
      <c r="J614" s="533"/>
      <c r="K614" s="533"/>
      <c r="L614" s="533"/>
      <c r="M614" s="533"/>
      <c r="N614" s="533"/>
      <c r="O614" s="533"/>
      <c r="P614" s="533"/>
      <c r="Q614" s="533"/>
      <c r="R614" s="533"/>
      <c r="S614" s="533"/>
      <c r="T614" s="533"/>
      <c r="U614" s="533"/>
      <c r="V614" s="533"/>
      <c r="W614" s="533"/>
      <c r="X614" s="533"/>
      <c r="Y614" s="533"/>
      <c r="Z614" s="533"/>
      <c r="AA614" s="533"/>
      <c r="AB614" s="533"/>
      <c r="AC614" s="533"/>
    </row>
    <row r="615" spans="1:29" ht="15.75" customHeight="1">
      <c r="A615" s="533"/>
      <c r="B615" s="533"/>
      <c r="C615" s="533"/>
      <c r="D615" s="533"/>
      <c r="E615" s="533"/>
      <c r="F615" s="533"/>
      <c r="G615" s="533"/>
      <c r="H615" s="533"/>
      <c r="I615" s="533"/>
      <c r="J615" s="533"/>
      <c r="K615" s="533"/>
      <c r="L615" s="533"/>
      <c r="M615" s="533"/>
      <c r="N615" s="533"/>
      <c r="O615" s="533"/>
      <c r="P615" s="533"/>
      <c r="Q615" s="533"/>
      <c r="R615" s="533"/>
      <c r="S615" s="533"/>
      <c r="T615" s="533"/>
      <c r="U615" s="533"/>
      <c r="V615" s="533"/>
      <c r="W615" s="533"/>
      <c r="X615" s="533"/>
      <c r="Y615" s="533"/>
      <c r="Z615" s="533"/>
      <c r="AA615" s="533"/>
      <c r="AB615" s="533"/>
      <c r="AC615" s="533"/>
    </row>
    <row r="616" spans="1:29" ht="15.75" customHeight="1">
      <c r="A616" s="533"/>
      <c r="B616" s="533"/>
      <c r="C616" s="533"/>
      <c r="D616" s="533"/>
      <c r="E616" s="533"/>
      <c r="F616" s="533"/>
      <c r="G616" s="533"/>
      <c r="H616" s="533"/>
      <c r="I616" s="533"/>
      <c r="J616" s="533"/>
      <c r="K616" s="533"/>
      <c r="L616" s="533"/>
      <c r="M616" s="533"/>
      <c r="N616" s="533"/>
      <c r="O616" s="533"/>
      <c r="P616" s="533"/>
      <c r="Q616" s="533"/>
      <c r="R616" s="533"/>
      <c r="S616" s="533"/>
      <c r="T616" s="533"/>
      <c r="U616" s="533"/>
      <c r="V616" s="533"/>
      <c r="W616" s="533"/>
      <c r="X616" s="533"/>
      <c r="Y616" s="533"/>
      <c r="Z616" s="533"/>
      <c r="AA616" s="533"/>
      <c r="AB616" s="533"/>
      <c r="AC616" s="533"/>
    </row>
    <row r="617" spans="1:29" ht="15.75" customHeight="1">
      <c r="A617" s="533"/>
      <c r="B617" s="533"/>
      <c r="C617" s="533"/>
      <c r="D617" s="533"/>
      <c r="E617" s="533"/>
      <c r="F617" s="533"/>
      <c r="G617" s="533"/>
      <c r="H617" s="533"/>
      <c r="I617" s="533"/>
      <c r="J617" s="533"/>
      <c r="K617" s="533"/>
      <c r="L617" s="533"/>
      <c r="M617" s="533"/>
      <c r="N617" s="533"/>
      <c r="O617" s="533"/>
      <c r="P617" s="533"/>
      <c r="Q617" s="533"/>
      <c r="R617" s="533"/>
      <c r="S617" s="533"/>
      <c r="T617" s="533"/>
      <c r="U617" s="533"/>
      <c r="V617" s="533"/>
      <c r="W617" s="533"/>
      <c r="X617" s="533"/>
      <c r="Y617" s="533"/>
      <c r="Z617" s="533"/>
      <c r="AA617" s="533"/>
      <c r="AB617" s="533"/>
      <c r="AC617" s="533"/>
    </row>
    <row r="618" spans="1:29" ht="15.75" customHeight="1">
      <c r="A618" s="533"/>
      <c r="B618" s="533"/>
      <c r="C618" s="533"/>
      <c r="D618" s="533"/>
      <c r="E618" s="533"/>
      <c r="F618" s="533"/>
      <c r="G618" s="533"/>
      <c r="H618" s="533"/>
      <c r="I618" s="533"/>
      <c r="J618" s="533"/>
      <c r="K618" s="533"/>
      <c r="L618" s="533"/>
      <c r="M618" s="533"/>
      <c r="N618" s="533"/>
      <c r="O618" s="533"/>
      <c r="P618" s="533"/>
      <c r="Q618" s="533"/>
      <c r="R618" s="533"/>
      <c r="S618" s="533"/>
      <c r="T618" s="533"/>
      <c r="U618" s="533"/>
      <c r="V618" s="533"/>
      <c r="W618" s="533"/>
      <c r="X618" s="533"/>
      <c r="Y618" s="533"/>
      <c r="Z618" s="533"/>
      <c r="AA618" s="533"/>
      <c r="AB618" s="533"/>
      <c r="AC618" s="533"/>
    </row>
    <row r="619" spans="1:29" ht="15.75" customHeight="1">
      <c r="A619" s="533"/>
      <c r="B619" s="533"/>
      <c r="C619" s="533"/>
      <c r="D619" s="533"/>
      <c r="E619" s="533"/>
      <c r="F619" s="533"/>
      <c r="G619" s="533"/>
      <c r="H619" s="533"/>
      <c r="I619" s="533"/>
      <c r="J619" s="533"/>
      <c r="K619" s="533"/>
      <c r="L619" s="533"/>
      <c r="M619" s="533"/>
      <c r="N619" s="533"/>
      <c r="O619" s="533"/>
      <c r="P619" s="533"/>
      <c r="Q619" s="533"/>
      <c r="R619" s="533"/>
      <c r="S619" s="533"/>
      <c r="T619" s="533"/>
      <c r="U619" s="533"/>
      <c r="V619" s="533"/>
      <c r="W619" s="533"/>
      <c r="X619" s="533"/>
      <c r="Y619" s="533"/>
      <c r="Z619" s="533"/>
      <c r="AA619" s="533"/>
      <c r="AB619" s="533"/>
      <c r="AC619" s="533"/>
    </row>
    <row r="620" spans="1:29" ht="15.75" customHeight="1">
      <c r="A620" s="533"/>
      <c r="B620" s="533"/>
      <c r="C620" s="533"/>
      <c r="D620" s="533"/>
      <c r="E620" s="533"/>
      <c r="F620" s="533"/>
      <c r="G620" s="533"/>
      <c r="H620" s="533"/>
      <c r="I620" s="533"/>
      <c r="J620" s="533"/>
      <c r="K620" s="533"/>
      <c r="L620" s="533"/>
      <c r="M620" s="533"/>
      <c r="N620" s="533"/>
      <c r="O620" s="533"/>
      <c r="P620" s="533"/>
      <c r="Q620" s="533"/>
      <c r="R620" s="533"/>
      <c r="S620" s="533"/>
      <c r="T620" s="533"/>
      <c r="U620" s="533"/>
      <c r="V620" s="533"/>
      <c r="W620" s="533"/>
      <c r="X620" s="533"/>
      <c r="Y620" s="533"/>
      <c r="Z620" s="533"/>
      <c r="AA620" s="533"/>
      <c r="AB620" s="533"/>
      <c r="AC620" s="533"/>
    </row>
    <row r="621" spans="1:29" ht="15.75" customHeight="1">
      <c r="A621" s="533"/>
      <c r="B621" s="533"/>
      <c r="C621" s="533"/>
      <c r="D621" s="533"/>
      <c r="E621" s="533"/>
      <c r="F621" s="533"/>
      <c r="G621" s="533"/>
      <c r="H621" s="533"/>
      <c r="I621" s="533"/>
      <c r="J621" s="533"/>
      <c r="K621" s="533"/>
      <c r="L621" s="533"/>
      <c r="M621" s="533"/>
      <c r="N621" s="533"/>
      <c r="O621" s="533"/>
      <c r="P621" s="533"/>
      <c r="Q621" s="533"/>
      <c r="R621" s="533"/>
      <c r="S621" s="533"/>
      <c r="T621" s="533"/>
      <c r="U621" s="533"/>
      <c r="V621" s="533"/>
      <c r="W621" s="533"/>
      <c r="X621" s="533"/>
      <c r="Y621" s="533"/>
      <c r="Z621" s="533"/>
      <c r="AA621" s="533"/>
      <c r="AB621" s="533"/>
      <c r="AC621" s="533"/>
    </row>
    <row r="622" spans="1:29" ht="15.75" customHeight="1">
      <c r="A622" s="533"/>
      <c r="B622" s="533"/>
      <c r="C622" s="533"/>
      <c r="D622" s="533"/>
      <c r="E622" s="533"/>
      <c r="F622" s="533"/>
      <c r="G622" s="533"/>
      <c r="H622" s="533"/>
      <c r="I622" s="533"/>
      <c r="J622" s="533"/>
      <c r="K622" s="533"/>
      <c r="L622" s="533"/>
      <c r="M622" s="533"/>
      <c r="N622" s="533"/>
      <c r="O622" s="533"/>
      <c r="P622" s="533"/>
      <c r="Q622" s="533"/>
      <c r="R622" s="533"/>
      <c r="S622" s="533"/>
      <c r="T622" s="533"/>
      <c r="U622" s="533"/>
      <c r="V622" s="533"/>
      <c r="W622" s="533"/>
      <c r="X622" s="533"/>
      <c r="Y622" s="533"/>
      <c r="Z622" s="533"/>
      <c r="AA622" s="533"/>
      <c r="AB622" s="533"/>
      <c r="AC622" s="533"/>
    </row>
    <row r="623" spans="1:29" ht="15.75" customHeight="1">
      <c r="A623" s="533"/>
      <c r="B623" s="533"/>
      <c r="C623" s="533"/>
      <c r="D623" s="533"/>
      <c r="E623" s="533"/>
      <c r="F623" s="533"/>
      <c r="G623" s="533"/>
      <c r="H623" s="533"/>
      <c r="I623" s="533"/>
      <c r="J623" s="533"/>
      <c r="K623" s="533"/>
      <c r="L623" s="533"/>
      <c r="M623" s="533"/>
      <c r="N623" s="533"/>
      <c r="O623" s="533"/>
      <c r="P623" s="533"/>
      <c r="Q623" s="533"/>
      <c r="R623" s="533"/>
      <c r="S623" s="533"/>
      <c r="T623" s="533"/>
      <c r="U623" s="533"/>
      <c r="V623" s="533"/>
      <c r="W623" s="533"/>
      <c r="X623" s="533"/>
      <c r="Y623" s="533"/>
      <c r="Z623" s="533"/>
      <c r="AA623" s="533"/>
      <c r="AB623" s="533"/>
      <c r="AC623" s="533"/>
    </row>
    <row r="624" spans="1:29" ht="15.75" customHeight="1">
      <c r="A624" s="533"/>
      <c r="B624" s="533"/>
      <c r="C624" s="533"/>
      <c r="D624" s="533"/>
      <c r="E624" s="533"/>
      <c r="F624" s="533"/>
      <c r="G624" s="533"/>
      <c r="H624" s="533"/>
      <c r="I624" s="533"/>
      <c r="J624" s="533"/>
      <c r="K624" s="533"/>
      <c r="L624" s="533"/>
      <c r="M624" s="533"/>
      <c r="N624" s="533"/>
      <c r="O624" s="533"/>
      <c r="P624" s="533"/>
      <c r="Q624" s="533"/>
      <c r="R624" s="533"/>
      <c r="S624" s="533"/>
      <c r="T624" s="533"/>
      <c r="U624" s="533"/>
      <c r="V624" s="533"/>
      <c r="W624" s="533"/>
      <c r="X624" s="533"/>
      <c r="Y624" s="533"/>
      <c r="Z624" s="533"/>
      <c r="AA624" s="533"/>
      <c r="AB624" s="533"/>
      <c r="AC624" s="533"/>
    </row>
    <row r="625" spans="1:29" ht="15.75" customHeight="1">
      <c r="A625" s="533"/>
      <c r="B625" s="533"/>
      <c r="C625" s="533"/>
      <c r="D625" s="533"/>
      <c r="E625" s="533"/>
      <c r="F625" s="533"/>
      <c r="G625" s="533"/>
      <c r="H625" s="533"/>
      <c r="I625" s="533"/>
      <c r="J625" s="533"/>
      <c r="K625" s="533"/>
      <c r="L625" s="533"/>
      <c r="M625" s="533"/>
      <c r="N625" s="533"/>
      <c r="O625" s="533"/>
      <c r="P625" s="533"/>
      <c r="Q625" s="533"/>
      <c r="R625" s="533"/>
      <c r="S625" s="533"/>
      <c r="T625" s="533"/>
      <c r="U625" s="533"/>
      <c r="V625" s="533"/>
      <c r="W625" s="533"/>
      <c r="X625" s="533"/>
      <c r="Y625" s="533"/>
      <c r="Z625" s="533"/>
      <c r="AA625" s="533"/>
      <c r="AB625" s="533"/>
      <c r="AC625" s="533"/>
    </row>
    <row r="626" spans="1:29" ht="15.75" customHeight="1">
      <c r="A626" s="533"/>
      <c r="B626" s="533"/>
      <c r="C626" s="533"/>
      <c r="D626" s="533"/>
      <c r="E626" s="533"/>
      <c r="F626" s="533"/>
      <c r="G626" s="533"/>
      <c r="H626" s="533"/>
      <c r="I626" s="533"/>
      <c r="J626" s="533"/>
      <c r="K626" s="533"/>
      <c r="L626" s="533"/>
      <c r="M626" s="533"/>
      <c r="N626" s="533"/>
      <c r="O626" s="533"/>
      <c r="P626" s="533"/>
      <c r="Q626" s="533"/>
      <c r="R626" s="533"/>
      <c r="S626" s="533"/>
      <c r="T626" s="533"/>
      <c r="U626" s="533"/>
      <c r="V626" s="533"/>
      <c r="W626" s="533"/>
      <c r="X626" s="533"/>
      <c r="Y626" s="533"/>
      <c r="Z626" s="533"/>
      <c r="AA626" s="533"/>
      <c r="AB626" s="533"/>
      <c r="AC626" s="533"/>
    </row>
    <row r="627" spans="1:29" ht="15.75" customHeight="1">
      <c r="A627" s="533"/>
      <c r="B627" s="533"/>
      <c r="C627" s="533"/>
      <c r="D627" s="533"/>
      <c r="E627" s="533"/>
      <c r="F627" s="533"/>
      <c r="G627" s="533"/>
      <c r="H627" s="533"/>
      <c r="I627" s="533"/>
      <c r="J627" s="533"/>
      <c r="K627" s="533"/>
      <c r="L627" s="533"/>
      <c r="M627" s="533"/>
      <c r="N627" s="533"/>
      <c r="O627" s="533"/>
      <c r="P627" s="533"/>
      <c r="Q627" s="533"/>
      <c r="R627" s="533"/>
      <c r="S627" s="533"/>
      <c r="T627" s="533"/>
      <c r="U627" s="533"/>
      <c r="V627" s="533"/>
      <c r="W627" s="533"/>
      <c r="X627" s="533"/>
      <c r="Y627" s="533"/>
      <c r="Z627" s="533"/>
      <c r="AA627" s="533"/>
      <c r="AB627" s="533"/>
      <c r="AC627" s="533"/>
    </row>
    <row r="628" spans="1:29" ht="15.75" customHeight="1">
      <c r="A628" s="533"/>
      <c r="B628" s="533"/>
      <c r="C628" s="533"/>
      <c r="D628" s="533"/>
      <c r="E628" s="533"/>
      <c r="F628" s="533"/>
      <c r="G628" s="533"/>
      <c r="H628" s="533"/>
      <c r="I628" s="533"/>
      <c r="J628" s="533"/>
      <c r="K628" s="533"/>
      <c r="L628" s="533"/>
      <c r="M628" s="533"/>
      <c r="N628" s="533"/>
      <c r="O628" s="533"/>
      <c r="P628" s="533"/>
      <c r="Q628" s="533"/>
      <c r="R628" s="533"/>
      <c r="S628" s="533"/>
      <c r="T628" s="533"/>
      <c r="U628" s="533"/>
      <c r="V628" s="533"/>
      <c r="W628" s="533"/>
      <c r="X628" s="533"/>
      <c r="Y628" s="533"/>
      <c r="Z628" s="533"/>
      <c r="AA628" s="533"/>
      <c r="AB628" s="533"/>
      <c r="AC628" s="533"/>
    </row>
    <row r="629" spans="1:29" ht="15.75" customHeight="1">
      <c r="A629" s="533"/>
      <c r="B629" s="533"/>
      <c r="C629" s="533"/>
      <c r="D629" s="533"/>
      <c r="E629" s="533"/>
      <c r="F629" s="533"/>
      <c r="G629" s="533"/>
      <c r="H629" s="533"/>
      <c r="I629" s="533"/>
      <c r="J629" s="533"/>
      <c r="K629" s="533"/>
      <c r="L629" s="533"/>
      <c r="M629" s="533"/>
      <c r="N629" s="533"/>
      <c r="O629" s="533"/>
      <c r="P629" s="533"/>
      <c r="Q629" s="533"/>
      <c r="R629" s="533"/>
      <c r="S629" s="533"/>
      <c r="T629" s="533"/>
      <c r="U629" s="533"/>
      <c r="V629" s="533"/>
      <c r="W629" s="533"/>
      <c r="X629" s="533"/>
      <c r="Y629" s="533"/>
      <c r="Z629" s="533"/>
      <c r="AA629" s="533"/>
      <c r="AB629" s="533"/>
      <c r="AC629" s="533"/>
    </row>
    <row r="630" spans="1:29" ht="15.75" customHeight="1">
      <c r="A630" s="533"/>
      <c r="B630" s="533"/>
      <c r="C630" s="533"/>
      <c r="D630" s="533"/>
      <c r="E630" s="533"/>
      <c r="F630" s="533"/>
      <c r="G630" s="533"/>
      <c r="H630" s="533"/>
      <c r="I630" s="533"/>
      <c r="J630" s="533"/>
      <c r="K630" s="533"/>
      <c r="L630" s="533"/>
      <c r="M630" s="533"/>
      <c r="N630" s="533"/>
      <c r="O630" s="533"/>
      <c r="P630" s="533"/>
      <c r="Q630" s="533"/>
      <c r="R630" s="533"/>
      <c r="S630" s="533"/>
      <c r="T630" s="533"/>
      <c r="U630" s="533"/>
      <c r="V630" s="533"/>
      <c r="W630" s="533"/>
      <c r="X630" s="533"/>
      <c r="Y630" s="533"/>
      <c r="Z630" s="533"/>
      <c r="AA630" s="533"/>
      <c r="AB630" s="533"/>
      <c r="AC630" s="533"/>
    </row>
    <row r="631" spans="1:29" ht="15.75" customHeight="1">
      <c r="A631" s="533"/>
      <c r="B631" s="533"/>
      <c r="C631" s="533"/>
      <c r="D631" s="533"/>
      <c r="E631" s="533"/>
      <c r="F631" s="533"/>
      <c r="G631" s="533"/>
      <c r="H631" s="533"/>
      <c r="I631" s="533"/>
      <c r="J631" s="533"/>
      <c r="K631" s="533"/>
      <c r="L631" s="533"/>
      <c r="M631" s="533"/>
      <c r="N631" s="533"/>
      <c r="O631" s="533"/>
      <c r="P631" s="533"/>
      <c r="Q631" s="533"/>
      <c r="R631" s="533"/>
      <c r="S631" s="533"/>
      <c r="T631" s="533"/>
      <c r="U631" s="533"/>
      <c r="V631" s="533"/>
      <c r="W631" s="533"/>
      <c r="X631" s="533"/>
      <c r="Y631" s="533"/>
      <c r="Z631" s="533"/>
      <c r="AA631" s="533"/>
      <c r="AB631" s="533"/>
      <c r="AC631" s="533"/>
    </row>
    <row r="632" spans="1:29" ht="15.75" customHeight="1">
      <c r="A632" s="533"/>
      <c r="B632" s="533"/>
      <c r="C632" s="533"/>
      <c r="D632" s="533"/>
      <c r="E632" s="533"/>
      <c r="F632" s="533"/>
      <c r="G632" s="533"/>
      <c r="H632" s="533"/>
      <c r="I632" s="533"/>
      <c r="J632" s="533"/>
      <c r="K632" s="533"/>
      <c r="L632" s="533"/>
      <c r="M632" s="533"/>
      <c r="N632" s="533"/>
      <c r="O632" s="533"/>
      <c r="P632" s="533"/>
      <c r="Q632" s="533"/>
      <c r="R632" s="533"/>
      <c r="S632" s="533"/>
      <c r="T632" s="533"/>
      <c r="U632" s="533"/>
      <c r="V632" s="533"/>
      <c r="W632" s="533"/>
      <c r="X632" s="533"/>
      <c r="Y632" s="533"/>
      <c r="Z632" s="533"/>
      <c r="AA632" s="533"/>
      <c r="AB632" s="533"/>
      <c r="AC632" s="533"/>
    </row>
    <row r="633" spans="1:29" ht="15.75" customHeight="1">
      <c r="A633" s="533"/>
      <c r="B633" s="533"/>
      <c r="C633" s="533"/>
      <c r="D633" s="533"/>
      <c r="E633" s="533"/>
      <c r="F633" s="533"/>
      <c r="G633" s="533"/>
      <c r="H633" s="533"/>
      <c r="I633" s="533"/>
      <c r="J633" s="533"/>
      <c r="K633" s="533"/>
      <c r="L633" s="533"/>
      <c r="M633" s="533"/>
      <c r="N633" s="533"/>
      <c r="O633" s="533"/>
      <c r="P633" s="533"/>
      <c r="Q633" s="533"/>
      <c r="R633" s="533"/>
      <c r="S633" s="533"/>
      <c r="T633" s="533"/>
      <c r="U633" s="533"/>
      <c r="V633" s="533"/>
      <c r="W633" s="533"/>
      <c r="X633" s="533"/>
      <c r="Y633" s="533"/>
      <c r="Z633" s="533"/>
      <c r="AA633" s="533"/>
      <c r="AB633" s="533"/>
      <c r="AC633" s="533"/>
    </row>
    <row r="634" spans="1:29" ht="15.75" customHeight="1">
      <c r="A634" s="533"/>
      <c r="B634" s="533"/>
      <c r="C634" s="533"/>
      <c r="D634" s="533"/>
      <c r="E634" s="533"/>
      <c r="F634" s="533"/>
      <c r="G634" s="533"/>
      <c r="H634" s="533"/>
      <c r="I634" s="533"/>
      <c r="J634" s="533"/>
      <c r="K634" s="533"/>
      <c r="L634" s="533"/>
      <c r="M634" s="533"/>
      <c r="N634" s="533"/>
      <c r="O634" s="533"/>
      <c r="P634" s="533"/>
      <c r="Q634" s="533"/>
      <c r="R634" s="533"/>
      <c r="S634" s="533"/>
      <c r="T634" s="533"/>
      <c r="U634" s="533"/>
      <c r="V634" s="533"/>
      <c r="W634" s="533"/>
      <c r="X634" s="533"/>
      <c r="Y634" s="533"/>
      <c r="Z634" s="533"/>
      <c r="AA634" s="533"/>
      <c r="AB634" s="533"/>
      <c r="AC634" s="533"/>
    </row>
    <row r="635" spans="1:29" ht="15.75" customHeight="1">
      <c r="A635" s="533"/>
      <c r="B635" s="533"/>
      <c r="C635" s="533"/>
      <c r="D635" s="533"/>
      <c r="E635" s="533"/>
      <c r="F635" s="533"/>
      <c r="G635" s="533"/>
      <c r="H635" s="533"/>
      <c r="I635" s="533"/>
      <c r="J635" s="533"/>
      <c r="K635" s="533"/>
      <c r="L635" s="533"/>
      <c r="M635" s="533"/>
      <c r="N635" s="533"/>
      <c r="O635" s="533"/>
      <c r="P635" s="533"/>
      <c r="Q635" s="533"/>
      <c r="R635" s="533"/>
      <c r="S635" s="533"/>
      <c r="T635" s="533"/>
      <c r="U635" s="533"/>
      <c r="V635" s="533"/>
      <c r="W635" s="533"/>
      <c r="X635" s="533"/>
      <c r="Y635" s="533"/>
      <c r="Z635" s="533"/>
      <c r="AA635" s="533"/>
      <c r="AB635" s="533"/>
      <c r="AC635" s="533"/>
    </row>
    <row r="636" spans="1:29" ht="15.75" customHeight="1">
      <c r="A636" s="533"/>
      <c r="B636" s="533"/>
      <c r="C636" s="533"/>
      <c r="D636" s="533"/>
      <c r="E636" s="533"/>
      <c r="F636" s="533"/>
      <c r="G636" s="533"/>
      <c r="H636" s="533"/>
      <c r="I636" s="533"/>
      <c r="J636" s="533"/>
      <c r="K636" s="533"/>
      <c r="L636" s="533"/>
      <c r="M636" s="533"/>
      <c r="N636" s="533"/>
      <c r="O636" s="533"/>
      <c r="P636" s="533"/>
      <c r="Q636" s="533"/>
      <c r="R636" s="533"/>
      <c r="S636" s="533"/>
      <c r="T636" s="533"/>
      <c r="U636" s="533"/>
      <c r="V636" s="533"/>
      <c r="W636" s="533"/>
      <c r="X636" s="533"/>
      <c r="Y636" s="533"/>
      <c r="Z636" s="533"/>
      <c r="AA636" s="533"/>
      <c r="AB636" s="533"/>
      <c r="AC636" s="533"/>
    </row>
    <row r="637" spans="1:29" ht="15.75" customHeight="1">
      <c r="A637" s="533"/>
      <c r="B637" s="533"/>
      <c r="C637" s="533"/>
      <c r="D637" s="533"/>
      <c r="E637" s="533"/>
      <c r="F637" s="533"/>
      <c r="G637" s="533"/>
      <c r="H637" s="533"/>
      <c r="I637" s="533"/>
      <c r="J637" s="533"/>
      <c r="K637" s="533"/>
      <c r="L637" s="533"/>
      <c r="M637" s="533"/>
      <c r="N637" s="533"/>
      <c r="O637" s="533"/>
      <c r="P637" s="533"/>
      <c r="Q637" s="533"/>
      <c r="R637" s="533"/>
      <c r="S637" s="533"/>
      <c r="T637" s="533"/>
      <c r="U637" s="533"/>
      <c r="V637" s="533"/>
      <c r="W637" s="533"/>
      <c r="X637" s="533"/>
      <c r="Y637" s="533"/>
      <c r="Z637" s="533"/>
      <c r="AA637" s="533"/>
      <c r="AB637" s="533"/>
      <c r="AC637" s="533"/>
    </row>
    <row r="638" spans="1:29" ht="15.75" customHeight="1">
      <c r="A638" s="533"/>
      <c r="B638" s="533"/>
      <c r="C638" s="533"/>
      <c r="D638" s="533"/>
      <c r="E638" s="533"/>
      <c r="F638" s="533"/>
      <c r="G638" s="533"/>
      <c r="H638" s="533"/>
      <c r="I638" s="533"/>
      <c r="J638" s="533"/>
      <c r="K638" s="533"/>
      <c r="L638" s="533"/>
      <c r="M638" s="533"/>
      <c r="N638" s="533"/>
      <c r="O638" s="533"/>
      <c r="P638" s="533"/>
      <c r="Q638" s="533"/>
      <c r="R638" s="533"/>
      <c r="S638" s="533"/>
      <c r="T638" s="533"/>
      <c r="U638" s="533"/>
      <c r="V638" s="533"/>
      <c r="W638" s="533"/>
      <c r="X638" s="533"/>
      <c r="Y638" s="533"/>
      <c r="Z638" s="533"/>
      <c r="AA638" s="533"/>
      <c r="AB638" s="533"/>
      <c r="AC638" s="533"/>
    </row>
    <row r="639" spans="1:29" ht="15.75" customHeight="1">
      <c r="A639" s="533"/>
      <c r="B639" s="533"/>
      <c r="C639" s="533"/>
      <c r="D639" s="533"/>
      <c r="E639" s="533"/>
      <c r="F639" s="533"/>
      <c r="G639" s="533"/>
      <c r="H639" s="533"/>
      <c r="I639" s="533"/>
      <c r="J639" s="533"/>
      <c r="K639" s="533"/>
      <c r="L639" s="533"/>
      <c r="M639" s="533"/>
      <c r="N639" s="533"/>
      <c r="O639" s="533"/>
      <c r="P639" s="533"/>
      <c r="Q639" s="533"/>
      <c r="R639" s="533"/>
      <c r="S639" s="533"/>
      <c r="T639" s="533"/>
      <c r="U639" s="533"/>
      <c r="V639" s="533"/>
      <c r="W639" s="533"/>
      <c r="X639" s="533"/>
      <c r="Y639" s="533"/>
      <c r="Z639" s="533"/>
      <c r="AA639" s="533"/>
      <c r="AB639" s="533"/>
      <c r="AC639" s="533"/>
    </row>
    <row r="640" spans="1:29" ht="15.75" customHeight="1">
      <c r="A640" s="533"/>
      <c r="B640" s="533"/>
      <c r="C640" s="533"/>
      <c r="D640" s="533"/>
      <c r="E640" s="533"/>
      <c r="F640" s="533"/>
      <c r="G640" s="533"/>
      <c r="H640" s="533"/>
      <c r="I640" s="533"/>
      <c r="J640" s="533"/>
      <c r="K640" s="533"/>
      <c r="L640" s="533"/>
      <c r="M640" s="533"/>
      <c r="N640" s="533"/>
      <c r="O640" s="533"/>
      <c r="P640" s="533"/>
      <c r="Q640" s="533"/>
      <c r="R640" s="533"/>
      <c r="S640" s="533"/>
      <c r="T640" s="533"/>
      <c r="U640" s="533"/>
      <c r="V640" s="533"/>
      <c r="W640" s="533"/>
      <c r="X640" s="533"/>
      <c r="Y640" s="533"/>
      <c r="Z640" s="533"/>
      <c r="AA640" s="533"/>
      <c r="AB640" s="533"/>
      <c r="AC640" s="533"/>
    </row>
    <row r="641" spans="1:29" ht="15.75" customHeight="1">
      <c r="A641" s="533"/>
      <c r="B641" s="533"/>
      <c r="C641" s="533"/>
      <c r="D641" s="533"/>
      <c r="E641" s="533"/>
      <c r="F641" s="533"/>
      <c r="G641" s="533"/>
      <c r="H641" s="533"/>
      <c r="I641" s="533"/>
      <c r="J641" s="533"/>
      <c r="K641" s="533"/>
      <c r="L641" s="533"/>
      <c r="M641" s="533"/>
      <c r="N641" s="533"/>
      <c r="O641" s="533"/>
      <c r="P641" s="533"/>
      <c r="Q641" s="533"/>
      <c r="R641" s="533"/>
      <c r="S641" s="533"/>
      <c r="T641" s="533"/>
      <c r="U641" s="533"/>
      <c r="V641" s="533"/>
      <c r="W641" s="533"/>
      <c r="X641" s="533"/>
      <c r="Y641" s="533"/>
      <c r="Z641" s="533"/>
      <c r="AA641" s="533"/>
      <c r="AB641" s="533"/>
      <c r="AC641" s="533"/>
    </row>
    <row r="642" spans="1:29" ht="15.75" customHeight="1">
      <c r="A642" s="533"/>
      <c r="B642" s="533"/>
      <c r="C642" s="533"/>
      <c r="D642" s="533"/>
      <c r="E642" s="533"/>
      <c r="F642" s="533"/>
      <c r="G642" s="533"/>
      <c r="H642" s="533"/>
      <c r="I642" s="533"/>
      <c r="J642" s="533"/>
      <c r="K642" s="533"/>
      <c r="L642" s="533"/>
      <c r="M642" s="533"/>
      <c r="N642" s="533"/>
      <c r="O642" s="533"/>
      <c r="P642" s="533"/>
      <c r="Q642" s="533"/>
      <c r="R642" s="533"/>
      <c r="S642" s="533"/>
      <c r="T642" s="533"/>
      <c r="U642" s="533"/>
      <c r="V642" s="533"/>
      <c r="W642" s="533"/>
      <c r="X642" s="533"/>
      <c r="Y642" s="533"/>
      <c r="Z642" s="533"/>
      <c r="AA642" s="533"/>
      <c r="AB642" s="533"/>
      <c r="AC642" s="533"/>
    </row>
    <row r="643" spans="1:29" ht="15.75" customHeight="1">
      <c r="A643" s="533"/>
      <c r="B643" s="533"/>
      <c r="C643" s="533"/>
      <c r="D643" s="533"/>
      <c r="E643" s="533"/>
      <c r="F643" s="533"/>
      <c r="G643" s="533"/>
      <c r="H643" s="533"/>
      <c r="I643" s="533"/>
      <c r="J643" s="533"/>
      <c r="K643" s="533"/>
      <c r="L643" s="533"/>
      <c r="M643" s="533"/>
      <c r="N643" s="533"/>
      <c r="O643" s="533"/>
      <c r="P643" s="533"/>
      <c r="Q643" s="533"/>
      <c r="R643" s="533"/>
      <c r="S643" s="533"/>
      <c r="T643" s="533"/>
      <c r="U643" s="533"/>
      <c r="V643" s="533"/>
      <c r="W643" s="533"/>
      <c r="X643" s="533"/>
      <c r="Y643" s="533"/>
      <c r="Z643" s="533"/>
      <c r="AA643" s="533"/>
      <c r="AB643" s="533"/>
      <c r="AC643" s="533"/>
    </row>
    <row r="644" spans="1:29" ht="15.75" customHeight="1">
      <c r="A644" s="533"/>
      <c r="B644" s="533"/>
      <c r="C644" s="533"/>
      <c r="D644" s="533"/>
      <c r="E644" s="533"/>
      <c r="F644" s="533"/>
      <c r="G644" s="533"/>
      <c r="H644" s="533"/>
      <c r="I644" s="533"/>
      <c r="J644" s="533"/>
      <c r="K644" s="533"/>
      <c r="L644" s="533"/>
      <c r="M644" s="533"/>
      <c r="N644" s="533"/>
      <c r="O644" s="533"/>
      <c r="P644" s="533"/>
      <c r="Q644" s="533"/>
      <c r="R644" s="533"/>
      <c r="S644" s="533"/>
      <c r="T644" s="533"/>
      <c r="U644" s="533"/>
      <c r="V644" s="533"/>
      <c r="W644" s="533"/>
      <c r="X644" s="533"/>
      <c r="Y644" s="533"/>
      <c r="Z644" s="533"/>
      <c r="AA644" s="533"/>
      <c r="AB644" s="533"/>
      <c r="AC644" s="533"/>
    </row>
    <row r="645" spans="1:29" ht="15.75" customHeight="1">
      <c r="A645" s="533"/>
      <c r="B645" s="533"/>
      <c r="C645" s="533"/>
      <c r="D645" s="533"/>
      <c r="E645" s="533"/>
      <c r="F645" s="533"/>
      <c r="G645" s="533"/>
      <c r="H645" s="533"/>
      <c r="I645" s="533"/>
      <c r="J645" s="533"/>
      <c r="K645" s="533"/>
      <c r="L645" s="533"/>
      <c r="M645" s="533"/>
      <c r="N645" s="533"/>
      <c r="O645" s="533"/>
      <c r="P645" s="533"/>
      <c r="Q645" s="533"/>
      <c r="R645" s="533"/>
      <c r="S645" s="533"/>
      <c r="T645" s="533"/>
      <c r="U645" s="533"/>
      <c r="V645" s="533"/>
      <c r="W645" s="533"/>
      <c r="X645" s="533"/>
      <c r="Y645" s="533"/>
      <c r="Z645" s="533"/>
      <c r="AA645" s="533"/>
      <c r="AB645" s="533"/>
      <c r="AC645" s="533"/>
    </row>
    <row r="646" spans="1:29" ht="15.75" customHeight="1">
      <c r="A646" s="533"/>
      <c r="B646" s="533"/>
      <c r="C646" s="533"/>
      <c r="D646" s="533"/>
      <c r="E646" s="533"/>
      <c r="F646" s="533"/>
      <c r="G646" s="533"/>
      <c r="H646" s="533"/>
      <c r="I646" s="533"/>
      <c r="J646" s="533"/>
      <c r="K646" s="533"/>
      <c r="L646" s="533"/>
      <c r="M646" s="533"/>
      <c r="N646" s="533"/>
      <c r="O646" s="533"/>
      <c r="P646" s="533"/>
      <c r="Q646" s="533"/>
      <c r="R646" s="533"/>
      <c r="S646" s="533"/>
      <c r="T646" s="533"/>
      <c r="U646" s="533"/>
      <c r="V646" s="533"/>
      <c r="W646" s="533"/>
      <c r="X646" s="533"/>
      <c r="Y646" s="533"/>
      <c r="Z646" s="533"/>
      <c r="AA646" s="533"/>
      <c r="AB646" s="533"/>
      <c r="AC646" s="533"/>
    </row>
    <row r="647" spans="1:29" ht="15.75" customHeight="1">
      <c r="A647" s="533"/>
      <c r="B647" s="533"/>
      <c r="C647" s="533"/>
      <c r="D647" s="533"/>
      <c r="E647" s="533"/>
      <c r="F647" s="533"/>
      <c r="G647" s="533"/>
      <c r="H647" s="533"/>
      <c r="I647" s="533"/>
      <c r="J647" s="533"/>
      <c r="K647" s="533"/>
      <c r="L647" s="533"/>
      <c r="M647" s="533"/>
      <c r="N647" s="533"/>
      <c r="O647" s="533"/>
      <c r="P647" s="533"/>
      <c r="Q647" s="533"/>
      <c r="R647" s="533"/>
      <c r="S647" s="533"/>
      <c r="T647" s="533"/>
      <c r="U647" s="533"/>
      <c r="V647" s="533"/>
      <c r="W647" s="533"/>
      <c r="X647" s="533"/>
      <c r="Y647" s="533"/>
      <c r="Z647" s="533"/>
      <c r="AA647" s="533"/>
      <c r="AB647" s="533"/>
      <c r="AC647" s="533"/>
    </row>
    <row r="648" spans="1:29" ht="15.75" customHeight="1">
      <c r="A648" s="533"/>
      <c r="B648" s="533"/>
      <c r="C648" s="533"/>
      <c r="D648" s="533"/>
      <c r="E648" s="533"/>
      <c r="F648" s="533"/>
      <c r="G648" s="533"/>
      <c r="H648" s="533"/>
      <c r="I648" s="533"/>
      <c r="J648" s="533"/>
      <c r="K648" s="533"/>
      <c r="L648" s="533"/>
      <c r="M648" s="533"/>
      <c r="N648" s="533"/>
      <c r="O648" s="533"/>
      <c r="P648" s="533"/>
      <c r="Q648" s="533"/>
      <c r="R648" s="533"/>
      <c r="S648" s="533"/>
      <c r="T648" s="533"/>
      <c r="U648" s="533"/>
      <c r="V648" s="533"/>
      <c r="W648" s="533"/>
      <c r="X648" s="533"/>
      <c r="Y648" s="533"/>
      <c r="Z648" s="533"/>
      <c r="AA648" s="533"/>
      <c r="AB648" s="533"/>
      <c r="AC648" s="533"/>
    </row>
    <row r="649" spans="1:29" ht="15.75" customHeight="1">
      <c r="A649" s="533"/>
      <c r="B649" s="533"/>
      <c r="C649" s="533"/>
      <c r="D649" s="533"/>
      <c r="E649" s="533"/>
      <c r="F649" s="533"/>
      <c r="G649" s="533"/>
      <c r="H649" s="533"/>
      <c r="I649" s="533"/>
      <c r="J649" s="533"/>
      <c r="K649" s="533"/>
      <c r="L649" s="533"/>
      <c r="M649" s="533"/>
      <c r="N649" s="533"/>
      <c r="O649" s="533"/>
      <c r="P649" s="533"/>
      <c r="Q649" s="533"/>
      <c r="R649" s="533"/>
      <c r="S649" s="533"/>
      <c r="T649" s="533"/>
      <c r="U649" s="533"/>
      <c r="V649" s="533"/>
      <c r="W649" s="533"/>
      <c r="X649" s="533"/>
      <c r="Y649" s="533"/>
      <c r="Z649" s="533"/>
      <c r="AA649" s="533"/>
      <c r="AB649" s="533"/>
      <c r="AC649" s="533"/>
    </row>
    <row r="650" spans="1:29" ht="15.75" customHeight="1">
      <c r="A650" s="533"/>
      <c r="B650" s="533"/>
      <c r="C650" s="533"/>
      <c r="D650" s="533"/>
      <c r="E650" s="533"/>
      <c r="F650" s="533"/>
      <c r="G650" s="533"/>
      <c r="H650" s="533"/>
      <c r="I650" s="533"/>
      <c r="J650" s="533"/>
      <c r="K650" s="533"/>
      <c r="L650" s="533"/>
      <c r="M650" s="533"/>
      <c r="N650" s="533"/>
      <c r="O650" s="533"/>
      <c r="P650" s="533"/>
      <c r="Q650" s="533"/>
      <c r="R650" s="533"/>
      <c r="S650" s="533"/>
      <c r="T650" s="533"/>
      <c r="U650" s="533"/>
      <c r="V650" s="533"/>
      <c r="W650" s="533"/>
      <c r="X650" s="533"/>
      <c r="Y650" s="533"/>
      <c r="Z650" s="533"/>
      <c r="AA650" s="533"/>
      <c r="AB650" s="533"/>
      <c r="AC650" s="533"/>
    </row>
    <row r="651" spans="1:29" ht="15.75" customHeight="1">
      <c r="A651" s="533"/>
      <c r="B651" s="533"/>
      <c r="C651" s="533"/>
      <c r="D651" s="533"/>
      <c r="E651" s="533"/>
      <c r="F651" s="533"/>
      <c r="G651" s="533"/>
      <c r="H651" s="533"/>
      <c r="I651" s="533"/>
      <c r="J651" s="533"/>
      <c r="K651" s="533"/>
      <c r="L651" s="533"/>
      <c r="M651" s="533"/>
      <c r="N651" s="533"/>
      <c r="O651" s="533"/>
      <c r="P651" s="533"/>
      <c r="Q651" s="533"/>
      <c r="R651" s="533"/>
      <c r="S651" s="533"/>
      <c r="T651" s="533"/>
      <c r="U651" s="533"/>
      <c r="V651" s="533"/>
      <c r="W651" s="533"/>
      <c r="X651" s="533"/>
      <c r="Y651" s="533"/>
      <c r="Z651" s="533"/>
      <c r="AA651" s="533"/>
      <c r="AB651" s="533"/>
      <c r="AC651" s="533"/>
    </row>
    <row r="652" spans="1:29" ht="15.75" customHeight="1">
      <c r="A652" s="533"/>
      <c r="B652" s="533"/>
      <c r="C652" s="533"/>
      <c r="D652" s="533"/>
      <c r="E652" s="533"/>
      <c r="F652" s="533"/>
      <c r="G652" s="533"/>
      <c r="H652" s="533"/>
      <c r="I652" s="533"/>
      <c r="J652" s="533"/>
      <c r="K652" s="533"/>
      <c r="L652" s="533"/>
      <c r="M652" s="533"/>
      <c r="N652" s="533"/>
      <c r="O652" s="533"/>
      <c r="P652" s="533"/>
      <c r="Q652" s="533"/>
      <c r="R652" s="533"/>
      <c r="S652" s="533"/>
      <c r="T652" s="533"/>
      <c r="U652" s="533"/>
      <c r="V652" s="533"/>
      <c r="W652" s="533"/>
      <c r="X652" s="533"/>
      <c r="Y652" s="533"/>
      <c r="Z652" s="533"/>
      <c r="AA652" s="533"/>
      <c r="AB652" s="533"/>
      <c r="AC652" s="533"/>
    </row>
    <row r="653" spans="1:29" ht="15.75" customHeight="1">
      <c r="A653" s="533"/>
      <c r="B653" s="533"/>
      <c r="C653" s="533"/>
      <c r="D653" s="533"/>
      <c r="E653" s="533"/>
      <c r="F653" s="533"/>
      <c r="G653" s="533"/>
      <c r="H653" s="533"/>
      <c r="I653" s="533"/>
      <c r="J653" s="533"/>
      <c r="K653" s="533"/>
      <c r="L653" s="533"/>
      <c r="M653" s="533"/>
      <c r="N653" s="533"/>
      <c r="O653" s="533"/>
      <c r="P653" s="533"/>
      <c r="Q653" s="533"/>
      <c r="R653" s="533"/>
      <c r="S653" s="533"/>
      <c r="T653" s="533"/>
      <c r="U653" s="533"/>
      <c r="V653" s="533"/>
      <c r="W653" s="533"/>
      <c r="X653" s="533"/>
      <c r="Y653" s="533"/>
      <c r="Z653" s="533"/>
      <c r="AA653" s="533"/>
      <c r="AB653" s="533"/>
      <c r="AC653" s="533"/>
    </row>
    <row r="654" spans="1:29" ht="15.75" customHeight="1">
      <c r="A654" s="533"/>
      <c r="B654" s="533"/>
      <c r="C654" s="533"/>
      <c r="D654" s="533"/>
      <c r="E654" s="533"/>
      <c r="F654" s="533"/>
      <c r="G654" s="533"/>
      <c r="H654" s="533"/>
      <c r="I654" s="533"/>
      <c r="J654" s="533"/>
      <c r="K654" s="533"/>
      <c r="L654" s="533"/>
      <c r="M654" s="533"/>
      <c r="N654" s="533"/>
      <c r="O654" s="533"/>
      <c r="P654" s="533"/>
      <c r="Q654" s="533"/>
      <c r="R654" s="533"/>
      <c r="S654" s="533"/>
      <c r="T654" s="533"/>
      <c r="U654" s="533"/>
      <c r="V654" s="533"/>
      <c r="W654" s="533"/>
      <c r="X654" s="533"/>
      <c r="Y654" s="533"/>
      <c r="Z654" s="533"/>
      <c r="AA654" s="533"/>
      <c r="AB654" s="533"/>
      <c r="AC654" s="533"/>
    </row>
    <row r="655" spans="1:29" ht="15.75" customHeight="1">
      <c r="A655" s="533"/>
      <c r="B655" s="533"/>
      <c r="C655" s="533"/>
      <c r="D655" s="533"/>
      <c r="E655" s="533"/>
      <c r="F655" s="533"/>
      <c r="G655" s="533"/>
      <c r="H655" s="533"/>
      <c r="I655" s="533"/>
      <c r="J655" s="533"/>
      <c r="K655" s="533"/>
      <c r="L655" s="533"/>
      <c r="M655" s="533"/>
      <c r="N655" s="533"/>
      <c r="O655" s="533"/>
      <c r="P655" s="533"/>
      <c r="Q655" s="533"/>
      <c r="R655" s="533"/>
      <c r="S655" s="533"/>
      <c r="T655" s="533"/>
      <c r="U655" s="533"/>
      <c r="V655" s="533"/>
      <c r="W655" s="533"/>
      <c r="X655" s="533"/>
      <c r="Y655" s="533"/>
      <c r="Z655" s="533"/>
      <c r="AA655" s="533"/>
      <c r="AB655" s="533"/>
      <c r="AC655" s="533"/>
    </row>
    <row r="656" spans="1:29" ht="15.75" customHeight="1">
      <c r="A656" s="533"/>
      <c r="B656" s="533"/>
      <c r="C656" s="533"/>
      <c r="D656" s="533"/>
      <c r="E656" s="533"/>
      <c r="F656" s="533"/>
      <c r="G656" s="533"/>
      <c r="H656" s="533"/>
      <c r="I656" s="533"/>
      <c r="J656" s="533"/>
      <c r="K656" s="533"/>
      <c r="L656" s="533"/>
      <c r="M656" s="533"/>
      <c r="N656" s="533"/>
      <c r="O656" s="533"/>
      <c r="P656" s="533"/>
      <c r="Q656" s="533"/>
      <c r="R656" s="533"/>
      <c r="S656" s="533"/>
      <c r="T656" s="533"/>
      <c r="U656" s="533"/>
      <c r="V656" s="533"/>
      <c r="W656" s="533"/>
      <c r="X656" s="533"/>
      <c r="Y656" s="533"/>
      <c r="Z656" s="533"/>
      <c r="AA656" s="533"/>
      <c r="AB656" s="533"/>
      <c r="AC656" s="533"/>
    </row>
    <row r="657" spans="1:29" ht="15.75" customHeight="1">
      <c r="A657" s="533"/>
      <c r="B657" s="533"/>
      <c r="C657" s="533"/>
      <c r="D657" s="533"/>
      <c r="E657" s="533"/>
      <c r="F657" s="533"/>
      <c r="G657" s="533"/>
      <c r="H657" s="533"/>
      <c r="I657" s="533"/>
      <c r="J657" s="533"/>
      <c r="K657" s="533"/>
      <c r="L657" s="533"/>
      <c r="M657" s="533"/>
      <c r="N657" s="533"/>
      <c r="O657" s="533"/>
      <c r="P657" s="533"/>
      <c r="Q657" s="533"/>
      <c r="R657" s="533"/>
      <c r="S657" s="533"/>
      <c r="T657" s="533"/>
      <c r="U657" s="533"/>
      <c r="V657" s="533"/>
      <c r="W657" s="533"/>
      <c r="X657" s="533"/>
      <c r="Y657" s="533"/>
      <c r="Z657" s="533"/>
      <c r="AA657" s="533"/>
      <c r="AB657" s="533"/>
      <c r="AC657" s="533"/>
    </row>
    <row r="658" spans="1:29" ht="15.75" customHeight="1">
      <c r="A658" s="533"/>
      <c r="B658" s="533"/>
      <c r="C658" s="533"/>
      <c r="D658" s="533"/>
      <c r="E658" s="533"/>
      <c r="F658" s="533"/>
      <c r="G658" s="533"/>
      <c r="H658" s="533"/>
      <c r="I658" s="533"/>
      <c r="J658" s="533"/>
      <c r="K658" s="533"/>
      <c r="L658" s="533"/>
      <c r="M658" s="533"/>
      <c r="N658" s="533"/>
      <c r="O658" s="533"/>
      <c r="P658" s="533"/>
      <c r="Q658" s="533"/>
      <c r="R658" s="533"/>
      <c r="S658" s="533"/>
      <c r="T658" s="533"/>
      <c r="U658" s="533"/>
      <c r="V658" s="533"/>
      <c r="W658" s="533"/>
      <c r="X658" s="533"/>
      <c r="Y658" s="533"/>
      <c r="Z658" s="533"/>
      <c r="AA658" s="533"/>
      <c r="AB658" s="533"/>
      <c r="AC658" s="533"/>
    </row>
    <row r="659" spans="1:29" ht="15.75" customHeight="1">
      <c r="A659" s="533"/>
      <c r="B659" s="533"/>
      <c r="C659" s="533"/>
      <c r="D659" s="533"/>
      <c r="E659" s="533"/>
      <c r="F659" s="533"/>
      <c r="G659" s="533"/>
      <c r="H659" s="533"/>
      <c r="I659" s="533"/>
      <c r="J659" s="533"/>
      <c r="K659" s="533"/>
      <c r="L659" s="533"/>
      <c r="M659" s="533"/>
      <c r="N659" s="533"/>
      <c r="O659" s="533"/>
      <c r="P659" s="533"/>
      <c r="Q659" s="533"/>
      <c r="R659" s="533"/>
      <c r="S659" s="533"/>
      <c r="T659" s="533"/>
      <c r="U659" s="533"/>
      <c r="V659" s="533"/>
      <c r="W659" s="533"/>
      <c r="X659" s="533"/>
      <c r="Y659" s="533"/>
      <c r="Z659" s="533"/>
      <c r="AA659" s="533"/>
      <c r="AB659" s="533"/>
      <c r="AC659" s="533"/>
    </row>
    <row r="660" spans="1:29" ht="15.75" customHeight="1">
      <c r="A660" s="533"/>
      <c r="B660" s="533"/>
      <c r="C660" s="533"/>
      <c r="D660" s="533"/>
      <c r="E660" s="533"/>
      <c r="F660" s="533"/>
      <c r="G660" s="533"/>
      <c r="H660" s="533"/>
      <c r="I660" s="533"/>
      <c r="J660" s="533"/>
      <c r="K660" s="533"/>
      <c r="L660" s="533"/>
      <c r="M660" s="533"/>
      <c r="N660" s="533"/>
      <c r="O660" s="533"/>
      <c r="P660" s="533"/>
      <c r="Q660" s="533"/>
      <c r="R660" s="533"/>
      <c r="S660" s="533"/>
      <c r="T660" s="533"/>
      <c r="U660" s="533"/>
      <c r="V660" s="533"/>
      <c r="W660" s="533"/>
      <c r="X660" s="533"/>
      <c r="Y660" s="533"/>
      <c r="Z660" s="533"/>
      <c r="AA660" s="533"/>
      <c r="AB660" s="533"/>
      <c r="AC660" s="533"/>
    </row>
    <row r="661" spans="1:29" ht="15.75" customHeight="1">
      <c r="A661" s="533"/>
      <c r="B661" s="533"/>
      <c r="C661" s="533"/>
      <c r="D661" s="533"/>
      <c r="E661" s="533"/>
      <c r="F661" s="533"/>
      <c r="G661" s="533"/>
      <c r="H661" s="533"/>
      <c r="I661" s="533"/>
      <c r="J661" s="533"/>
      <c r="K661" s="533"/>
      <c r="L661" s="533"/>
      <c r="M661" s="533"/>
      <c r="N661" s="533"/>
      <c r="O661" s="533"/>
      <c r="P661" s="533"/>
      <c r="Q661" s="533"/>
      <c r="R661" s="533"/>
      <c r="S661" s="533"/>
      <c r="T661" s="533"/>
      <c r="U661" s="533"/>
      <c r="V661" s="533"/>
      <c r="W661" s="533"/>
      <c r="X661" s="533"/>
      <c r="Y661" s="533"/>
      <c r="Z661" s="533"/>
      <c r="AA661" s="533"/>
      <c r="AB661" s="533"/>
      <c r="AC661" s="533"/>
    </row>
    <row r="662" spans="1:29" ht="15.75" customHeight="1">
      <c r="A662" s="533"/>
      <c r="B662" s="533"/>
      <c r="C662" s="533"/>
      <c r="D662" s="533"/>
      <c r="E662" s="533"/>
      <c r="F662" s="533"/>
      <c r="G662" s="533"/>
      <c r="H662" s="533"/>
      <c r="I662" s="533"/>
      <c r="J662" s="533"/>
      <c r="K662" s="533"/>
      <c r="L662" s="533"/>
      <c r="M662" s="533"/>
      <c r="N662" s="533"/>
      <c r="O662" s="533"/>
      <c r="P662" s="533"/>
      <c r="Q662" s="533"/>
      <c r="R662" s="533"/>
      <c r="S662" s="533"/>
      <c r="T662" s="533"/>
      <c r="U662" s="533"/>
      <c r="V662" s="533"/>
      <c r="W662" s="533"/>
      <c r="X662" s="533"/>
      <c r="Y662" s="533"/>
      <c r="Z662" s="533"/>
      <c r="AA662" s="533"/>
      <c r="AB662" s="533"/>
      <c r="AC662" s="533"/>
    </row>
    <row r="663" spans="1:29" ht="15.75" customHeight="1">
      <c r="A663" s="533"/>
      <c r="B663" s="533"/>
      <c r="C663" s="533"/>
      <c r="D663" s="533"/>
      <c r="E663" s="533"/>
      <c r="F663" s="533"/>
      <c r="G663" s="533"/>
      <c r="H663" s="533"/>
      <c r="I663" s="533"/>
      <c r="J663" s="533"/>
      <c r="K663" s="533"/>
      <c r="L663" s="533"/>
      <c r="M663" s="533"/>
      <c r="N663" s="533"/>
      <c r="O663" s="533"/>
      <c r="P663" s="533"/>
      <c r="Q663" s="533"/>
      <c r="R663" s="533"/>
      <c r="S663" s="533"/>
      <c r="T663" s="533"/>
      <c r="U663" s="533"/>
      <c r="V663" s="533"/>
      <c r="W663" s="533"/>
      <c r="X663" s="533"/>
      <c r="Y663" s="533"/>
      <c r="Z663" s="533"/>
      <c r="AA663" s="533"/>
      <c r="AB663" s="533"/>
      <c r="AC663" s="533"/>
    </row>
    <row r="664" spans="1:29" ht="15.75" customHeight="1">
      <c r="A664" s="533"/>
      <c r="B664" s="533"/>
      <c r="C664" s="533"/>
      <c r="D664" s="533"/>
      <c r="E664" s="533"/>
      <c r="F664" s="533"/>
      <c r="G664" s="533"/>
      <c r="H664" s="533"/>
      <c r="I664" s="533"/>
      <c r="J664" s="533"/>
      <c r="K664" s="533"/>
      <c r="L664" s="533"/>
      <c r="M664" s="533"/>
      <c r="N664" s="533"/>
      <c r="O664" s="533"/>
      <c r="P664" s="533"/>
      <c r="Q664" s="533"/>
      <c r="R664" s="533"/>
      <c r="S664" s="533"/>
      <c r="T664" s="533"/>
      <c r="U664" s="533"/>
      <c r="V664" s="533"/>
      <c r="W664" s="533"/>
      <c r="X664" s="533"/>
      <c r="Y664" s="533"/>
      <c r="Z664" s="533"/>
      <c r="AA664" s="533"/>
      <c r="AB664" s="533"/>
      <c r="AC664" s="533"/>
    </row>
    <row r="665" spans="1:29" ht="15.75" customHeight="1">
      <c r="A665" s="533"/>
      <c r="B665" s="533"/>
      <c r="C665" s="533"/>
      <c r="D665" s="533"/>
      <c r="E665" s="533"/>
      <c r="F665" s="533"/>
      <c r="G665" s="533"/>
      <c r="H665" s="533"/>
      <c r="I665" s="533"/>
      <c r="J665" s="533"/>
      <c r="K665" s="533"/>
      <c r="L665" s="533"/>
      <c r="M665" s="533"/>
      <c r="N665" s="533"/>
      <c r="O665" s="533"/>
      <c r="P665" s="533"/>
      <c r="Q665" s="533"/>
      <c r="R665" s="533"/>
      <c r="S665" s="533"/>
      <c r="T665" s="533"/>
      <c r="U665" s="533"/>
      <c r="V665" s="533"/>
      <c r="W665" s="533"/>
      <c r="X665" s="533"/>
      <c r="Y665" s="533"/>
      <c r="Z665" s="533"/>
      <c r="AA665" s="533"/>
      <c r="AB665" s="533"/>
      <c r="AC665" s="533"/>
    </row>
    <row r="666" spans="1:29" ht="15.75" customHeight="1">
      <c r="A666" s="533"/>
      <c r="B666" s="533"/>
      <c r="C666" s="533"/>
      <c r="D666" s="533"/>
      <c r="E666" s="533"/>
      <c r="F666" s="533"/>
      <c r="G666" s="533"/>
      <c r="H666" s="533"/>
      <c r="I666" s="533"/>
      <c r="J666" s="533"/>
      <c r="K666" s="533"/>
      <c r="L666" s="533"/>
      <c r="M666" s="533"/>
      <c r="N666" s="533"/>
      <c r="O666" s="533"/>
      <c r="P666" s="533"/>
      <c r="Q666" s="533"/>
      <c r="R666" s="533"/>
      <c r="S666" s="533"/>
      <c r="T666" s="533"/>
      <c r="U666" s="533"/>
      <c r="V666" s="533"/>
      <c r="W666" s="533"/>
      <c r="X666" s="533"/>
      <c r="Y666" s="533"/>
      <c r="Z666" s="533"/>
      <c r="AA666" s="533"/>
      <c r="AB666" s="533"/>
      <c r="AC666" s="533"/>
    </row>
    <row r="667" spans="1:29" ht="15.75" customHeight="1">
      <c r="A667" s="533"/>
      <c r="B667" s="533"/>
      <c r="C667" s="533"/>
      <c r="D667" s="533"/>
      <c r="E667" s="533"/>
      <c r="F667" s="533"/>
      <c r="G667" s="533"/>
      <c r="H667" s="533"/>
      <c r="I667" s="533"/>
      <c r="J667" s="533"/>
      <c r="K667" s="533"/>
      <c r="L667" s="533"/>
      <c r="M667" s="533"/>
      <c r="N667" s="533"/>
      <c r="O667" s="533"/>
      <c r="P667" s="533"/>
      <c r="Q667" s="533"/>
      <c r="R667" s="533"/>
      <c r="S667" s="533"/>
      <c r="T667" s="533"/>
      <c r="U667" s="533"/>
      <c r="V667" s="533"/>
      <c r="W667" s="533"/>
      <c r="X667" s="533"/>
      <c r="Y667" s="533"/>
      <c r="Z667" s="533"/>
      <c r="AA667" s="533"/>
      <c r="AB667" s="533"/>
      <c r="AC667" s="533"/>
    </row>
    <row r="668" spans="1:29" ht="15.75" customHeight="1">
      <c r="A668" s="533"/>
      <c r="B668" s="533"/>
      <c r="C668" s="533"/>
      <c r="D668" s="533"/>
      <c r="E668" s="533"/>
      <c r="F668" s="533"/>
      <c r="G668" s="533"/>
      <c r="H668" s="533"/>
      <c r="I668" s="533"/>
      <c r="J668" s="533"/>
      <c r="K668" s="533"/>
      <c r="L668" s="533"/>
      <c r="M668" s="533"/>
      <c r="N668" s="533"/>
      <c r="O668" s="533"/>
      <c r="P668" s="533"/>
      <c r="Q668" s="533"/>
      <c r="R668" s="533"/>
      <c r="S668" s="533"/>
      <c r="T668" s="533"/>
      <c r="U668" s="533"/>
      <c r="V668" s="533"/>
      <c r="W668" s="533"/>
      <c r="X668" s="533"/>
      <c r="Y668" s="533"/>
      <c r="Z668" s="533"/>
      <c r="AA668" s="533"/>
      <c r="AB668" s="533"/>
      <c r="AC668" s="533"/>
    </row>
    <row r="669" spans="1:29" ht="15.75" customHeight="1">
      <c r="A669" s="533"/>
      <c r="B669" s="533"/>
      <c r="C669" s="533"/>
      <c r="D669" s="533"/>
      <c r="E669" s="533"/>
      <c r="F669" s="533"/>
      <c r="G669" s="533"/>
      <c r="H669" s="533"/>
      <c r="I669" s="533"/>
      <c r="J669" s="533"/>
      <c r="K669" s="533"/>
      <c r="L669" s="533"/>
      <c r="M669" s="533"/>
      <c r="N669" s="533"/>
      <c r="O669" s="533"/>
      <c r="P669" s="533"/>
      <c r="Q669" s="533"/>
      <c r="R669" s="533"/>
      <c r="S669" s="533"/>
      <c r="T669" s="533"/>
      <c r="U669" s="533"/>
      <c r="V669" s="533"/>
      <c r="W669" s="533"/>
      <c r="X669" s="533"/>
      <c r="Y669" s="533"/>
      <c r="Z669" s="533"/>
      <c r="AA669" s="533"/>
      <c r="AB669" s="533"/>
      <c r="AC669" s="533"/>
    </row>
    <row r="670" spans="1:29" ht="15.75" customHeight="1">
      <c r="A670" s="533"/>
      <c r="B670" s="533"/>
      <c r="C670" s="533"/>
      <c r="D670" s="533"/>
      <c r="E670" s="533"/>
      <c r="F670" s="533"/>
      <c r="G670" s="533"/>
      <c r="H670" s="533"/>
      <c r="I670" s="533"/>
      <c r="J670" s="533"/>
      <c r="K670" s="533"/>
      <c r="L670" s="533"/>
      <c r="M670" s="533"/>
      <c r="N670" s="533"/>
      <c r="O670" s="533"/>
      <c r="P670" s="533"/>
      <c r="Q670" s="533"/>
      <c r="R670" s="533"/>
      <c r="S670" s="533"/>
      <c r="T670" s="533"/>
      <c r="U670" s="533"/>
      <c r="V670" s="533"/>
      <c r="W670" s="533"/>
      <c r="X670" s="533"/>
      <c r="Y670" s="533"/>
      <c r="Z670" s="533"/>
      <c r="AA670" s="533"/>
      <c r="AB670" s="533"/>
      <c r="AC670" s="533"/>
    </row>
    <row r="671" spans="1:29" ht="15.75" customHeight="1">
      <c r="A671" s="533"/>
      <c r="B671" s="533"/>
      <c r="C671" s="533"/>
      <c r="D671" s="533"/>
      <c r="E671" s="533"/>
      <c r="F671" s="533"/>
      <c r="G671" s="533"/>
      <c r="H671" s="533"/>
      <c r="I671" s="533"/>
      <c r="J671" s="533"/>
      <c r="K671" s="533"/>
      <c r="L671" s="533"/>
      <c r="M671" s="533"/>
      <c r="N671" s="533"/>
      <c r="O671" s="533"/>
      <c r="P671" s="533"/>
      <c r="Q671" s="533"/>
      <c r="R671" s="533"/>
      <c r="S671" s="533"/>
      <c r="T671" s="533"/>
      <c r="U671" s="533"/>
      <c r="V671" s="533"/>
      <c r="W671" s="533"/>
      <c r="X671" s="533"/>
      <c r="Y671" s="533"/>
      <c r="Z671" s="533"/>
      <c r="AA671" s="533"/>
      <c r="AB671" s="533"/>
      <c r="AC671" s="533"/>
    </row>
    <row r="672" spans="1:29" ht="15.75" customHeight="1">
      <c r="A672" s="533"/>
      <c r="B672" s="533"/>
      <c r="C672" s="533"/>
      <c r="D672" s="533"/>
      <c r="E672" s="533"/>
      <c r="F672" s="533"/>
      <c r="G672" s="533"/>
      <c r="H672" s="533"/>
      <c r="I672" s="533"/>
      <c r="J672" s="533"/>
      <c r="K672" s="533"/>
      <c r="L672" s="533"/>
      <c r="M672" s="533"/>
      <c r="N672" s="533"/>
      <c r="O672" s="533"/>
      <c r="P672" s="533"/>
      <c r="Q672" s="533"/>
      <c r="R672" s="533"/>
      <c r="S672" s="533"/>
      <c r="T672" s="533"/>
      <c r="U672" s="533"/>
      <c r="V672" s="533"/>
      <c r="W672" s="533"/>
      <c r="X672" s="533"/>
      <c r="Y672" s="533"/>
      <c r="Z672" s="533"/>
      <c r="AA672" s="533"/>
      <c r="AB672" s="533"/>
      <c r="AC672" s="533"/>
    </row>
    <row r="673" spans="1:29" ht="15.75" customHeight="1">
      <c r="A673" s="533"/>
      <c r="B673" s="533"/>
      <c r="C673" s="533"/>
      <c r="D673" s="533"/>
      <c r="E673" s="533"/>
      <c r="F673" s="533"/>
      <c r="G673" s="533"/>
      <c r="H673" s="533"/>
      <c r="I673" s="533"/>
      <c r="J673" s="533"/>
      <c r="K673" s="533"/>
      <c r="L673" s="533"/>
      <c r="M673" s="533"/>
      <c r="N673" s="533"/>
      <c r="O673" s="533"/>
      <c r="P673" s="533"/>
      <c r="Q673" s="533"/>
      <c r="R673" s="533"/>
      <c r="S673" s="533"/>
      <c r="T673" s="533"/>
      <c r="U673" s="533"/>
      <c r="V673" s="533"/>
      <c r="W673" s="533"/>
      <c r="X673" s="533"/>
      <c r="Y673" s="533"/>
      <c r="Z673" s="533"/>
      <c r="AA673" s="533"/>
      <c r="AB673" s="533"/>
      <c r="AC673" s="533"/>
    </row>
    <row r="674" spans="1:29" ht="15.75" customHeight="1">
      <c r="A674" s="533"/>
      <c r="B674" s="533"/>
      <c r="C674" s="533"/>
      <c r="D674" s="533"/>
      <c r="E674" s="533"/>
      <c r="F674" s="533"/>
      <c r="G674" s="533"/>
      <c r="H674" s="533"/>
      <c r="I674" s="533"/>
      <c r="J674" s="533"/>
      <c r="K674" s="533"/>
      <c r="L674" s="533"/>
      <c r="M674" s="533"/>
      <c r="N674" s="533"/>
      <c r="O674" s="533"/>
      <c r="P674" s="533"/>
      <c r="Q674" s="533"/>
      <c r="R674" s="533"/>
      <c r="S674" s="533"/>
      <c r="T674" s="533"/>
      <c r="U674" s="533"/>
      <c r="V674" s="533"/>
      <c r="W674" s="533"/>
      <c r="X674" s="533"/>
      <c r="Y674" s="533"/>
      <c r="Z674" s="533"/>
      <c r="AA674" s="533"/>
      <c r="AB674" s="533"/>
      <c r="AC674" s="533"/>
    </row>
    <row r="675" spans="1:29" ht="15.75" customHeight="1">
      <c r="A675" s="533"/>
      <c r="B675" s="533"/>
      <c r="C675" s="533"/>
      <c r="D675" s="533"/>
      <c r="E675" s="533"/>
      <c r="F675" s="533"/>
      <c r="G675" s="533"/>
      <c r="H675" s="533"/>
      <c r="I675" s="533"/>
      <c r="J675" s="533"/>
      <c r="K675" s="533"/>
      <c r="L675" s="533"/>
      <c r="M675" s="533"/>
      <c r="N675" s="533"/>
      <c r="O675" s="533"/>
      <c r="P675" s="533"/>
      <c r="Q675" s="533"/>
      <c r="R675" s="533"/>
      <c r="S675" s="533"/>
      <c r="T675" s="533"/>
      <c r="U675" s="533"/>
      <c r="V675" s="533"/>
      <c r="W675" s="533"/>
      <c r="X675" s="533"/>
      <c r="Y675" s="533"/>
      <c r="Z675" s="533"/>
      <c r="AA675" s="533"/>
      <c r="AB675" s="533"/>
      <c r="AC675" s="533"/>
    </row>
    <row r="676" spans="1:29" ht="15.75" customHeight="1">
      <c r="A676" s="533"/>
      <c r="B676" s="533"/>
      <c r="C676" s="533"/>
      <c r="D676" s="533"/>
      <c r="E676" s="533"/>
      <c r="F676" s="533"/>
      <c r="G676" s="533"/>
      <c r="H676" s="533"/>
      <c r="I676" s="533"/>
      <c r="J676" s="533"/>
      <c r="K676" s="533"/>
      <c r="L676" s="533"/>
      <c r="M676" s="533"/>
      <c r="N676" s="533"/>
      <c r="O676" s="533"/>
      <c r="P676" s="533"/>
      <c r="Q676" s="533"/>
      <c r="R676" s="533"/>
      <c r="S676" s="533"/>
      <c r="T676" s="533"/>
      <c r="U676" s="533"/>
      <c r="V676" s="533"/>
      <c r="W676" s="533"/>
      <c r="X676" s="533"/>
      <c r="Y676" s="533"/>
      <c r="Z676" s="533"/>
      <c r="AA676" s="533"/>
      <c r="AB676" s="533"/>
      <c r="AC676" s="533"/>
    </row>
    <row r="677" spans="1:29" ht="15.75" customHeight="1">
      <c r="A677" s="533"/>
      <c r="B677" s="533"/>
      <c r="C677" s="533"/>
      <c r="D677" s="533"/>
      <c r="E677" s="533"/>
      <c r="F677" s="533"/>
      <c r="G677" s="533"/>
      <c r="H677" s="533"/>
      <c r="I677" s="533"/>
      <c r="J677" s="533"/>
      <c r="K677" s="533"/>
      <c r="L677" s="533"/>
      <c r="M677" s="533"/>
      <c r="N677" s="533"/>
      <c r="O677" s="533"/>
      <c r="P677" s="533"/>
      <c r="Q677" s="533"/>
      <c r="R677" s="533"/>
      <c r="S677" s="533"/>
      <c r="T677" s="533"/>
      <c r="U677" s="533"/>
      <c r="V677" s="533"/>
      <c r="W677" s="533"/>
      <c r="X677" s="533"/>
      <c r="Y677" s="533"/>
      <c r="Z677" s="533"/>
      <c r="AA677" s="533"/>
      <c r="AB677" s="533"/>
      <c r="AC677" s="533"/>
    </row>
    <row r="678" spans="1:29" ht="15.75" customHeight="1">
      <c r="A678" s="533"/>
      <c r="B678" s="533"/>
      <c r="C678" s="533"/>
      <c r="D678" s="533"/>
      <c r="E678" s="533"/>
      <c r="F678" s="533"/>
      <c r="G678" s="533"/>
      <c r="H678" s="533"/>
      <c r="I678" s="533"/>
      <c r="J678" s="533"/>
      <c r="K678" s="533"/>
      <c r="L678" s="533"/>
      <c r="M678" s="533"/>
      <c r="N678" s="533"/>
      <c r="O678" s="533"/>
      <c r="P678" s="533"/>
      <c r="Q678" s="533"/>
      <c r="R678" s="533"/>
      <c r="S678" s="533"/>
      <c r="T678" s="533"/>
      <c r="U678" s="533"/>
      <c r="V678" s="533"/>
      <c r="W678" s="533"/>
      <c r="X678" s="533"/>
      <c r="Y678" s="533"/>
      <c r="Z678" s="533"/>
      <c r="AA678" s="533"/>
      <c r="AB678" s="533"/>
      <c r="AC678" s="533"/>
    </row>
    <row r="679" spans="1:29" ht="15.75" customHeight="1">
      <c r="A679" s="533"/>
      <c r="B679" s="533"/>
      <c r="C679" s="533"/>
      <c r="D679" s="533"/>
      <c r="E679" s="533"/>
      <c r="F679" s="533"/>
      <c r="G679" s="533"/>
      <c r="H679" s="533"/>
      <c r="I679" s="533"/>
      <c r="J679" s="533"/>
      <c r="K679" s="533"/>
      <c r="L679" s="533"/>
      <c r="M679" s="533"/>
      <c r="N679" s="533"/>
      <c r="O679" s="533"/>
      <c r="P679" s="533"/>
      <c r="Q679" s="533"/>
      <c r="R679" s="533"/>
      <c r="S679" s="533"/>
      <c r="T679" s="533"/>
      <c r="U679" s="533"/>
      <c r="V679" s="533"/>
      <c r="W679" s="533"/>
      <c r="X679" s="533"/>
      <c r="Y679" s="533"/>
      <c r="Z679" s="533"/>
      <c r="AA679" s="533"/>
      <c r="AB679" s="533"/>
      <c r="AC679" s="533"/>
    </row>
    <row r="680" spans="1:29" ht="15.75" customHeight="1">
      <c r="A680" s="533"/>
      <c r="B680" s="533"/>
      <c r="C680" s="533"/>
      <c r="D680" s="533"/>
      <c r="E680" s="533"/>
      <c r="F680" s="533"/>
      <c r="G680" s="533"/>
      <c r="H680" s="533"/>
      <c r="I680" s="533"/>
      <c r="J680" s="533"/>
      <c r="K680" s="533"/>
      <c r="L680" s="533"/>
      <c r="M680" s="533"/>
      <c r="N680" s="533"/>
      <c r="O680" s="533"/>
      <c r="P680" s="533"/>
      <c r="Q680" s="533"/>
      <c r="R680" s="533"/>
      <c r="S680" s="533"/>
      <c r="T680" s="533"/>
      <c r="U680" s="533"/>
      <c r="V680" s="533"/>
      <c r="W680" s="533"/>
      <c r="X680" s="533"/>
      <c r="Y680" s="533"/>
      <c r="Z680" s="533"/>
      <c r="AA680" s="533"/>
      <c r="AB680" s="533"/>
      <c r="AC680" s="533"/>
    </row>
    <row r="681" spans="1:29" ht="15.75" customHeight="1">
      <c r="A681" s="533"/>
      <c r="B681" s="533"/>
      <c r="C681" s="533"/>
      <c r="D681" s="533"/>
      <c r="E681" s="533"/>
      <c r="F681" s="533"/>
      <c r="G681" s="533"/>
      <c r="H681" s="533"/>
      <c r="I681" s="533"/>
      <c r="J681" s="533"/>
      <c r="K681" s="533"/>
      <c r="L681" s="533"/>
      <c r="M681" s="533"/>
      <c r="N681" s="533"/>
      <c r="O681" s="533"/>
      <c r="P681" s="533"/>
      <c r="Q681" s="533"/>
      <c r="R681" s="533"/>
      <c r="S681" s="533"/>
      <c r="T681" s="533"/>
      <c r="U681" s="533"/>
      <c r="V681" s="533"/>
      <c r="W681" s="533"/>
      <c r="X681" s="533"/>
      <c r="Y681" s="533"/>
      <c r="Z681" s="533"/>
      <c r="AA681" s="533"/>
      <c r="AB681" s="533"/>
      <c r="AC681" s="533"/>
    </row>
    <row r="682" spans="1:29" ht="15.75" customHeight="1">
      <c r="A682" s="533"/>
      <c r="B682" s="533"/>
      <c r="C682" s="533"/>
      <c r="D682" s="533"/>
      <c r="E682" s="533"/>
      <c r="F682" s="533"/>
      <c r="G682" s="533"/>
      <c r="H682" s="533"/>
      <c r="I682" s="533"/>
      <c r="J682" s="533"/>
      <c r="K682" s="533"/>
      <c r="L682" s="533"/>
      <c r="M682" s="533"/>
      <c r="N682" s="533"/>
      <c r="O682" s="533"/>
      <c r="P682" s="533"/>
      <c r="Q682" s="533"/>
      <c r="R682" s="533"/>
      <c r="S682" s="533"/>
      <c r="T682" s="533"/>
      <c r="U682" s="533"/>
      <c r="V682" s="533"/>
      <c r="W682" s="533"/>
      <c r="X682" s="533"/>
      <c r="Y682" s="533"/>
      <c r="Z682" s="533"/>
      <c r="AA682" s="533"/>
      <c r="AB682" s="533"/>
      <c r="AC682" s="533"/>
    </row>
    <row r="683" spans="1:29" ht="15.75" customHeight="1">
      <c r="A683" s="533"/>
      <c r="B683" s="533"/>
      <c r="C683" s="533"/>
      <c r="D683" s="533"/>
      <c r="E683" s="533"/>
      <c r="F683" s="533"/>
      <c r="G683" s="533"/>
      <c r="H683" s="533"/>
      <c r="I683" s="533"/>
      <c r="J683" s="533"/>
      <c r="K683" s="533"/>
      <c r="L683" s="533"/>
      <c r="M683" s="533"/>
      <c r="N683" s="533"/>
      <c r="O683" s="533"/>
      <c r="P683" s="533"/>
      <c r="Q683" s="533"/>
      <c r="R683" s="533"/>
      <c r="S683" s="533"/>
      <c r="T683" s="533"/>
      <c r="U683" s="533"/>
      <c r="V683" s="533"/>
      <c r="W683" s="533"/>
      <c r="X683" s="533"/>
      <c r="Y683" s="533"/>
      <c r="Z683" s="533"/>
      <c r="AA683" s="533"/>
      <c r="AB683" s="533"/>
      <c r="AC683" s="533"/>
    </row>
    <row r="684" spans="1:29" ht="15.75" customHeight="1">
      <c r="A684" s="533"/>
      <c r="B684" s="533"/>
      <c r="C684" s="533"/>
      <c r="D684" s="533"/>
      <c r="E684" s="533"/>
      <c r="F684" s="533"/>
      <c r="G684" s="533"/>
      <c r="H684" s="533"/>
      <c r="I684" s="533"/>
      <c r="J684" s="533"/>
      <c r="K684" s="533"/>
      <c r="L684" s="533"/>
      <c r="M684" s="533"/>
      <c r="N684" s="533"/>
      <c r="O684" s="533"/>
      <c r="P684" s="533"/>
      <c r="Q684" s="533"/>
      <c r="R684" s="533"/>
      <c r="S684" s="533"/>
      <c r="T684" s="533"/>
      <c r="U684" s="533"/>
      <c r="V684" s="533"/>
      <c r="W684" s="533"/>
      <c r="X684" s="533"/>
      <c r="Y684" s="533"/>
      <c r="Z684" s="533"/>
      <c r="AA684" s="533"/>
      <c r="AB684" s="533"/>
      <c r="AC684" s="533"/>
    </row>
    <row r="685" spans="1:29" ht="15.75" customHeight="1">
      <c r="A685" s="533"/>
      <c r="B685" s="533"/>
      <c r="C685" s="533"/>
      <c r="D685" s="533"/>
      <c r="E685" s="533"/>
      <c r="F685" s="533"/>
      <c r="G685" s="533"/>
      <c r="H685" s="533"/>
      <c r="I685" s="533"/>
      <c r="J685" s="533"/>
      <c r="K685" s="533"/>
      <c r="L685" s="533"/>
      <c r="M685" s="533"/>
      <c r="N685" s="533"/>
      <c r="O685" s="533"/>
      <c r="P685" s="533"/>
      <c r="Q685" s="533"/>
      <c r="R685" s="533"/>
      <c r="S685" s="533"/>
      <c r="T685" s="533"/>
      <c r="U685" s="533"/>
      <c r="V685" s="533"/>
      <c r="W685" s="533"/>
      <c r="X685" s="533"/>
      <c r="Y685" s="533"/>
      <c r="Z685" s="533"/>
      <c r="AA685" s="533"/>
      <c r="AB685" s="533"/>
      <c r="AC685" s="533"/>
    </row>
    <row r="686" spans="1:29" ht="15.75" customHeight="1">
      <c r="A686" s="533"/>
      <c r="B686" s="533"/>
      <c r="C686" s="533"/>
      <c r="D686" s="533"/>
      <c r="E686" s="533"/>
      <c r="F686" s="533"/>
      <c r="G686" s="533"/>
      <c r="H686" s="533"/>
      <c r="I686" s="533"/>
      <c r="J686" s="533"/>
      <c r="K686" s="533"/>
      <c r="L686" s="533"/>
      <c r="M686" s="533"/>
      <c r="N686" s="533"/>
      <c r="O686" s="533"/>
      <c r="P686" s="533"/>
      <c r="Q686" s="533"/>
      <c r="R686" s="533"/>
      <c r="S686" s="533"/>
      <c r="T686" s="533"/>
      <c r="U686" s="533"/>
      <c r="V686" s="533"/>
      <c r="W686" s="533"/>
      <c r="X686" s="533"/>
      <c r="Y686" s="533"/>
      <c r="Z686" s="533"/>
      <c r="AA686" s="533"/>
      <c r="AB686" s="533"/>
      <c r="AC686" s="533"/>
    </row>
    <row r="687" spans="1:29" ht="15.75" customHeight="1">
      <c r="A687" s="533"/>
      <c r="B687" s="533"/>
      <c r="C687" s="533"/>
      <c r="D687" s="533"/>
      <c r="E687" s="533"/>
      <c r="F687" s="533"/>
      <c r="G687" s="533"/>
      <c r="H687" s="533"/>
      <c r="I687" s="533"/>
      <c r="J687" s="533"/>
      <c r="K687" s="533"/>
      <c r="L687" s="533"/>
      <c r="M687" s="533"/>
      <c r="N687" s="533"/>
      <c r="O687" s="533"/>
      <c r="P687" s="533"/>
      <c r="Q687" s="533"/>
      <c r="R687" s="533"/>
      <c r="S687" s="533"/>
      <c r="T687" s="533"/>
      <c r="U687" s="533"/>
      <c r="V687" s="533"/>
      <c r="W687" s="533"/>
      <c r="X687" s="533"/>
      <c r="Y687" s="533"/>
      <c r="Z687" s="533"/>
      <c r="AA687" s="533"/>
      <c r="AB687" s="533"/>
      <c r="AC687" s="533"/>
    </row>
    <row r="688" spans="1:29" ht="15.75" customHeight="1">
      <c r="A688" s="533"/>
      <c r="B688" s="533"/>
      <c r="C688" s="533"/>
      <c r="D688" s="533"/>
      <c r="E688" s="533"/>
      <c r="F688" s="533"/>
      <c r="G688" s="533"/>
      <c r="H688" s="533"/>
      <c r="I688" s="533"/>
      <c r="J688" s="533"/>
      <c r="K688" s="533"/>
      <c r="L688" s="533"/>
      <c r="M688" s="533"/>
      <c r="N688" s="533"/>
      <c r="O688" s="533"/>
      <c r="P688" s="533"/>
      <c r="Q688" s="533"/>
      <c r="R688" s="533"/>
      <c r="S688" s="533"/>
      <c r="T688" s="533"/>
      <c r="U688" s="533"/>
      <c r="V688" s="533"/>
      <c r="W688" s="533"/>
      <c r="X688" s="533"/>
      <c r="Y688" s="533"/>
      <c r="Z688" s="533"/>
      <c r="AA688" s="533"/>
      <c r="AB688" s="533"/>
      <c r="AC688" s="533"/>
    </row>
    <row r="689" spans="1:29" ht="15.75" customHeight="1">
      <c r="A689" s="533"/>
      <c r="B689" s="533"/>
      <c r="C689" s="533"/>
      <c r="D689" s="533"/>
      <c r="E689" s="533"/>
      <c r="F689" s="533"/>
      <c r="G689" s="533"/>
      <c r="H689" s="533"/>
      <c r="I689" s="533"/>
      <c r="J689" s="533"/>
      <c r="K689" s="533"/>
      <c r="L689" s="533"/>
      <c r="M689" s="533"/>
      <c r="N689" s="533"/>
      <c r="O689" s="533"/>
      <c r="P689" s="533"/>
      <c r="Q689" s="533"/>
      <c r="R689" s="533"/>
      <c r="S689" s="533"/>
      <c r="T689" s="533"/>
      <c r="U689" s="533"/>
      <c r="V689" s="533"/>
      <c r="W689" s="533"/>
      <c r="X689" s="533"/>
      <c r="Y689" s="533"/>
      <c r="Z689" s="533"/>
      <c r="AA689" s="533"/>
      <c r="AB689" s="533"/>
      <c r="AC689" s="533"/>
    </row>
    <row r="690" spans="1:29" ht="15.75" customHeight="1">
      <c r="A690" s="533"/>
      <c r="B690" s="533"/>
      <c r="C690" s="533"/>
      <c r="D690" s="533"/>
      <c r="E690" s="533"/>
      <c r="F690" s="533"/>
      <c r="G690" s="533"/>
      <c r="H690" s="533"/>
      <c r="I690" s="533"/>
      <c r="J690" s="533"/>
      <c r="K690" s="533"/>
      <c r="L690" s="533"/>
      <c r="M690" s="533"/>
      <c r="N690" s="533"/>
      <c r="O690" s="533"/>
      <c r="P690" s="533"/>
      <c r="Q690" s="533"/>
      <c r="R690" s="533"/>
      <c r="S690" s="533"/>
      <c r="T690" s="533"/>
      <c r="U690" s="533"/>
      <c r="V690" s="533"/>
      <c r="W690" s="533"/>
      <c r="X690" s="533"/>
      <c r="Y690" s="533"/>
      <c r="Z690" s="533"/>
      <c r="AA690" s="533"/>
      <c r="AB690" s="533"/>
      <c r="AC690" s="533"/>
    </row>
    <row r="691" spans="1:29" ht="15.75" customHeight="1">
      <c r="A691" s="533"/>
      <c r="B691" s="533"/>
      <c r="C691" s="533"/>
      <c r="D691" s="533"/>
      <c r="E691" s="533"/>
      <c r="F691" s="533"/>
      <c r="G691" s="533"/>
      <c r="H691" s="533"/>
      <c r="I691" s="533"/>
      <c r="J691" s="533"/>
      <c r="K691" s="533"/>
      <c r="L691" s="533"/>
      <c r="M691" s="533"/>
      <c r="N691" s="533"/>
      <c r="O691" s="533"/>
      <c r="P691" s="533"/>
      <c r="Q691" s="533"/>
      <c r="R691" s="533"/>
      <c r="S691" s="533"/>
      <c r="T691" s="533"/>
      <c r="U691" s="533"/>
      <c r="V691" s="533"/>
      <c r="W691" s="533"/>
      <c r="X691" s="533"/>
      <c r="Y691" s="533"/>
      <c r="Z691" s="533"/>
      <c r="AA691" s="533"/>
      <c r="AB691" s="533"/>
      <c r="AC691" s="533"/>
    </row>
    <row r="692" spans="1:29" ht="15.75" customHeight="1">
      <c r="A692" s="533"/>
      <c r="B692" s="533"/>
      <c r="C692" s="533"/>
      <c r="D692" s="533"/>
      <c r="E692" s="533"/>
      <c r="F692" s="533"/>
      <c r="G692" s="533"/>
      <c r="H692" s="533"/>
      <c r="I692" s="533"/>
      <c r="J692" s="533"/>
      <c r="K692" s="533"/>
      <c r="L692" s="533"/>
      <c r="M692" s="533"/>
      <c r="N692" s="533"/>
      <c r="O692" s="533"/>
      <c r="P692" s="533"/>
      <c r="Q692" s="533"/>
      <c r="R692" s="533"/>
      <c r="S692" s="533"/>
      <c r="T692" s="533"/>
      <c r="U692" s="533"/>
      <c r="V692" s="533"/>
      <c r="W692" s="533"/>
      <c r="X692" s="533"/>
      <c r="Y692" s="533"/>
      <c r="Z692" s="533"/>
      <c r="AA692" s="533"/>
      <c r="AB692" s="533"/>
      <c r="AC692" s="533"/>
    </row>
    <row r="693" spans="1:29" ht="15.75" customHeight="1">
      <c r="A693" s="533"/>
      <c r="B693" s="533"/>
      <c r="C693" s="533"/>
      <c r="D693" s="533"/>
      <c r="E693" s="533"/>
      <c r="F693" s="533"/>
      <c r="G693" s="533"/>
      <c r="H693" s="533"/>
      <c r="I693" s="533"/>
      <c r="J693" s="533"/>
      <c r="K693" s="533"/>
      <c r="L693" s="533"/>
      <c r="M693" s="533"/>
      <c r="N693" s="533"/>
      <c r="O693" s="533"/>
      <c r="P693" s="533"/>
      <c r="Q693" s="533"/>
      <c r="R693" s="533"/>
      <c r="S693" s="533"/>
      <c r="T693" s="533"/>
      <c r="U693" s="533"/>
      <c r="V693" s="533"/>
      <c r="W693" s="533"/>
      <c r="X693" s="533"/>
      <c r="Y693" s="533"/>
      <c r="Z693" s="533"/>
      <c r="AA693" s="533"/>
      <c r="AB693" s="533"/>
      <c r="AC693" s="533"/>
    </row>
    <row r="694" spans="1:29" ht="15.75" customHeight="1">
      <c r="A694" s="533"/>
      <c r="B694" s="533"/>
      <c r="C694" s="533"/>
      <c r="D694" s="533"/>
      <c r="E694" s="533"/>
      <c r="F694" s="533"/>
      <c r="G694" s="533"/>
      <c r="H694" s="533"/>
      <c r="I694" s="533"/>
      <c r="J694" s="533"/>
      <c r="K694" s="533"/>
      <c r="L694" s="533"/>
      <c r="M694" s="533"/>
      <c r="N694" s="533"/>
      <c r="O694" s="533"/>
      <c r="P694" s="533"/>
      <c r="Q694" s="533"/>
      <c r="R694" s="533"/>
      <c r="S694" s="533"/>
      <c r="T694" s="533"/>
      <c r="U694" s="533"/>
      <c r="V694" s="533"/>
      <c r="W694" s="533"/>
      <c r="X694" s="533"/>
      <c r="Y694" s="533"/>
      <c r="Z694" s="533"/>
      <c r="AA694" s="533"/>
      <c r="AB694" s="533"/>
      <c r="AC694" s="533"/>
    </row>
    <row r="695" spans="1:29" ht="15.75" customHeight="1">
      <c r="A695" s="533"/>
      <c r="B695" s="533"/>
      <c r="C695" s="533"/>
      <c r="D695" s="533"/>
      <c r="E695" s="533"/>
      <c r="F695" s="533"/>
      <c r="G695" s="533"/>
      <c r="H695" s="533"/>
      <c r="I695" s="533"/>
      <c r="J695" s="533"/>
      <c r="K695" s="533"/>
      <c r="L695" s="533"/>
      <c r="M695" s="533"/>
      <c r="N695" s="533"/>
      <c r="O695" s="533"/>
      <c r="P695" s="533"/>
      <c r="Q695" s="533"/>
      <c r="R695" s="533"/>
      <c r="S695" s="533"/>
      <c r="T695" s="533"/>
      <c r="U695" s="533"/>
      <c r="V695" s="533"/>
      <c r="W695" s="533"/>
      <c r="X695" s="533"/>
      <c r="Y695" s="533"/>
      <c r="Z695" s="533"/>
      <c r="AA695" s="533"/>
      <c r="AB695" s="533"/>
      <c r="AC695" s="533"/>
    </row>
    <row r="696" spans="1:29" ht="15.75" customHeight="1">
      <c r="A696" s="533"/>
      <c r="B696" s="533"/>
      <c r="C696" s="533"/>
      <c r="D696" s="533"/>
      <c r="E696" s="533"/>
      <c r="F696" s="533"/>
      <c r="G696" s="533"/>
      <c r="H696" s="533"/>
      <c r="I696" s="533"/>
      <c r="J696" s="533"/>
      <c r="K696" s="533"/>
      <c r="L696" s="533"/>
      <c r="M696" s="533"/>
      <c r="N696" s="533"/>
      <c r="O696" s="533"/>
      <c r="P696" s="533"/>
      <c r="Q696" s="533"/>
      <c r="R696" s="533"/>
      <c r="S696" s="533"/>
      <c r="T696" s="533"/>
      <c r="U696" s="533"/>
      <c r="V696" s="533"/>
      <c r="W696" s="533"/>
      <c r="X696" s="533"/>
      <c r="Y696" s="533"/>
      <c r="Z696" s="533"/>
      <c r="AA696" s="533"/>
      <c r="AB696" s="533"/>
      <c r="AC696" s="533"/>
    </row>
    <row r="697" spans="1:29" ht="15.75" customHeight="1">
      <c r="A697" s="533"/>
      <c r="B697" s="533"/>
      <c r="C697" s="533"/>
      <c r="D697" s="533"/>
      <c r="E697" s="533"/>
      <c r="F697" s="533"/>
      <c r="G697" s="533"/>
      <c r="H697" s="533"/>
      <c r="I697" s="533"/>
      <c r="J697" s="533"/>
      <c r="K697" s="533"/>
      <c r="L697" s="533"/>
      <c r="M697" s="533"/>
      <c r="N697" s="533"/>
      <c r="O697" s="533"/>
      <c r="P697" s="533"/>
      <c r="Q697" s="533"/>
      <c r="R697" s="533"/>
      <c r="S697" s="533"/>
      <c r="T697" s="533"/>
      <c r="U697" s="533"/>
      <c r="V697" s="533"/>
      <c r="W697" s="533"/>
      <c r="X697" s="533"/>
      <c r="Y697" s="533"/>
      <c r="Z697" s="533"/>
      <c r="AA697" s="533"/>
      <c r="AB697" s="533"/>
      <c r="AC697" s="533"/>
    </row>
    <row r="698" spans="1:29" ht="15.75" customHeight="1">
      <c r="A698" s="533"/>
      <c r="B698" s="533"/>
      <c r="C698" s="533"/>
      <c r="D698" s="533"/>
      <c r="E698" s="533"/>
      <c r="F698" s="533"/>
      <c r="G698" s="533"/>
      <c r="H698" s="533"/>
      <c r="I698" s="533"/>
      <c r="J698" s="533"/>
      <c r="K698" s="533"/>
      <c r="L698" s="533"/>
      <c r="M698" s="533"/>
      <c r="N698" s="533"/>
      <c r="O698" s="533"/>
      <c r="P698" s="533"/>
      <c r="Q698" s="533"/>
      <c r="R698" s="533"/>
      <c r="S698" s="533"/>
      <c r="T698" s="533"/>
      <c r="U698" s="533"/>
      <c r="V698" s="533"/>
      <c r="W698" s="533"/>
      <c r="X698" s="533"/>
      <c r="Y698" s="533"/>
      <c r="Z698" s="533"/>
      <c r="AA698" s="533"/>
      <c r="AB698" s="533"/>
      <c r="AC698" s="533"/>
    </row>
    <row r="699" spans="1:29" ht="15.75" customHeight="1">
      <c r="A699" s="533"/>
      <c r="B699" s="533"/>
      <c r="C699" s="533"/>
      <c r="D699" s="533"/>
      <c r="E699" s="533"/>
      <c r="F699" s="533"/>
      <c r="G699" s="533"/>
      <c r="H699" s="533"/>
      <c r="I699" s="533"/>
      <c r="J699" s="533"/>
      <c r="K699" s="533"/>
      <c r="L699" s="533"/>
      <c r="M699" s="533"/>
      <c r="N699" s="533"/>
      <c r="O699" s="533"/>
      <c r="P699" s="533"/>
      <c r="Q699" s="533"/>
      <c r="R699" s="533"/>
      <c r="S699" s="533"/>
      <c r="T699" s="533"/>
      <c r="U699" s="533"/>
      <c r="V699" s="533"/>
      <c r="W699" s="533"/>
      <c r="X699" s="533"/>
      <c r="Y699" s="533"/>
      <c r="Z699" s="533"/>
      <c r="AA699" s="533"/>
      <c r="AB699" s="533"/>
      <c r="AC699" s="533"/>
    </row>
    <row r="700" spans="1:29" ht="15.75" customHeight="1">
      <c r="A700" s="533"/>
      <c r="B700" s="533"/>
      <c r="C700" s="533"/>
      <c r="D700" s="533"/>
      <c r="E700" s="533"/>
      <c r="F700" s="533"/>
      <c r="G700" s="533"/>
      <c r="H700" s="533"/>
      <c r="I700" s="533"/>
      <c r="J700" s="533"/>
      <c r="K700" s="533"/>
      <c r="L700" s="533"/>
      <c r="M700" s="533"/>
      <c r="N700" s="533"/>
      <c r="O700" s="533"/>
      <c r="P700" s="533"/>
      <c r="Q700" s="533"/>
      <c r="R700" s="533"/>
      <c r="S700" s="533"/>
      <c r="T700" s="533"/>
      <c r="U700" s="533"/>
      <c r="V700" s="533"/>
      <c r="W700" s="533"/>
      <c r="X700" s="533"/>
      <c r="Y700" s="533"/>
      <c r="Z700" s="533"/>
      <c r="AA700" s="533"/>
      <c r="AB700" s="533"/>
      <c r="AC700" s="533"/>
    </row>
    <row r="701" spans="1:29" ht="15.75" customHeight="1">
      <c r="A701" s="533"/>
      <c r="B701" s="533"/>
      <c r="C701" s="533"/>
      <c r="D701" s="533"/>
      <c r="E701" s="533"/>
      <c r="F701" s="533"/>
      <c r="G701" s="533"/>
      <c r="H701" s="533"/>
      <c r="I701" s="533"/>
      <c r="J701" s="533"/>
      <c r="K701" s="533"/>
      <c r="L701" s="533"/>
      <c r="M701" s="533"/>
      <c r="N701" s="533"/>
      <c r="O701" s="533"/>
      <c r="P701" s="533"/>
      <c r="Q701" s="533"/>
      <c r="R701" s="533"/>
      <c r="S701" s="533"/>
      <c r="T701" s="533"/>
      <c r="U701" s="533"/>
      <c r="V701" s="533"/>
      <c r="W701" s="533"/>
      <c r="X701" s="533"/>
      <c r="Y701" s="533"/>
      <c r="Z701" s="533"/>
      <c r="AA701" s="533"/>
      <c r="AB701" s="533"/>
      <c r="AC701" s="533"/>
    </row>
    <row r="702" spans="1:29" ht="15.75" customHeight="1">
      <c r="A702" s="533"/>
      <c r="B702" s="533"/>
      <c r="C702" s="533"/>
      <c r="D702" s="533"/>
      <c r="E702" s="533"/>
      <c r="F702" s="533"/>
      <c r="G702" s="533"/>
      <c r="H702" s="533"/>
      <c r="I702" s="533"/>
      <c r="J702" s="533"/>
      <c r="K702" s="533"/>
      <c r="L702" s="533"/>
      <c r="M702" s="533"/>
      <c r="N702" s="533"/>
      <c r="O702" s="533"/>
      <c r="P702" s="533"/>
      <c r="Q702" s="533"/>
      <c r="R702" s="533"/>
      <c r="S702" s="533"/>
      <c r="T702" s="533"/>
      <c r="U702" s="533"/>
      <c r="V702" s="533"/>
      <c r="W702" s="533"/>
      <c r="X702" s="533"/>
      <c r="Y702" s="533"/>
      <c r="Z702" s="533"/>
      <c r="AA702" s="533"/>
      <c r="AB702" s="533"/>
      <c r="AC702" s="533"/>
    </row>
    <row r="703" spans="1:29" ht="15.75" customHeight="1">
      <c r="A703" s="533"/>
      <c r="B703" s="533"/>
      <c r="C703" s="533"/>
      <c r="D703" s="533"/>
      <c r="E703" s="533"/>
      <c r="F703" s="533"/>
      <c r="G703" s="533"/>
      <c r="H703" s="533"/>
      <c r="I703" s="533"/>
      <c r="J703" s="533"/>
      <c r="K703" s="533"/>
      <c r="L703" s="533"/>
      <c r="M703" s="533"/>
      <c r="N703" s="533"/>
      <c r="O703" s="533"/>
      <c r="P703" s="533"/>
      <c r="Q703" s="533"/>
      <c r="R703" s="533"/>
      <c r="S703" s="533"/>
      <c r="T703" s="533"/>
      <c r="U703" s="533"/>
      <c r="V703" s="533"/>
      <c r="W703" s="533"/>
      <c r="X703" s="533"/>
      <c r="Y703" s="533"/>
      <c r="Z703" s="533"/>
      <c r="AA703" s="533"/>
      <c r="AB703" s="533"/>
      <c r="AC703" s="533"/>
    </row>
    <row r="704" spans="1:29" ht="15.75" customHeight="1">
      <c r="A704" s="533"/>
      <c r="B704" s="533"/>
      <c r="C704" s="533"/>
      <c r="D704" s="533"/>
      <c r="E704" s="533"/>
      <c r="F704" s="533"/>
      <c r="G704" s="533"/>
      <c r="H704" s="533"/>
      <c r="I704" s="533"/>
      <c r="J704" s="533"/>
      <c r="K704" s="533"/>
      <c r="L704" s="533"/>
      <c r="M704" s="533"/>
      <c r="N704" s="533"/>
      <c r="O704" s="533"/>
      <c r="P704" s="533"/>
      <c r="Q704" s="533"/>
      <c r="R704" s="533"/>
      <c r="S704" s="533"/>
      <c r="T704" s="533"/>
      <c r="U704" s="533"/>
      <c r="V704" s="533"/>
      <c r="W704" s="533"/>
      <c r="X704" s="533"/>
      <c r="Y704" s="533"/>
      <c r="Z704" s="533"/>
      <c r="AA704" s="533"/>
      <c r="AB704" s="533"/>
      <c r="AC704" s="533"/>
    </row>
    <row r="705" spans="1:29" ht="15.75" customHeight="1">
      <c r="A705" s="533"/>
      <c r="B705" s="533"/>
      <c r="C705" s="533"/>
      <c r="D705" s="533"/>
      <c r="E705" s="533"/>
      <c r="F705" s="533"/>
      <c r="G705" s="533"/>
      <c r="H705" s="533"/>
      <c r="I705" s="533"/>
      <c r="J705" s="533"/>
      <c r="K705" s="533"/>
      <c r="L705" s="533"/>
      <c r="M705" s="533"/>
      <c r="N705" s="533"/>
      <c r="O705" s="533"/>
      <c r="P705" s="533"/>
      <c r="Q705" s="533"/>
      <c r="R705" s="533"/>
      <c r="S705" s="533"/>
      <c r="T705" s="533"/>
      <c r="U705" s="533"/>
      <c r="V705" s="533"/>
      <c r="W705" s="533"/>
      <c r="X705" s="533"/>
      <c r="Y705" s="533"/>
      <c r="Z705" s="533"/>
      <c r="AA705" s="533"/>
      <c r="AB705" s="533"/>
      <c r="AC705" s="533"/>
    </row>
    <row r="706" spans="1:29" ht="15.75" customHeight="1">
      <c r="A706" s="533"/>
      <c r="B706" s="533"/>
      <c r="C706" s="533"/>
      <c r="D706" s="533"/>
      <c r="E706" s="533"/>
      <c r="F706" s="533"/>
      <c r="G706" s="533"/>
      <c r="H706" s="533"/>
      <c r="I706" s="533"/>
      <c r="J706" s="533"/>
      <c r="K706" s="533"/>
      <c r="L706" s="533"/>
      <c r="M706" s="533"/>
      <c r="N706" s="533"/>
      <c r="O706" s="533"/>
      <c r="P706" s="533"/>
      <c r="Q706" s="533"/>
      <c r="R706" s="533"/>
      <c r="S706" s="533"/>
      <c r="T706" s="533"/>
      <c r="U706" s="533"/>
      <c r="V706" s="533"/>
      <c r="W706" s="533"/>
      <c r="X706" s="533"/>
      <c r="Y706" s="533"/>
      <c r="Z706" s="533"/>
      <c r="AA706" s="533"/>
      <c r="AB706" s="533"/>
      <c r="AC706" s="533"/>
    </row>
    <row r="707" spans="1:29" ht="15.75" customHeight="1">
      <c r="A707" s="533"/>
      <c r="B707" s="533"/>
      <c r="C707" s="533"/>
      <c r="D707" s="533"/>
      <c r="E707" s="533"/>
      <c r="F707" s="533"/>
      <c r="G707" s="533"/>
      <c r="H707" s="533"/>
      <c r="I707" s="533"/>
      <c r="J707" s="533"/>
      <c r="K707" s="533"/>
      <c r="L707" s="533"/>
      <c r="M707" s="533"/>
      <c r="N707" s="533"/>
      <c r="O707" s="533"/>
      <c r="P707" s="533"/>
      <c r="Q707" s="533"/>
      <c r="R707" s="533"/>
      <c r="S707" s="533"/>
      <c r="T707" s="533"/>
      <c r="U707" s="533"/>
      <c r="V707" s="533"/>
      <c r="W707" s="533"/>
      <c r="X707" s="533"/>
      <c r="Y707" s="533"/>
      <c r="Z707" s="533"/>
      <c r="AA707" s="533"/>
      <c r="AB707" s="533"/>
      <c r="AC707" s="533"/>
    </row>
    <row r="708" spans="1:29" ht="15.75" customHeight="1">
      <c r="A708" s="533"/>
      <c r="B708" s="533"/>
      <c r="C708" s="533"/>
      <c r="D708" s="533"/>
      <c r="E708" s="533"/>
      <c r="F708" s="533"/>
      <c r="G708" s="533"/>
      <c r="H708" s="533"/>
      <c r="I708" s="533"/>
      <c r="J708" s="533"/>
      <c r="K708" s="533"/>
      <c r="L708" s="533"/>
      <c r="M708" s="533"/>
      <c r="N708" s="533"/>
      <c r="O708" s="533"/>
      <c r="P708" s="533"/>
      <c r="Q708" s="533"/>
      <c r="R708" s="533"/>
      <c r="S708" s="533"/>
      <c r="T708" s="533"/>
      <c r="U708" s="533"/>
      <c r="V708" s="533"/>
      <c r="W708" s="533"/>
      <c r="X708" s="533"/>
      <c r="Y708" s="533"/>
      <c r="Z708" s="533"/>
      <c r="AA708" s="533"/>
      <c r="AB708" s="533"/>
      <c r="AC708" s="533"/>
    </row>
    <row r="709" spans="1:29" ht="15.75" customHeight="1">
      <c r="A709" s="533"/>
      <c r="B709" s="533"/>
      <c r="C709" s="533"/>
      <c r="D709" s="533"/>
      <c r="E709" s="533"/>
      <c r="F709" s="533"/>
      <c r="G709" s="533"/>
      <c r="H709" s="533"/>
      <c r="I709" s="533"/>
      <c r="J709" s="533"/>
      <c r="K709" s="533"/>
      <c r="L709" s="533"/>
      <c r="M709" s="533"/>
      <c r="N709" s="533"/>
      <c r="O709" s="533"/>
      <c r="P709" s="533"/>
      <c r="Q709" s="533"/>
      <c r="R709" s="533"/>
      <c r="S709" s="533"/>
      <c r="T709" s="533"/>
      <c r="U709" s="533"/>
      <c r="V709" s="533"/>
      <c r="W709" s="533"/>
      <c r="X709" s="533"/>
      <c r="Y709" s="533"/>
      <c r="Z709" s="533"/>
      <c r="AA709" s="533"/>
      <c r="AB709" s="533"/>
      <c r="AC709" s="533"/>
    </row>
    <row r="710" spans="1:29" ht="15.75" customHeight="1">
      <c r="A710" s="533"/>
      <c r="B710" s="533"/>
      <c r="C710" s="533"/>
      <c r="D710" s="533"/>
      <c r="E710" s="533"/>
      <c r="F710" s="533"/>
      <c r="G710" s="533"/>
      <c r="H710" s="533"/>
      <c r="I710" s="533"/>
      <c r="J710" s="533"/>
      <c r="K710" s="533"/>
      <c r="L710" s="533"/>
      <c r="M710" s="533"/>
      <c r="N710" s="533"/>
      <c r="O710" s="533"/>
      <c r="P710" s="533"/>
      <c r="Q710" s="533"/>
      <c r="R710" s="533"/>
      <c r="S710" s="533"/>
      <c r="T710" s="533"/>
      <c r="U710" s="533"/>
      <c r="V710" s="533"/>
      <c r="W710" s="533"/>
      <c r="X710" s="533"/>
      <c r="Y710" s="533"/>
      <c r="Z710" s="533"/>
      <c r="AA710" s="533"/>
      <c r="AB710" s="533"/>
      <c r="AC710" s="533"/>
    </row>
    <row r="711" spans="1:29" ht="15.75" customHeight="1">
      <c r="A711" s="533"/>
      <c r="B711" s="533"/>
      <c r="C711" s="533"/>
      <c r="D711" s="533"/>
      <c r="E711" s="533"/>
      <c r="F711" s="533"/>
      <c r="G711" s="533"/>
      <c r="H711" s="533"/>
      <c r="I711" s="533"/>
      <c r="J711" s="533"/>
      <c r="K711" s="533"/>
      <c r="L711" s="533"/>
      <c r="M711" s="533"/>
      <c r="N711" s="533"/>
      <c r="O711" s="533"/>
      <c r="P711" s="533"/>
      <c r="Q711" s="533"/>
      <c r="R711" s="533"/>
      <c r="S711" s="533"/>
      <c r="T711" s="533"/>
      <c r="U711" s="533"/>
      <c r="V711" s="533"/>
      <c r="W711" s="533"/>
      <c r="X711" s="533"/>
      <c r="Y711" s="533"/>
      <c r="Z711" s="533"/>
      <c r="AA711" s="533"/>
      <c r="AB711" s="533"/>
      <c r="AC711" s="533"/>
    </row>
    <row r="712" spans="1:29" ht="15.75" customHeight="1">
      <c r="A712" s="533"/>
      <c r="B712" s="533"/>
      <c r="C712" s="533"/>
      <c r="D712" s="533"/>
      <c r="E712" s="533"/>
      <c r="F712" s="533"/>
      <c r="G712" s="533"/>
      <c r="H712" s="533"/>
      <c r="I712" s="533"/>
      <c r="J712" s="533"/>
      <c r="K712" s="533"/>
      <c r="L712" s="533"/>
      <c r="M712" s="533"/>
      <c r="N712" s="533"/>
      <c r="O712" s="533"/>
      <c r="P712" s="533"/>
      <c r="Q712" s="533"/>
      <c r="R712" s="533"/>
      <c r="S712" s="533"/>
      <c r="T712" s="533"/>
      <c r="U712" s="533"/>
      <c r="V712" s="533"/>
      <c r="W712" s="533"/>
      <c r="X712" s="533"/>
      <c r="Y712" s="533"/>
      <c r="Z712" s="533"/>
      <c r="AA712" s="533"/>
      <c r="AB712" s="533"/>
      <c r="AC712" s="533"/>
    </row>
    <row r="713" spans="1:29" ht="15.75" customHeight="1">
      <c r="A713" s="533"/>
      <c r="B713" s="533"/>
      <c r="C713" s="533"/>
      <c r="D713" s="533"/>
      <c r="E713" s="533"/>
      <c r="F713" s="533"/>
      <c r="G713" s="533"/>
      <c r="H713" s="533"/>
      <c r="I713" s="533"/>
      <c r="J713" s="533"/>
      <c r="K713" s="533"/>
      <c r="L713" s="533"/>
      <c r="M713" s="533"/>
      <c r="N713" s="533"/>
      <c r="O713" s="533"/>
      <c r="P713" s="533"/>
      <c r="Q713" s="533"/>
      <c r="R713" s="533"/>
      <c r="S713" s="533"/>
      <c r="T713" s="533"/>
      <c r="U713" s="533"/>
      <c r="V713" s="533"/>
      <c r="W713" s="533"/>
      <c r="X713" s="533"/>
      <c r="Y713" s="533"/>
      <c r="Z713" s="533"/>
      <c r="AA713" s="533"/>
      <c r="AB713" s="533"/>
      <c r="AC713" s="533"/>
    </row>
    <row r="714" spans="1:29" ht="15.75" customHeight="1">
      <c r="A714" s="533"/>
      <c r="B714" s="533"/>
      <c r="C714" s="533"/>
      <c r="D714" s="533"/>
      <c r="E714" s="533"/>
      <c r="F714" s="533"/>
      <c r="G714" s="533"/>
      <c r="H714" s="533"/>
      <c r="I714" s="533"/>
      <c r="J714" s="533"/>
      <c r="K714" s="533"/>
      <c r="L714" s="533"/>
      <c r="M714" s="533"/>
      <c r="N714" s="533"/>
      <c r="O714" s="533"/>
      <c r="P714" s="533"/>
      <c r="Q714" s="533"/>
      <c r="R714" s="533"/>
      <c r="S714" s="533"/>
      <c r="T714" s="533"/>
      <c r="U714" s="533"/>
      <c r="V714" s="533"/>
      <c r="W714" s="533"/>
      <c r="X714" s="533"/>
      <c r="Y714" s="533"/>
      <c r="Z714" s="533"/>
      <c r="AA714" s="533"/>
      <c r="AB714" s="533"/>
      <c r="AC714" s="533"/>
    </row>
    <row r="715" spans="1:29" ht="15.75" customHeight="1">
      <c r="A715" s="533"/>
      <c r="B715" s="533"/>
      <c r="C715" s="533"/>
      <c r="D715" s="533"/>
      <c r="E715" s="533"/>
      <c r="F715" s="533"/>
      <c r="G715" s="533"/>
      <c r="H715" s="533"/>
      <c r="I715" s="533"/>
      <c r="J715" s="533"/>
      <c r="K715" s="533"/>
      <c r="L715" s="533"/>
      <c r="M715" s="533"/>
      <c r="N715" s="533"/>
      <c r="O715" s="533"/>
      <c r="P715" s="533"/>
      <c r="Q715" s="533"/>
      <c r="R715" s="533"/>
      <c r="S715" s="533"/>
      <c r="T715" s="533"/>
      <c r="U715" s="533"/>
      <c r="V715" s="533"/>
      <c r="W715" s="533"/>
      <c r="X715" s="533"/>
      <c r="Y715" s="533"/>
      <c r="Z715" s="533"/>
      <c r="AA715" s="533"/>
      <c r="AB715" s="533"/>
      <c r="AC715" s="533"/>
    </row>
    <row r="716" spans="1:29" ht="15.75" customHeight="1">
      <c r="A716" s="533"/>
      <c r="B716" s="533"/>
      <c r="C716" s="533"/>
      <c r="D716" s="533"/>
      <c r="E716" s="533"/>
      <c r="F716" s="533"/>
      <c r="G716" s="533"/>
      <c r="H716" s="533"/>
      <c r="I716" s="533"/>
      <c r="J716" s="533"/>
      <c r="K716" s="533"/>
      <c r="L716" s="533"/>
      <c r="M716" s="533"/>
      <c r="N716" s="533"/>
      <c r="O716" s="533"/>
      <c r="P716" s="533"/>
      <c r="Q716" s="533"/>
      <c r="R716" s="533"/>
      <c r="S716" s="533"/>
      <c r="T716" s="533"/>
      <c r="U716" s="533"/>
      <c r="V716" s="533"/>
      <c r="W716" s="533"/>
      <c r="X716" s="533"/>
      <c r="Y716" s="533"/>
      <c r="Z716" s="533"/>
      <c r="AA716" s="533"/>
      <c r="AB716" s="533"/>
      <c r="AC716" s="533"/>
    </row>
    <row r="717" spans="1:29" ht="15.75" customHeight="1">
      <c r="A717" s="533"/>
      <c r="B717" s="533"/>
      <c r="C717" s="533"/>
      <c r="D717" s="533"/>
      <c r="E717" s="533"/>
      <c r="F717" s="533"/>
      <c r="G717" s="533"/>
      <c r="H717" s="533"/>
      <c r="I717" s="533"/>
      <c r="J717" s="533"/>
      <c r="K717" s="533"/>
      <c r="L717" s="533"/>
      <c r="M717" s="533"/>
      <c r="N717" s="533"/>
      <c r="O717" s="533"/>
      <c r="P717" s="533"/>
      <c r="Q717" s="533"/>
      <c r="R717" s="533"/>
      <c r="S717" s="533"/>
      <c r="T717" s="533"/>
      <c r="U717" s="533"/>
      <c r="V717" s="533"/>
      <c r="W717" s="533"/>
      <c r="X717" s="533"/>
      <c r="Y717" s="533"/>
      <c r="Z717" s="533"/>
      <c r="AA717" s="533"/>
      <c r="AB717" s="533"/>
      <c r="AC717" s="533"/>
    </row>
    <row r="718" spans="1:29" ht="15.75" customHeight="1">
      <c r="A718" s="533"/>
      <c r="B718" s="533"/>
      <c r="C718" s="533"/>
      <c r="D718" s="533"/>
      <c r="E718" s="533"/>
      <c r="F718" s="533"/>
      <c r="G718" s="533"/>
      <c r="H718" s="533"/>
      <c r="I718" s="533"/>
      <c r="J718" s="533"/>
      <c r="K718" s="533"/>
      <c r="L718" s="533"/>
      <c r="M718" s="533"/>
      <c r="N718" s="533"/>
      <c r="O718" s="533"/>
      <c r="P718" s="533"/>
      <c r="Q718" s="533"/>
      <c r="R718" s="533"/>
      <c r="S718" s="533"/>
      <c r="T718" s="533"/>
      <c r="U718" s="533"/>
      <c r="V718" s="533"/>
      <c r="W718" s="533"/>
      <c r="X718" s="533"/>
      <c r="Y718" s="533"/>
      <c r="Z718" s="533"/>
      <c r="AA718" s="533"/>
      <c r="AB718" s="533"/>
      <c r="AC718" s="533"/>
    </row>
    <row r="719" spans="1:29" ht="15.75" customHeight="1">
      <c r="A719" s="533"/>
      <c r="B719" s="533"/>
      <c r="C719" s="533"/>
      <c r="D719" s="533"/>
      <c r="E719" s="533"/>
      <c r="F719" s="533"/>
      <c r="G719" s="533"/>
      <c r="H719" s="533"/>
      <c r="I719" s="533"/>
      <c r="J719" s="533"/>
      <c r="K719" s="533"/>
      <c r="L719" s="533"/>
      <c r="M719" s="533"/>
      <c r="N719" s="533"/>
      <c r="O719" s="533"/>
      <c r="P719" s="533"/>
      <c r="Q719" s="533"/>
      <c r="R719" s="533"/>
      <c r="S719" s="533"/>
      <c r="T719" s="533"/>
      <c r="U719" s="533"/>
      <c r="V719" s="533"/>
      <c r="W719" s="533"/>
      <c r="X719" s="533"/>
      <c r="Y719" s="533"/>
      <c r="Z719" s="533"/>
      <c r="AA719" s="533"/>
      <c r="AB719" s="533"/>
      <c r="AC719" s="533"/>
    </row>
    <row r="720" spans="1:29" ht="15.75" customHeight="1">
      <c r="A720" s="533"/>
      <c r="B720" s="533"/>
      <c r="C720" s="533"/>
      <c r="D720" s="533"/>
      <c r="E720" s="533"/>
      <c r="F720" s="533"/>
      <c r="G720" s="533"/>
      <c r="H720" s="533"/>
      <c r="I720" s="533"/>
      <c r="J720" s="533"/>
      <c r="K720" s="533"/>
      <c r="L720" s="533"/>
      <c r="M720" s="533"/>
      <c r="N720" s="533"/>
      <c r="O720" s="533"/>
      <c r="P720" s="533"/>
      <c r="Q720" s="533"/>
      <c r="R720" s="533"/>
      <c r="S720" s="533"/>
      <c r="T720" s="533"/>
      <c r="U720" s="533"/>
      <c r="V720" s="533"/>
      <c r="W720" s="533"/>
      <c r="X720" s="533"/>
      <c r="Y720" s="533"/>
      <c r="Z720" s="533"/>
      <c r="AA720" s="533"/>
      <c r="AB720" s="533"/>
      <c r="AC720" s="533"/>
    </row>
    <row r="721" spans="1:29" ht="15.75" customHeight="1">
      <c r="A721" s="533"/>
      <c r="B721" s="533"/>
      <c r="C721" s="533"/>
      <c r="D721" s="533"/>
      <c r="E721" s="533"/>
      <c r="F721" s="533"/>
      <c r="G721" s="533"/>
      <c r="H721" s="533"/>
      <c r="I721" s="533"/>
      <c r="J721" s="533"/>
      <c r="K721" s="533"/>
      <c r="L721" s="533"/>
      <c r="M721" s="533"/>
      <c r="N721" s="533"/>
      <c r="O721" s="533"/>
      <c r="P721" s="533"/>
      <c r="Q721" s="533"/>
      <c r="R721" s="533"/>
      <c r="S721" s="533"/>
      <c r="T721" s="533"/>
      <c r="U721" s="533"/>
      <c r="V721" s="533"/>
      <c r="W721" s="533"/>
      <c r="X721" s="533"/>
      <c r="Y721" s="533"/>
      <c r="Z721" s="533"/>
      <c r="AA721" s="533"/>
      <c r="AB721" s="533"/>
      <c r="AC721" s="533"/>
    </row>
    <row r="722" spans="1:29" ht="15.75" customHeight="1">
      <c r="A722" s="533"/>
      <c r="B722" s="533"/>
      <c r="C722" s="533"/>
      <c r="D722" s="533"/>
      <c r="E722" s="533"/>
      <c r="F722" s="533"/>
      <c r="G722" s="533"/>
      <c r="H722" s="533"/>
      <c r="I722" s="533"/>
      <c r="J722" s="533"/>
      <c r="K722" s="533"/>
      <c r="L722" s="533"/>
      <c r="M722" s="533"/>
      <c r="N722" s="533"/>
      <c r="O722" s="533"/>
      <c r="P722" s="533"/>
      <c r="Q722" s="533"/>
      <c r="R722" s="533"/>
      <c r="S722" s="533"/>
      <c r="T722" s="533"/>
      <c r="U722" s="533"/>
      <c r="V722" s="533"/>
      <c r="W722" s="533"/>
      <c r="X722" s="533"/>
      <c r="Y722" s="533"/>
      <c r="Z722" s="533"/>
      <c r="AA722" s="533"/>
      <c r="AB722" s="533"/>
      <c r="AC722" s="533"/>
    </row>
    <row r="723" spans="1:29" ht="15.75" customHeight="1">
      <c r="A723" s="533"/>
      <c r="B723" s="533"/>
      <c r="C723" s="533"/>
      <c r="D723" s="533"/>
      <c r="E723" s="533"/>
      <c r="F723" s="533"/>
      <c r="G723" s="533"/>
      <c r="H723" s="533"/>
      <c r="I723" s="533"/>
      <c r="J723" s="533"/>
      <c r="K723" s="533"/>
      <c r="L723" s="533"/>
      <c r="M723" s="533"/>
      <c r="N723" s="533"/>
      <c r="O723" s="533"/>
      <c r="P723" s="533"/>
      <c r="Q723" s="533"/>
      <c r="R723" s="533"/>
      <c r="S723" s="533"/>
      <c r="T723" s="533"/>
      <c r="U723" s="533"/>
      <c r="V723" s="533"/>
      <c r="W723" s="533"/>
      <c r="X723" s="533"/>
      <c r="Y723" s="533"/>
      <c r="Z723" s="533"/>
      <c r="AA723" s="533"/>
      <c r="AB723" s="533"/>
      <c r="AC723" s="533"/>
    </row>
    <row r="724" spans="1:29" ht="15.75" customHeight="1">
      <c r="A724" s="533"/>
      <c r="B724" s="533"/>
      <c r="C724" s="533"/>
      <c r="D724" s="533"/>
      <c r="E724" s="533"/>
      <c r="F724" s="533"/>
      <c r="G724" s="533"/>
      <c r="H724" s="533"/>
      <c r="I724" s="533"/>
      <c r="J724" s="533"/>
      <c r="K724" s="533"/>
      <c r="L724" s="533"/>
      <c r="M724" s="533"/>
      <c r="N724" s="533"/>
      <c r="O724" s="533"/>
      <c r="P724" s="533"/>
      <c r="Q724" s="533"/>
      <c r="R724" s="533"/>
      <c r="S724" s="533"/>
      <c r="T724" s="533"/>
      <c r="U724" s="533"/>
      <c r="V724" s="533"/>
      <c r="W724" s="533"/>
      <c r="X724" s="533"/>
      <c r="Y724" s="533"/>
      <c r="Z724" s="533"/>
      <c r="AA724" s="533"/>
      <c r="AB724" s="533"/>
      <c r="AC724" s="533"/>
    </row>
    <row r="725" spans="1:29" ht="15.75" customHeight="1">
      <c r="A725" s="533"/>
      <c r="B725" s="533"/>
      <c r="C725" s="533"/>
      <c r="D725" s="533"/>
      <c r="E725" s="533"/>
      <c r="F725" s="533"/>
      <c r="G725" s="533"/>
      <c r="H725" s="533"/>
      <c r="I725" s="533"/>
      <c r="J725" s="533"/>
      <c r="K725" s="533"/>
      <c r="L725" s="533"/>
      <c r="M725" s="533"/>
      <c r="N725" s="533"/>
      <c r="O725" s="533"/>
      <c r="P725" s="533"/>
      <c r="Q725" s="533"/>
      <c r="R725" s="533"/>
      <c r="S725" s="533"/>
      <c r="T725" s="533"/>
      <c r="U725" s="533"/>
      <c r="V725" s="533"/>
      <c r="W725" s="533"/>
      <c r="X725" s="533"/>
      <c r="Y725" s="533"/>
      <c r="Z725" s="533"/>
      <c r="AA725" s="533"/>
      <c r="AB725" s="533"/>
      <c r="AC725" s="533"/>
    </row>
    <row r="726" spans="1:29" ht="15.75" customHeight="1">
      <c r="A726" s="533"/>
      <c r="B726" s="533"/>
      <c r="C726" s="533"/>
      <c r="D726" s="533"/>
      <c r="E726" s="533"/>
      <c r="F726" s="533"/>
      <c r="G726" s="533"/>
      <c r="H726" s="533"/>
      <c r="I726" s="533"/>
      <c r="J726" s="533"/>
      <c r="K726" s="533"/>
      <c r="L726" s="533"/>
      <c r="M726" s="533"/>
      <c r="N726" s="533"/>
      <c r="O726" s="533"/>
      <c r="P726" s="533"/>
      <c r="Q726" s="533"/>
      <c r="R726" s="533"/>
      <c r="S726" s="533"/>
      <c r="T726" s="533"/>
      <c r="U726" s="533"/>
      <c r="V726" s="533"/>
      <c r="W726" s="533"/>
      <c r="X726" s="533"/>
      <c r="Y726" s="533"/>
      <c r="Z726" s="533"/>
      <c r="AA726" s="533"/>
      <c r="AB726" s="533"/>
      <c r="AC726" s="533"/>
    </row>
    <row r="727" spans="1:29" ht="15.75" customHeight="1">
      <c r="A727" s="533"/>
      <c r="B727" s="533"/>
      <c r="C727" s="533"/>
      <c r="D727" s="533"/>
      <c r="E727" s="533"/>
      <c r="F727" s="533"/>
      <c r="G727" s="533"/>
      <c r="H727" s="533"/>
      <c r="I727" s="533"/>
      <c r="J727" s="533"/>
      <c r="K727" s="533"/>
      <c r="L727" s="533"/>
      <c r="M727" s="533"/>
      <c r="N727" s="533"/>
      <c r="O727" s="533"/>
      <c r="P727" s="533"/>
      <c r="Q727" s="533"/>
      <c r="R727" s="533"/>
      <c r="S727" s="533"/>
      <c r="T727" s="533"/>
      <c r="U727" s="533"/>
      <c r="V727" s="533"/>
      <c r="W727" s="533"/>
      <c r="X727" s="533"/>
      <c r="Y727" s="533"/>
      <c r="Z727" s="533"/>
      <c r="AA727" s="533"/>
      <c r="AB727" s="533"/>
      <c r="AC727" s="533"/>
    </row>
    <row r="728" spans="1:29" ht="15.75" customHeight="1">
      <c r="A728" s="533"/>
      <c r="B728" s="533"/>
      <c r="C728" s="533"/>
      <c r="D728" s="533"/>
      <c r="E728" s="533"/>
      <c r="F728" s="533"/>
      <c r="G728" s="533"/>
      <c r="H728" s="533"/>
      <c r="I728" s="533"/>
      <c r="J728" s="533"/>
      <c r="K728" s="533"/>
      <c r="L728" s="533"/>
      <c r="M728" s="533"/>
      <c r="N728" s="533"/>
      <c r="O728" s="533"/>
      <c r="P728" s="533"/>
      <c r="Q728" s="533"/>
      <c r="R728" s="533"/>
      <c r="S728" s="533"/>
      <c r="T728" s="533"/>
      <c r="U728" s="533"/>
      <c r="V728" s="533"/>
      <c r="W728" s="533"/>
      <c r="X728" s="533"/>
      <c r="Y728" s="533"/>
      <c r="Z728" s="533"/>
      <c r="AA728" s="533"/>
      <c r="AB728" s="533"/>
      <c r="AC728" s="533"/>
    </row>
    <row r="729" spans="1:29" ht="15.75" customHeight="1">
      <c r="A729" s="533"/>
      <c r="B729" s="533"/>
      <c r="C729" s="533"/>
      <c r="D729" s="533"/>
      <c r="E729" s="533"/>
      <c r="F729" s="533"/>
      <c r="G729" s="533"/>
      <c r="H729" s="533"/>
      <c r="I729" s="533"/>
      <c r="J729" s="533"/>
      <c r="K729" s="533"/>
      <c r="L729" s="533"/>
      <c r="M729" s="533"/>
      <c r="N729" s="533"/>
      <c r="O729" s="533"/>
      <c r="P729" s="533"/>
      <c r="Q729" s="533"/>
      <c r="R729" s="533"/>
      <c r="S729" s="533"/>
      <c r="T729" s="533"/>
      <c r="U729" s="533"/>
      <c r="V729" s="533"/>
      <c r="W729" s="533"/>
      <c r="X729" s="533"/>
      <c r="Y729" s="533"/>
      <c r="Z729" s="533"/>
      <c r="AA729" s="533"/>
      <c r="AB729" s="533"/>
      <c r="AC729" s="533"/>
    </row>
    <row r="730" spans="1:29" ht="15.75" customHeight="1">
      <c r="A730" s="533"/>
      <c r="B730" s="533"/>
      <c r="C730" s="533"/>
      <c r="D730" s="533"/>
      <c r="E730" s="533"/>
      <c r="F730" s="533"/>
      <c r="G730" s="533"/>
      <c r="H730" s="533"/>
      <c r="I730" s="533"/>
      <c r="J730" s="533"/>
      <c r="K730" s="533"/>
      <c r="L730" s="533"/>
      <c r="M730" s="533"/>
      <c r="N730" s="533"/>
      <c r="O730" s="533"/>
      <c r="P730" s="533"/>
      <c r="Q730" s="533"/>
      <c r="R730" s="533"/>
      <c r="S730" s="533"/>
      <c r="T730" s="533"/>
      <c r="U730" s="533"/>
      <c r="V730" s="533"/>
      <c r="W730" s="533"/>
      <c r="X730" s="533"/>
      <c r="Y730" s="533"/>
      <c r="Z730" s="533"/>
      <c r="AA730" s="533"/>
      <c r="AB730" s="533"/>
      <c r="AC730" s="533"/>
    </row>
    <row r="731" spans="1:29" ht="15.75" customHeight="1">
      <c r="A731" s="533"/>
      <c r="B731" s="533"/>
      <c r="C731" s="533"/>
      <c r="D731" s="533"/>
      <c r="E731" s="533"/>
      <c r="F731" s="533"/>
      <c r="G731" s="533"/>
      <c r="H731" s="533"/>
      <c r="I731" s="533"/>
      <c r="J731" s="533"/>
      <c r="K731" s="533"/>
      <c r="L731" s="533"/>
      <c r="M731" s="533"/>
      <c r="N731" s="533"/>
      <c r="O731" s="533"/>
      <c r="P731" s="533"/>
      <c r="Q731" s="533"/>
      <c r="R731" s="533"/>
      <c r="S731" s="533"/>
      <c r="T731" s="533"/>
      <c r="U731" s="533"/>
      <c r="V731" s="533"/>
      <c r="W731" s="533"/>
      <c r="X731" s="533"/>
      <c r="Y731" s="533"/>
      <c r="Z731" s="533"/>
      <c r="AA731" s="533"/>
      <c r="AB731" s="533"/>
      <c r="AC731" s="533"/>
    </row>
    <row r="732" spans="1:29" ht="15.75" customHeight="1">
      <c r="A732" s="533"/>
      <c r="B732" s="533"/>
      <c r="C732" s="533"/>
      <c r="D732" s="533"/>
      <c r="E732" s="533"/>
      <c r="F732" s="533"/>
      <c r="G732" s="533"/>
      <c r="H732" s="533"/>
      <c r="I732" s="533"/>
      <c r="J732" s="533"/>
      <c r="K732" s="533"/>
      <c r="L732" s="533"/>
      <c r="M732" s="533"/>
      <c r="N732" s="533"/>
      <c r="O732" s="533"/>
      <c r="P732" s="533"/>
      <c r="Q732" s="533"/>
      <c r="R732" s="533"/>
      <c r="S732" s="533"/>
      <c r="T732" s="533"/>
      <c r="U732" s="533"/>
      <c r="V732" s="533"/>
      <c r="W732" s="533"/>
      <c r="X732" s="533"/>
      <c r="Y732" s="533"/>
      <c r="Z732" s="533"/>
      <c r="AA732" s="533"/>
      <c r="AB732" s="533"/>
      <c r="AC732" s="533"/>
    </row>
    <row r="733" spans="1:29" ht="15.75" customHeight="1">
      <c r="A733" s="533"/>
      <c r="B733" s="533"/>
      <c r="C733" s="533"/>
      <c r="D733" s="533"/>
      <c r="E733" s="533"/>
      <c r="F733" s="533"/>
      <c r="G733" s="533"/>
      <c r="H733" s="533"/>
      <c r="I733" s="533"/>
      <c r="J733" s="533"/>
      <c r="K733" s="533"/>
      <c r="L733" s="533"/>
      <c r="M733" s="533"/>
      <c r="N733" s="533"/>
      <c r="O733" s="533"/>
      <c r="P733" s="533"/>
      <c r="Q733" s="533"/>
      <c r="R733" s="533"/>
      <c r="S733" s="533"/>
      <c r="T733" s="533"/>
      <c r="U733" s="533"/>
      <c r="V733" s="533"/>
      <c r="W733" s="533"/>
      <c r="X733" s="533"/>
      <c r="Y733" s="533"/>
      <c r="Z733" s="533"/>
      <c r="AA733" s="533"/>
      <c r="AB733" s="533"/>
      <c r="AC733" s="533"/>
    </row>
    <row r="734" spans="1:29" ht="15.75" customHeight="1">
      <c r="A734" s="533"/>
      <c r="B734" s="533"/>
      <c r="C734" s="533"/>
      <c r="D734" s="533"/>
      <c r="E734" s="533"/>
      <c r="F734" s="533"/>
      <c r="G734" s="533"/>
      <c r="H734" s="533"/>
      <c r="I734" s="533"/>
      <c r="J734" s="533"/>
      <c r="K734" s="533"/>
      <c r="L734" s="533"/>
      <c r="M734" s="533"/>
      <c r="N734" s="533"/>
      <c r="O734" s="533"/>
      <c r="P734" s="533"/>
      <c r="Q734" s="533"/>
      <c r="R734" s="533"/>
      <c r="S734" s="533"/>
      <c r="T734" s="533"/>
      <c r="U734" s="533"/>
      <c r="V734" s="533"/>
      <c r="W734" s="533"/>
      <c r="X734" s="533"/>
      <c r="Y734" s="533"/>
      <c r="Z734" s="533"/>
      <c r="AA734" s="533"/>
      <c r="AB734" s="533"/>
      <c r="AC734" s="533"/>
    </row>
    <row r="735" spans="1:29" ht="15.75" customHeight="1">
      <c r="A735" s="533"/>
      <c r="B735" s="533"/>
      <c r="C735" s="533"/>
      <c r="D735" s="533"/>
      <c r="E735" s="533"/>
      <c r="F735" s="533"/>
      <c r="G735" s="533"/>
      <c r="H735" s="533"/>
      <c r="I735" s="533"/>
      <c r="J735" s="533"/>
      <c r="K735" s="533"/>
      <c r="L735" s="533"/>
      <c r="M735" s="533"/>
      <c r="N735" s="533"/>
      <c r="O735" s="533"/>
      <c r="P735" s="533"/>
      <c r="Q735" s="533"/>
      <c r="R735" s="533"/>
      <c r="S735" s="533"/>
      <c r="T735" s="533"/>
      <c r="U735" s="533"/>
      <c r="V735" s="533"/>
      <c r="W735" s="533"/>
      <c r="X735" s="533"/>
      <c r="Y735" s="533"/>
      <c r="Z735" s="533"/>
      <c r="AA735" s="533"/>
      <c r="AB735" s="533"/>
      <c r="AC735" s="533"/>
    </row>
    <row r="736" spans="1:29" ht="15.75" customHeight="1">
      <c r="A736" s="533"/>
      <c r="B736" s="533"/>
      <c r="C736" s="533"/>
      <c r="D736" s="533"/>
      <c r="E736" s="533"/>
      <c r="F736" s="533"/>
      <c r="G736" s="533"/>
      <c r="H736" s="533"/>
      <c r="I736" s="533"/>
      <c r="J736" s="533"/>
      <c r="K736" s="533"/>
      <c r="L736" s="533"/>
      <c r="M736" s="533"/>
      <c r="N736" s="533"/>
      <c r="O736" s="533"/>
      <c r="P736" s="533"/>
      <c r="Q736" s="533"/>
      <c r="R736" s="533"/>
      <c r="S736" s="533"/>
      <c r="T736" s="533"/>
      <c r="U736" s="533"/>
      <c r="V736" s="533"/>
      <c r="W736" s="533"/>
      <c r="X736" s="533"/>
      <c r="Y736" s="533"/>
      <c r="Z736" s="533"/>
      <c r="AA736" s="533"/>
      <c r="AB736" s="533"/>
      <c r="AC736" s="533"/>
    </row>
    <row r="737" spans="1:29" ht="15.75" customHeight="1">
      <c r="A737" s="533"/>
      <c r="B737" s="533"/>
      <c r="C737" s="533"/>
      <c r="D737" s="533"/>
      <c r="E737" s="533"/>
      <c r="F737" s="533"/>
      <c r="G737" s="533"/>
      <c r="H737" s="533"/>
      <c r="I737" s="533"/>
      <c r="J737" s="533"/>
      <c r="K737" s="533"/>
      <c r="L737" s="533"/>
      <c r="M737" s="533"/>
      <c r="N737" s="533"/>
      <c r="O737" s="533"/>
      <c r="P737" s="533"/>
      <c r="Q737" s="533"/>
      <c r="R737" s="533"/>
      <c r="S737" s="533"/>
      <c r="T737" s="533"/>
      <c r="U737" s="533"/>
      <c r="V737" s="533"/>
      <c r="W737" s="533"/>
      <c r="X737" s="533"/>
      <c r="Y737" s="533"/>
      <c r="Z737" s="533"/>
      <c r="AA737" s="533"/>
      <c r="AB737" s="533"/>
      <c r="AC737" s="533"/>
    </row>
    <row r="738" spans="1:29" ht="15.75" customHeight="1">
      <c r="A738" s="533"/>
      <c r="B738" s="533"/>
      <c r="C738" s="533"/>
      <c r="D738" s="533"/>
      <c r="E738" s="533"/>
      <c r="F738" s="533"/>
      <c r="G738" s="533"/>
      <c r="H738" s="533"/>
      <c r="I738" s="533"/>
      <c r="J738" s="533"/>
      <c r="K738" s="533"/>
      <c r="L738" s="533"/>
      <c r="M738" s="533"/>
      <c r="N738" s="533"/>
      <c r="O738" s="533"/>
      <c r="P738" s="533"/>
      <c r="Q738" s="533"/>
      <c r="R738" s="533"/>
      <c r="S738" s="533"/>
      <c r="T738" s="533"/>
      <c r="U738" s="533"/>
      <c r="V738" s="533"/>
      <c r="W738" s="533"/>
      <c r="X738" s="533"/>
      <c r="Y738" s="533"/>
      <c r="Z738" s="533"/>
      <c r="AA738" s="533"/>
      <c r="AB738" s="533"/>
      <c r="AC738" s="533"/>
    </row>
    <row r="739" spans="1:29" ht="15.75" customHeight="1">
      <c r="A739" s="533"/>
      <c r="B739" s="533"/>
      <c r="C739" s="533"/>
      <c r="D739" s="533"/>
      <c r="E739" s="533"/>
      <c r="F739" s="533"/>
      <c r="G739" s="533"/>
      <c r="H739" s="533"/>
      <c r="I739" s="533"/>
      <c r="J739" s="533"/>
      <c r="K739" s="533"/>
      <c r="L739" s="533"/>
      <c r="M739" s="533"/>
      <c r="N739" s="533"/>
      <c r="O739" s="533"/>
      <c r="P739" s="533"/>
      <c r="Q739" s="533"/>
      <c r="R739" s="533"/>
      <c r="S739" s="533"/>
      <c r="T739" s="533"/>
      <c r="U739" s="533"/>
      <c r="V739" s="533"/>
      <c r="W739" s="533"/>
      <c r="X739" s="533"/>
      <c r="Y739" s="533"/>
      <c r="Z739" s="533"/>
      <c r="AA739" s="533"/>
      <c r="AB739" s="533"/>
      <c r="AC739" s="533"/>
    </row>
    <row r="740" spans="1:29" ht="15.75" customHeight="1">
      <c r="A740" s="533"/>
      <c r="B740" s="533"/>
      <c r="C740" s="533"/>
      <c r="D740" s="533"/>
      <c r="E740" s="533"/>
      <c r="F740" s="533"/>
      <c r="G740" s="533"/>
      <c r="H740" s="533"/>
      <c r="I740" s="533"/>
      <c r="J740" s="533"/>
      <c r="K740" s="533"/>
      <c r="L740" s="533"/>
      <c r="M740" s="533"/>
      <c r="N740" s="533"/>
      <c r="O740" s="533"/>
      <c r="P740" s="533"/>
      <c r="Q740" s="533"/>
      <c r="R740" s="533"/>
      <c r="S740" s="533"/>
      <c r="T740" s="533"/>
      <c r="U740" s="533"/>
      <c r="V740" s="533"/>
      <c r="W740" s="533"/>
      <c r="X740" s="533"/>
      <c r="Y740" s="533"/>
      <c r="Z740" s="533"/>
      <c r="AA740" s="533"/>
      <c r="AB740" s="533"/>
      <c r="AC740" s="533"/>
    </row>
    <row r="741" spans="1:29" ht="15.75" customHeight="1">
      <c r="A741" s="533"/>
      <c r="B741" s="533"/>
      <c r="C741" s="533"/>
      <c r="D741" s="533"/>
      <c r="E741" s="533"/>
      <c r="F741" s="533"/>
      <c r="G741" s="533"/>
      <c r="H741" s="533"/>
      <c r="I741" s="533"/>
      <c r="J741" s="533"/>
      <c r="K741" s="533"/>
      <c r="L741" s="533"/>
      <c r="M741" s="533"/>
      <c r="N741" s="533"/>
      <c r="O741" s="533"/>
      <c r="P741" s="533"/>
      <c r="Q741" s="533"/>
      <c r="R741" s="533"/>
      <c r="S741" s="533"/>
      <c r="T741" s="533"/>
      <c r="U741" s="533"/>
      <c r="V741" s="533"/>
      <c r="W741" s="533"/>
      <c r="X741" s="533"/>
      <c r="Y741" s="533"/>
      <c r="Z741" s="533"/>
      <c r="AA741" s="533"/>
      <c r="AB741" s="533"/>
      <c r="AC741" s="533"/>
    </row>
    <row r="742" spans="1:29" ht="15.75" customHeight="1">
      <c r="A742" s="533"/>
      <c r="B742" s="533"/>
      <c r="C742" s="533"/>
      <c r="D742" s="533"/>
      <c r="E742" s="533"/>
      <c r="F742" s="533"/>
      <c r="G742" s="533"/>
      <c r="H742" s="533"/>
      <c r="I742" s="533"/>
      <c r="J742" s="533"/>
      <c r="K742" s="533"/>
      <c r="L742" s="533"/>
      <c r="M742" s="533"/>
      <c r="N742" s="533"/>
      <c r="O742" s="533"/>
      <c r="P742" s="533"/>
      <c r="Q742" s="533"/>
      <c r="R742" s="533"/>
      <c r="S742" s="533"/>
      <c r="T742" s="533"/>
      <c r="U742" s="533"/>
      <c r="V742" s="533"/>
      <c r="W742" s="533"/>
      <c r="X742" s="533"/>
      <c r="Y742" s="533"/>
      <c r="Z742" s="533"/>
      <c r="AA742" s="533"/>
      <c r="AB742" s="533"/>
      <c r="AC742" s="533"/>
    </row>
    <row r="743" spans="1:29" ht="15.75" customHeight="1">
      <c r="A743" s="533"/>
      <c r="B743" s="533"/>
      <c r="C743" s="533"/>
      <c r="D743" s="533"/>
      <c r="E743" s="533"/>
      <c r="F743" s="533"/>
      <c r="G743" s="533"/>
      <c r="H743" s="533"/>
      <c r="I743" s="533"/>
      <c r="J743" s="533"/>
      <c r="K743" s="533"/>
      <c r="L743" s="533"/>
      <c r="M743" s="533"/>
      <c r="N743" s="533"/>
      <c r="O743" s="533"/>
      <c r="P743" s="533"/>
      <c r="Q743" s="533"/>
      <c r="R743" s="533"/>
      <c r="S743" s="533"/>
      <c r="T743" s="533"/>
      <c r="U743" s="533"/>
      <c r="V743" s="533"/>
      <c r="W743" s="533"/>
      <c r="X743" s="533"/>
      <c r="Y743" s="533"/>
      <c r="Z743" s="533"/>
      <c r="AA743" s="533"/>
      <c r="AB743" s="533"/>
      <c r="AC743" s="533"/>
    </row>
    <row r="744" spans="1:29" ht="15.75" customHeight="1">
      <c r="A744" s="533"/>
      <c r="B744" s="533"/>
      <c r="C744" s="533"/>
      <c r="D744" s="533"/>
      <c r="E744" s="533"/>
      <c r="F744" s="533"/>
      <c r="G744" s="533"/>
      <c r="H744" s="533"/>
      <c r="I744" s="533"/>
      <c r="J744" s="533"/>
      <c r="K744" s="533"/>
      <c r="L744" s="533"/>
      <c r="M744" s="533"/>
      <c r="N744" s="533"/>
      <c r="O744" s="533"/>
      <c r="P744" s="533"/>
      <c r="Q744" s="533"/>
      <c r="R744" s="533"/>
      <c r="S744" s="533"/>
      <c r="T744" s="533"/>
      <c r="U744" s="533"/>
      <c r="V744" s="533"/>
      <c r="W744" s="533"/>
      <c r="X744" s="533"/>
      <c r="Y744" s="533"/>
      <c r="Z744" s="533"/>
      <c r="AA744" s="533"/>
      <c r="AB744" s="533"/>
      <c r="AC744" s="533"/>
    </row>
    <row r="745" spans="1:29" ht="15.75" customHeight="1">
      <c r="A745" s="533"/>
      <c r="B745" s="533"/>
      <c r="C745" s="533"/>
      <c r="D745" s="533"/>
      <c r="E745" s="533"/>
      <c r="F745" s="533"/>
      <c r="G745" s="533"/>
      <c r="H745" s="533"/>
      <c r="I745" s="533"/>
      <c r="J745" s="533"/>
      <c r="K745" s="533"/>
      <c r="L745" s="533"/>
      <c r="M745" s="533"/>
      <c r="N745" s="533"/>
      <c r="O745" s="533"/>
      <c r="P745" s="533"/>
      <c r="Q745" s="533"/>
      <c r="R745" s="533"/>
      <c r="S745" s="533"/>
      <c r="T745" s="533"/>
      <c r="U745" s="533"/>
      <c r="V745" s="533"/>
      <c r="W745" s="533"/>
      <c r="X745" s="533"/>
      <c r="Y745" s="533"/>
      <c r="Z745" s="533"/>
      <c r="AA745" s="533"/>
      <c r="AB745" s="533"/>
      <c r="AC745" s="533"/>
    </row>
    <row r="746" spans="1:29" ht="15.75" customHeight="1">
      <c r="A746" s="533"/>
      <c r="B746" s="533"/>
      <c r="C746" s="533"/>
      <c r="D746" s="533"/>
      <c r="E746" s="533"/>
      <c r="F746" s="533"/>
      <c r="G746" s="533"/>
      <c r="H746" s="533"/>
      <c r="I746" s="533"/>
      <c r="J746" s="533"/>
      <c r="K746" s="533"/>
      <c r="L746" s="533"/>
      <c r="M746" s="533"/>
      <c r="N746" s="533"/>
      <c r="O746" s="533"/>
      <c r="P746" s="533"/>
      <c r="Q746" s="533"/>
      <c r="R746" s="533"/>
      <c r="S746" s="533"/>
      <c r="T746" s="533"/>
      <c r="U746" s="533"/>
      <c r="V746" s="533"/>
      <c r="W746" s="533"/>
      <c r="X746" s="533"/>
      <c r="Y746" s="533"/>
      <c r="Z746" s="533"/>
      <c r="AA746" s="533"/>
      <c r="AB746" s="533"/>
      <c r="AC746" s="533"/>
    </row>
    <row r="747" spans="1:29" ht="15.75" customHeight="1">
      <c r="A747" s="533"/>
      <c r="B747" s="533"/>
      <c r="C747" s="533"/>
      <c r="D747" s="533"/>
      <c r="E747" s="533"/>
      <c r="F747" s="533"/>
      <c r="G747" s="533"/>
      <c r="H747" s="533"/>
      <c r="I747" s="533"/>
      <c r="J747" s="533"/>
      <c r="K747" s="533"/>
      <c r="L747" s="533"/>
      <c r="M747" s="533"/>
      <c r="N747" s="533"/>
      <c r="O747" s="533"/>
      <c r="P747" s="533"/>
      <c r="Q747" s="533"/>
      <c r="R747" s="533"/>
      <c r="S747" s="533"/>
      <c r="T747" s="533"/>
      <c r="U747" s="533"/>
      <c r="V747" s="533"/>
      <c r="W747" s="533"/>
      <c r="X747" s="533"/>
      <c r="Y747" s="533"/>
      <c r="Z747" s="533"/>
      <c r="AA747" s="533"/>
      <c r="AB747" s="533"/>
      <c r="AC747" s="533"/>
    </row>
    <row r="748" spans="1:29" ht="15.75" customHeight="1">
      <c r="A748" s="533"/>
      <c r="B748" s="533"/>
      <c r="C748" s="533"/>
      <c r="D748" s="533"/>
      <c r="E748" s="533"/>
      <c r="F748" s="533"/>
      <c r="G748" s="533"/>
      <c r="H748" s="533"/>
      <c r="I748" s="533"/>
      <c r="J748" s="533"/>
      <c r="K748" s="533"/>
      <c r="L748" s="533"/>
      <c r="M748" s="533"/>
      <c r="N748" s="533"/>
      <c r="O748" s="533"/>
      <c r="P748" s="533"/>
      <c r="Q748" s="533"/>
      <c r="R748" s="533"/>
      <c r="S748" s="533"/>
      <c r="T748" s="533"/>
      <c r="U748" s="533"/>
      <c r="V748" s="533"/>
      <c r="W748" s="533"/>
      <c r="X748" s="533"/>
      <c r="Y748" s="533"/>
      <c r="Z748" s="533"/>
      <c r="AA748" s="533"/>
      <c r="AB748" s="533"/>
      <c r="AC748" s="533"/>
    </row>
    <row r="749" spans="1:29" ht="15.75" customHeight="1">
      <c r="A749" s="533"/>
      <c r="B749" s="533"/>
      <c r="C749" s="533"/>
      <c r="D749" s="533"/>
      <c r="E749" s="533"/>
      <c r="F749" s="533"/>
      <c r="G749" s="533"/>
      <c r="H749" s="533"/>
      <c r="I749" s="533"/>
      <c r="J749" s="533"/>
      <c r="K749" s="533"/>
      <c r="L749" s="533"/>
      <c r="M749" s="533"/>
      <c r="N749" s="533"/>
      <c r="O749" s="533"/>
      <c r="P749" s="533"/>
      <c r="Q749" s="533"/>
      <c r="R749" s="533"/>
      <c r="S749" s="533"/>
      <c r="T749" s="533"/>
      <c r="U749" s="533"/>
      <c r="V749" s="533"/>
      <c r="W749" s="533"/>
      <c r="X749" s="533"/>
      <c r="Y749" s="533"/>
      <c r="Z749" s="533"/>
      <c r="AA749" s="533"/>
      <c r="AB749" s="533"/>
      <c r="AC749" s="533"/>
    </row>
    <row r="750" spans="1:29" ht="15.75" customHeight="1">
      <c r="A750" s="533"/>
      <c r="B750" s="533"/>
      <c r="C750" s="533"/>
      <c r="D750" s="533"/>
      <c r="E750" s="533"/>
      <c r="F750" s="533"/>
      <c r="G750" s="533"/>
      <c r="H750" s="533"/>
      <c r="I750" s="533"/>
      <c r="J750" s="533"/>
      <c r="K750" s="533"/>
      <c r="L750" s="533"/>
      <c r="M750" s="533"/>
      <c r="N750" s="533"/>
      <c r="O750" s="533"/>
      <c r="P750" s="533"/>
      <c r="Q750" s="533"/>
      <c r="R750" s="533"/>
      <c r="S750" s="533"/>
      <c r="T750" s="533"/>
      <c r="U750" s="533"/>
      <c r="V750" s="533"/>
      <c r="W750" s="533"/>
      <c r="X750" s="533"/>
      <c r="Y750" s="533"/>
      <c r="Z750" s="533"/>
      <c r="AA750" s="533"/>
      <c r="AB750" s="533"/>
      <c r="AC750" s="533"/>
    </row>
    <row r="751" spans="1:29" ht="15.75" customHeight="1">
      <c r="A751" s="533"/>
      <c r="B751" s="533"/>
      <c r="C751" s="533"/>
      <c r="D751" s="533"/>
      <c r="E751" s="533"/>
      <c r="F751" s="533"/>
      <c r="G751" s="533"/>
      <c r="H751" s="533"/>
      <c r="I751" s="533"/>
      <c r="J751" s="533"/>
      <c r="K751" s="533"/>
      <c r="L751" s="533"/>
      <c r="M751" s="533"/>
      <c r="N751" s="533"/>
      <c r="O751" s="533"/>
      <c r="P751" s="533"/>
      <c r="Q751" s="533"/>
      <c r="R751" s="533"/>
      <c r="S751" s="533"/>
      <c r="T751" s="533"/>
      <c r="U751" s="533"/>
      <c r="V751" s="533"/>
      <c r="W751" s="533"/>
      <c r="X751" s="533"/>
      <c r="Y751" s="533"/>
      <c r="Z751" s="533"/>
      <c r="AA751" s="533"/>
      <c r="AB751" s="533"/>
      <c r="AC751" s="533"/>
    </row>
    <row r="752" spans="1:29" ht="15.75" customHeight="1">
      <c r="A752" s="533"/>
      <c r="B752" s="533"/>
      <c r="C752" s="533"/>
      <c r="D752" s="533"/>
      <c r="E752" s="533"/>
      <c r="F752" s="533"/>
      <c r="G752" s="533"/>
      <c r="H752" s="533"/>
      <c r="I752" s="533"/>
      <c r="J752" s="533"/>
      <c r="K752" s="533"/>
      <c r="L752" s="533"/>
      <c r="M752" s="533"/>
      <c r="N752" s="533"/>
      <c r="O752" s="533"/>
      <c r="P752" s="533"/>
      <c r="Q752" s="533"/>
      <c r="R752" s="533"/>
      <c r="S752" s="533"/>
      <c r="T752" s="533"/>
      <c r="U752" s="533"/>
      <c r="V752" s="533"/>
      <c r="W752" s="533"/>
      <c r="X752" s="533"/>
      <c r="Y752" s="533"/>
      <c r="Z752" s="533"/>
      <c r="AA752" s="533"/>
      <c r="AB752" s="533"/>
      <c r="AC752" s="533"/>
    </row>
    <row r="753" spans="1:29" ht="15.75" customHeight="1">
      <c r="A753" s="533"/>
      <c r="B753" s="533"/>
      <c r="C753" s="533"/>
      <c r="D753" s="533"/>
      <c r="E753" s="533"/>
      <c r="F753" s="533"/>
      <c r="G753" s="533"/>
      <c r="H753" s="533"/>
      <c r="I753" s="533"/>
      <c r="J753" s="533"/>
      <c r="K753" s="533"/>
      <c r="L753" s="533"/>
      <c r="M753" s="533"/>
      <c r="N753" s="533"/>
      <c r="O753" s="533"/>
      <c r="P753" s="533"/>
      <c r="Q753" s="533"/>
      <c r="R753" s="533"/>
      <c r="S753" s="533"/>
      <c r="T753" s="533"/>
      <c r="U753" s="533"/>
      <c r="V753" s="533"/>
      <c r="W753" s="533"/>
      <c r="X753" s="533"/>
      <c r="Y753" s="533"/>
      <c r="Z753" s="533"/>
      <c r="AA753" s="533"/>
      <c r="AB753" s="533"/>
      <c r="AC753" s="533"/>
    </row>
    <row r="754" spans="1:29" ht="15.75" customHeight="1">
      <c r="A754" s="533"/>
      <c r="B754" s="533"/>
      <c r="C754" s="533"/>
      <c r="D754" s="533"/>
      <c r="E754" s="533"/>
      <c r="F754" s="533"/>
      <c r="G754" s="533"/>
      <c r="H754" s="533"/>
      <c r="I754" s="533"/>
      <c r="J754" s="533"/>
      <c r="K754" s="533"/>
      <c r="L754" s="533"/>
      <c r="M754" s="533"/>
      <c r="N754" s="533"/>
      <c r="O754" s="533"/>
      <c r="P754" s="533"/>
      <c r="Q754" s="533"/>
      <c r="R754" s="533"/>
      <c r="S754" s="533"/>
      <c r="T754" s="533"/>
      <c r="U754" s="533"/>
      <c r="V754" s="533"/>
      <c r="W754" s="533"/>
      <c r="X754" s="533"/>
      <c r="Y754" s="533"/>
      <c r="Z754" s="533"/>
      <c r="AA754" s="533"/>
      <c r="AB754" s="533"/>
      <c r="AC754" s="533"/>
    </row>
    <row r="755" spans="1:29" ht="15.75" customHeight="1">
      <c r="A755" s="533"/>
      <c r="B755" s="533"/>
      <c r="C755" s="533"/>
      <c r="D755" s="533"/>
      <c r="E755" s="533"/>
      <c r="F755" s="533"/>
      <c r="G755" s="533"/>
      <c r="H755" s="533"/>
      <c r="I755" s="533"/>
      <c r="J755" s="533"/>
      <c r="K755" s="533"/>
      <c r="L755" s="533"/>
      <c r="M755" s="533"/>
      <c r="N755" s="533"/>
      <c r="O755" s="533"/>
      <c r="P755" s="533"/>
      <c r="Q755" s="533"/>
      <c r="R755" s="533"/>
      <c r="S755" s="533"/>
      <c r="T755" s="533"/>
      <c r="U755" s="533"/>
      <c r="V755" s="533"/>
      <c r="W755" s="533"/>
      <c r="X755" s="533"/>
      <c r="Y755" s="533"/>
      <c r="Z755" s="533"/>
      <c r="AA755" s="533"/>
      <c r="AB755" s="533"/>
      <c r="AC755" s="533"/>
    </row>
    <row r="756" spans="1:29" ht="15.75" customHeight="1">
      <c r="A756" s="533"/>
      <c r="B756" s="533"/>
      <c r="C756" s="533"/>
      <c r="D756" s="533"/>
      <c r="E756" s="533"/>
      <c r="F756" s="533"/>
      <c r="G756" s="533"/>
      <c r="H756" s="533"/>
      <c r="I756" s="533"/>
      <c r="J756" s="533"/>
      <c r="K756" s="533"/>
      <c r="L756" s="533"/>
      <c r="M756" s="533"/>
      <c r="N756" s="533"/>
      <c r="O756" s="533"/>
      <c r="P756" s="533"/>
      <c r="Q756" s="533"/>
      <c r="R756" s="533"/>
      <c r="S756" s="533"/>
      <c r="T756" s="533"/>
      <c r="U756" s="533"/>
      <c r="V756" s="533"/>
      <c r="W756" s="533"/>
      <c r="X756" s="533"/>
      <c r="Y756" s="533"/>
      <c r="Z756" s="533"/>
      <c r="AA756" s="533"/>
      <c r="AB756" s="533"/>
      <c r="AC756" s="533"/>
    </row>
    <row r="757" spans="1:29" ht="15.75" customHeight="1">
      <c r="A757" s="533"/>
      <c r="B757" s="533"/>
      <c r="C757" s="533"/>
      <c r="D757" s="533"/>
      <c r="E757" s="533"/>
      <c r="F757" s="533"/>
      <c r="G757" s="533"/>
      <c r="H757" s="533"/>
      <c r="I757" s="533"/>
      <c r="J757" s="533"/>
      <c r="K757" s="533"/>
      <c r="L757" s="533"/>
      <c r="M757" s="533"/>
      <c r="N757" s="533"/>
      <c r="O757" s="533"/>
      <c r="P757" s="533"/>
      <c r="Q757" s="533"/>
      <c r="R757" s="533"/>
      <c r="S757" s="533"/>
      <c r="T757" s="533"/>
      <c r="U757" s="533"/>
      <c r="V757" s="533"/>
      <c r="W757" s="533"/>
      <c r="X757" s="533"/>
      <c r="Y757" s="533"/>
      <c r="Z757" s="533"/>
      <c r="AA757" s="533"/>
      <c r="AB757" s="533"/>
      <c r="AC757" s="533"/>
    </row>
    <row r="758" spans="1:29" ht="15.75" customHeight="1">
      <c r="A758" s="533"/>
      <c r="B758" s="533"/>
      <c r="C758" s="533"/>
      <c r="D758" s="533"/>
      <c r="E758" s="533"/>
      <c r="F758" s="533"/>
      <c r="G758" s="533"/>
      <c r="H758" s="533"/>
      <c r="I758" s="533"/>
      <c r="J758" s="533"/>
      <c r="K758" s="533"/>
      <c r="L758" s="533"/>
      <c r="M758" s="533"/>
      <c r="N758" s="533"/>
      <c r="O758" s="533"/>
      <c r="P758" s="533"/>
      <c r="Q758" s="533"/>
      <c r="R758" s="533"/>
      <c r="S758" s="533"/>
      <c r="T758" s="533"/>
      <c r="U758" s="533"/>
      <c r="V758" s="533"/>
      <c r="W758" s="533"/>
      <c r="X758" s="533"/>
      <c r="Y758" s="533"/>
      <c r="Z758" s="533"/>
      <c r="AA758" s="533"/>
      <c r="AB758" s="533"/>
      <c r="AC758" s="533"/>
    </row>
    <row r="759" spans="1:29" ht="15.75" customHeight="1">
      <c r="A759" s="533"/>
      <c r="B759" s="533"/>
      <c r="C759" s="533"/>
      <c r="D759" s="533"/>
      <c r="E759" s="533"/>
      <c r="F759" s="533"/>
      <c r="G759" s="533"/>
      <c r="H759" s="533"/>
      <c r="I759" s="533"/>
      <c r="J759" s="533"/>
      <c r="K759" s="533"/>
      <c r="L759" s="533"/>
      <c r="M759" s="533"/>
      <c r="N759" s="533"/>
      <c r="O759" s="533"/>
      <c r="P759" s="533"/>
      <c r="Q759" s="533"/>
      <c r="R759" s="533"/>
      <c r="S759" s="533"/>
      <c r="T759" s="533"/>
      <c r="U759" s="533"/>
      <c r="V759" s="533"/>
      <c r="W759" s="533"/>
      <c r="X759" s="533"/>
      <c r="Y759" s="533"/>
      <c r="Z759" s="533"/>
      <c r="AA759" s="533"/>
      <c r="AB759" s="533"/>
      <c r="AC759" s="533"/>
    </row>
    <row r="760" spans="1:29" ht="15.75" customHeight="1">
      <c r="A760" s="533"/>
      <c r="B760" s="533"/>
      <c r="C760" s="533"/>
      <c r="D760" s="533"/>
      <c r="E760" s="533"/>
      <c r="F760" s="533"/>
      <c r="G760" s="533"/>
      <c r="H760" s="533"/>
      <c r="I760" s="533"/>
      <c r="J760" s="533"/>
      <c r="K760" s="533"/>
      <c r="L760" s="533"/>
      <c r="M760" s="533"/>
      <c r="N760" s="533"/>
      <c r="O760" s="533"/>
      <c r="P760" s="533"/>
      <c r="Q760" s="533"/>
      <c r="R760" s="533"/>
      <c r="S760" s="533"/>
      <c r="T760" s="533"/>
      <c r="U760" s="533"/>
      <c r="V760" s="533"/>
      <c r="W760" s="533"/>
      <c r="X760" s="533"/>
      <c r="Y760" s="533"/>
      <c r="Z760" s="533"/>
      <c r="AA760" s="533"/>
      <c r="AB760" s="533"/>
      <c r="AC760" s="533"/>
    </row>
    <row r="761" spans="1:29" ht="15.75" customHeight="1">
      <c r="A761" s="533"/>
      <c r="B761" s="533"/>
      <c r="C761" s="533"/>
      <c r="D761" s="533"/>
      <c r="E761" s="533"/>
      <c r="F761" s="533"/>
      <c r="G761" s="533"/>
      <c r="H761" s="533"/>
      <c r="I761" s="533"/>
      <c r="J761" s="533"/>
      <c r="K761" s="533"/>
      <c r="L761" s="533"/>
      <c r="M761" s="533"/>
      <c r="N761" s="533"/>
      <c r="O761" s="533"/>
      <c r="P761" s="533"/>
      <c r="Q761" s="533"/>
      <c r="R761" s="533"/>
      <c r="S761" s="533"/>
      <c r="T761" s="533"/>
      <c r="U761" s="533"/>
      <c r="V761" s="533"/>
      <c r="W761" s="533"/>
      <c r="X761" s="533"/>
      <c r="Y761" s="533"/>
      <c r="Z761" s="533"/>
      <c r="AA761" s="533"/>
      <c r="AB761" s="533"/>
      <c r="AC761" s="533"/>
    </row>
    <row r="762" spans="1:29" ht="15.75" customHeight="1">
      <c r="A762" s="533"/>
      <c r="B762" s="533"/>
      <c r="C762" s="533"/>
      <c r="D762" s="533"/>
      <c r="E762" s="533"/>
      <c r="F762" s="533"/>
      <c r="G762" s="533"/>
      <c r="H762" s="533"/>
      <c r="I762" s="533"/>
      <c r="J762" s="533"/>
      <c r="K762" s="533"/>
      <c r="L762" s="533"/>
      <c r="M762" s="533"/>
      <c r="N762" s="533"/>
      <c r="O762" s="533"/>
      <c r="P762" s="533"/>
      <c r="Q762" s="533"/>
      <c r="R762" s="533"/>
      <c r="S762" s="533"/>
      <c r="T762" s="533"/>
      <c r="U762" s="533"/>
      <c r="V762" s="533"/>
      <c r="W762" s="533"/>
      <c r="X762" s="533"/>
      <c r="Y762" s="533"/>
      <c r="Z762" s="533"/>
      <c r="AA762" s="533"/>
      <c r="AB762" s="533"/>
      <c r="AC762" s="533"/>
    </row>
    <row r="763" spans="1:29" ht="15.75" customHeight="1">
      <c r="A763" s="533"/>
      <c r="B763" s="533"/>
      <c r="C763" s="533"/>
      <c r="D763" s="533"/>
      <c r="E763" s="533"/>
      <c r="F763" s="533"/>
      <c r="G763" s="533"/>
      <c r="H763" s="533"/>
      <c r="I763" s="533"/>
      <c r="J763" s="533"/>
      <c r="K763" s="533"/>
      <c r="L763" s="533"/>
      <c r="M763" s="533"/>
      <c r="N763" s="533"/>
      <c r="O763" s="533"/>
      <c r="P763" s="533"/>
      <c r="Q763" s="533"/>
      <c r="R763" s="533"/>
      <c r="S763" s="533"/>
      <c r="T763" s="533"/>
      <c r="U763" s="533"/>
      <c r="V763" s="533"/>
      <c r="W763" s="533"/>
      <c r="X763" s="533"/>
      <c r="Y763" s="533"/>
      <c r="Z763" s="533"/>
      <c r="AA763" s="533"/>
      <c r="AB763" s="533"/>
      <c r="AC763" s="533"/>
    </row>
    <row r="764" spans="1:29" ht="15.75" customHeight="1">
      <c r="A764" s="533"/>
      <c r="B764" s="533"/>
      <c r="C764" s="533"/>
      <c r="D764" s="533"/>
      <c r="E764" s="533"/>
      <c r="F764" s="533"/>
      <c r="G764" s="533"/>
      <c r="H764" s="533"/>
      <c r="I764" s="533"/>
      <c r="J764" s="533"/>
      <c r="K764" s="533"/>
      <c r="L764" s="533"/>
      <c r="M764" s="533"/>
      <c r="N764" s="533"/>
      <c r="O764" s="533"/>
      <c r="P764" s="533"/>
      <c r="Q764" s="533"/>
      <c r="R764" s="533"/>
      <c r="S764" s="533"/>
      <c r="T764" s="533"/>
      <c r="U764" s="533"/>
      <c r="V764" s="533"/>
      <c r="W764" s="533"/>
      <c r="X764" s="533"/>
      <c r="Y764" s="533"/>
      <c r="Z764" s="533"/>
      <c r="AA764" s="533"/>
      <c r="AB764" s="533"/>
      <c r="AC764" s="533"/>
    </row>
    <row r="765" spans="1:29" ht="15.75" customHeight="1">
      <c r="A765" s="533"/>
      <c r="B765" s="533"/>
      <c r="C765" s="533"/>
      <c r="D765" s="533"/>
      <c r="E765" s="533"/>
      <c r="F765" s="533"/>
      <c r="G765" s="533"/>
      <c r="H765" s="533"/>
      <c r="I765" s="533"/>
      <c r="J765" s="533"/>
      <c r="K765" s="533"/>
      <c r="L765" s="533"/>
      <c r="M765" s="533"/>
      <c r="N765" s="533"/>
      <c r="O765" s="533"/>
      <c r="P765" s="533"/>
      <c r="Q765" s="533"/>
      <c r="R765" s="533"/>
      <c r="S765" s="533"/>
      <c r="T765" s="533"/>
      <c r="U765" s="533"/>
      <c r="V765" s="533"/>
      <c r="W765" s="533"/>
      <c r="X765" s="533"/>
      <c r="Y765" s="533"/>
      <c r="Z765" s="533"/>
      <c r="AA765" s="533"/>
      <c r="AB765" s="533"/>
      <c r="AC765" s="533"/>
    </row>
    <row r="766" spans="1:29" ht="15.75" customHeight="1">
      <c r="A766" s="533"/>
      <c r="B766" s="533"/>
      <c r="C766" s="533"/>
      <c r="D766" s="533"/>
      <c r="E766" s="533"/>
      <c r="F766" s="533"/>
      <c r="G766" s="533"/>
      <c r="H766" s="533"/>
      <c r="I766" s="533"/>
      <c r="J766" s="533"/>
      <c r="K766" s="533"/>
      <c r="L766" s="533"/>
      <c r="M766" s="533"/>
      <c r="N766" s="533"/>
      <c r="O766" s="533"/>
      <c r="P766" s="533"/>
      <c r="Q766" s="533"/>
      <c r="R766" s="533"/>
      <c r="S766" s="533"/>
      <c r="T766" s="533"/>
      <c r="U766" s="533"/>
      <c r="V766" s="533"/>
      <c r="W766" s="533"/>
      <c r="X766" s="533"/>
      <c r="Y766" s="533"/>
      <c r="Z766" s="533"/>
      <c r="AA766" s="533"/>
      <c r="AB766" s="533"/>
      <c r="AC766" s="533"/>
    </row>
    <row r="767" spans="1:29" ht="15.75" customHeight="1">
      <c r="A767" s="533"/>
      <c r="B767" s="533"/>
      <c r="C767" s="533"/>
      <c r="D767" s="533"/>
      <c r="E767" s="533"/>
      <c r="F767" s="533"/>
      <c r="G767" s="533"/>
      <c r="H767" s="533"/>
      <c r="I767" s="533"/>
      <c r="J767" s="533"/>
      <c r="K767" s="533"/>
      <c r="L767" s="533"/>
      <c r="M767" s="533"/>
      <c r="N767" s="533"/>
      <c r="O767" s="533"/>
      <c r="P767" s="533"/>
      <c r="Q767" s="533"/>
      <c r="R767" s="533"/>
      <c r="S767" s="533"/>
      <c r="T767" s="533"/>
      <c r="U767" s="533"/>
      <c r="V767" s="533"/>
      <c r="W767" s="533"/>
      <c r="X767" s="533"/>
      <c r="Y767" s="533"/>
      <c r="Z767" s="533"/>
      <c r="AA767" s="533"/>
      <c r="AB767" s="533"/>
      <c r="AC767" s="533"/>
    </row>
    <row r="768" spans="1:29" ht="15.75" customHeight="1">
      <c r="A768" s="533"/>
      <c r="B768" s="533"/>
      <c r="C768" s="533"/>
      <c r="D768" s="533"/>
      <c r="E768" s="533"/>
      <c r="F768" s="533"/>
      <c r="G768" s="533"/>
      <c r="H768" s="533"/>
      <c r="I768" s="533"/>
      <c r="J768" s="533"/>
      <c r="K768" s="533"/>
      <c r="L768" s="533"/>
      <c r="M768" s="533"/>
      <c r="N768" s="533"/>
      <c r="O768" s="533"/>
      <c r="P768" s="533"/>
      <c r="Q768" s="533"/>
      <c r="R768" s="533"/>
      <c r="S768" s="533"/>
      <c r="T768" s="533"/>
      <c r="U768" s="533"/>
      <c r="V768" s="533"/>
      <c r="W768" s="533"/>
      <c r="X768" s="533"/>
      <c r="Y768" s="533"/>
      <c r="Z768" s="533"/>
      <c r="AA768" s="533"/>
      <c r="AB768" s="533"/>
      <c r="AC768" s="533"/>
    </row>
    <row r="769" spans="1:29" ht="15.75" customHeight="1">
      <c r="A769" s="533"/>
      <c r="B769" s="533"/>
      <c r="C769" s="533"/>
      <c r="D769" s="533"/>
      <c r="E769" s="533"/>
      <c r="F769" s="533"/>
      <c r="G769" s="533"/>
      <c r="H769" s="533"/>
      <c r="I769" s="533"/>
      <c r="J769" s="533"/>
      <c r="K769" s="533"/>
      <c r="L769" s="533"/>
      <c r="M769" s="533"/>
      <c r="N769" s="533"/>
      <c r="O769" s="533"/>
      <c r="P769" s="533"/>
      <c r="Q769" s="533"/>
      <c r="R769" s="533"/>
      <c r="S769" s="533"/>
      <c r="T769" s="533"/>
      <c r="U769" s="533"/>
      <c r="V769" s="533"/>
      <c r="W769" s="533"/>
      <c r="X769" s="533"/>
      <c r="Y769" s="533"/>
      <c r="Z769" s="533"/>
      <c r="AA769" s="533"/>
      <c r="AB769" s="533"/>
      <c r="AC769" s="533"/>
    </row>
    <row r="770" spans="1:29" ht="15.75" customHeight="1">
      <c r="A770" s="533"/>
      <c r="B770" s="533"/>
      <c r="C770" s="533"/>
      <c r="D770" s="533"/>
      <c r="E770" s="533"/>
      <c r="F770" s="533"/>
      <c r="G770" s="533"/>
      <c r="H770" s="533"/>
      <c r="I770" s="533"/>
      <c r="J770" s="533"/>
      <c r="K770" s="533"/>
      <c r="L770" s="533"/>
      <c r="M770" s="533"/>
      <c r="N770" s="533"/>
      <c r="O770" s="533"/>
      <c r="P770" s="533"/>
      <c r="Q770" s="533"/>
      <c r="R770" s="533"/>
      <c r="S770" s="533"/>
      <c r="T770" s="533"/>
      <c r="U770" s="533"/>
      <c r="V770" s="533"/>
      <c r="W770" s="533"/>
      <c r="X770" s="533"/>
      <c r="Y770" s="533"/>
      <c r="Z770" s="533"/>
      <c r="AA770" s="533"/>
      <c r="AB770" s="533"/>
      <c r="AC770" s="533"/>
    </row>
    <row r="771" spans="1:29" ht="15.75" customHeight="1">
      <c r="A771" s="533"/>
      <c r="B771" s="533"/>
      <c r="C771" s="533"/>
      <c r="D771" s="533"/>
      <c r="E771" s="533"/>
      <c r="F771" s="533"/>
      <c r="G771" s="533"/>
      <c r="H771" s="533"/>
      <c r="I771" s="533"/>
      <c r="J771" s="533"/>
      <c r="K771" s="533"/>
      <c r="L771" s="533"/>
      <c r="M771" s="533"/>
      <c r="N771" s="533"/>
      <c r="O771" s="533"/>
      <c r="P771" s="533"/>
      <c r="Q771" s="533"/>
      <c r="R771" s="533"/>
      <c r="S771" s="533"/>
      <c r="T771" s="533"/>
      <c r="U771" s="533"/>
      <c r="V771" s="533"/>
      <c r="W771" s="533"/>
      <c r="X771" s="533"/>
      <c r="Y771" s="533"/>
      <c r="Z771" s="533"/>
      <c r="AA771" s="533"/>
      <c r="AB771" s="533"/>
      <c r="AC771" s="533"/>
    </row>
    <row r="772" spans="1:29" ht="15.75" customHeight="1">
      <c r="A772" s="533"/>
      <c r="B772" s="533"/>
      <c r="C772" s="533"/>
      <c r="D772" s="533"/>
      <c r="E772" s="533"/>
      <c r="F772" s="533"/>
      <c r="G772" s="533"/>
      <c r="H772" s="533"/>
      <c r="I772" s="533"/>
      <c r="J772" s="533"/>
      <c r="K772" s="533"/>
      <c r="L772" s="533"/>
      <c r="M772" s="533"/>
      <c r="N772" s="533"/>
      <c r="O772" s="533"/>
      <c r="P772" s="533"/>
      <c r="Q772" s="533"/>
      <c r="R772" s="533"/>
      <c r="S772" s="533"/>
      <c r="T772" s="533"/>
      <c r="U772" s="533"/>
      <c r="V772" s="533"/>
      <c r="W772" s="533"/>
      <c r="X772" s="533"/>
      <c r="Y772" s="533"/>
      <c r="Z772" s="533"/>
      <c r="AA772" s="533"/>
      <c r="AB772" s="533"/>
      <c r="AC772" s="533"/>
    </row>
    <row r="773" spans="1:29" ht="15.75" customHeight="1">
      <c r="A773" s="533"/>
      <c r="B773" s="533"/>
      <c r="C773" s="533"/>
      <c r="D773" s="533"/>
      <c r="E773" s="533"/>
      <c r="F773" s="533"/>
      <c r="G773" s="533"/>
      <c r="H773" s="533"/>
      <c r="I773" s="533"/>
      <c r="J773" s="533"/>
      <c r="K773" s="533"/>
      <c r="L773" s="533"/>
      <c r="M773" s="533"/>
      <c r="N773" s="533"/>
      <c r="O773" s="533"/>
      <c r="P773" s="533"/>
      <c r="Q773" s="533"/>
      <c r="R773" s="533"/>
      <c r="S773" s="533"/>
      <c r="T773" s="533"/>
      <c r="U773" s="533"/>
      <c r="V773" s="533"/>
      <c r="W773" s="533"/>
      <c r="X773" s="533"/>
      <c r="Y773" s="533"/>
      <c r="Z773" s="533"/>
      <c r="AA773" s="533"/>
      <c r="AB773" s="533"/>
      <c r="AC773" s="533"/>
    </row>
    <row r="774" spans="1:29" ht="15.75" customHeight="1">
      <c r="A774" s="533"/>
      <c r="B774" s="533"/>
      <c r="C774" s="533"/>
      <c r="D774" s="533"/>
      <c r="E774" s="533"/>
      <c r="F774" s="533"/>
      <c r="G774" s="533"/>
      <c r="H774" s="533"/>
      <c r="I774" s="533"/>
      <c r="J774" s="533"/>
      <c r="K774" s="533"/>
      <c r="L774" s="533"/>
      <c r="M774" s="533"/>
      <c r="N774" s="533"/>
      <c r="O774" s="533"/>
      <c r="P774" s="533"/>
      <c r="Q774" s="533"/>
      <c r="R774" s="533"/>
      <c r="S774" s="533"/>
      <c r="T774" s="533"/>
      <c r="U774" s="533"/>
      <c r="V774" s="533"/>
      <c r="W774" s="533"/>
      <c r="X774" s="533"/>
      <c r="Y774" s="533"/>
      <c r="Z774" s="533"/>
      <c r="AA774" s="533"/>
      <c r="AB774" s="533"/>
      <c r="AC774" s="533"/>
    </row>
    <row r="775" spans="1:29" ht="15.75" customHeight="1">
      <c r="A775" s="533"/>
      <c r="B775" s="533"/>
      <c r="C775" s="533"/>
      <c r="D775" s="533"/>
      <c r="E775" s="533"/>
      <c r="F775" s="533"/>
      <c r="G775" s="533"/>
      <c r="H775" s="533"/>
      <c r="I775" s="533"/>
      <c r="J775" s="533"/>
      <c r="K775" s="533"/>
      <c r="L775" s="533"/>
      <c r="M775" s="533"/>
      <c r="N775" s="533"/>
      <c r="O775" s="533"/>
      <c r="P775" s="533"/>
      <c r="Q775" s="533"/>
      <c r="R775" s="533"/>
      <c r="S775" s="533"/>
      <c r="T775" s="533"/>
      <c r="U775" s="533"/>
      <c r="V775" s="533"/>
      <c r="W775" s="533"/>
      <c r="X775" s="533"/>
      <c r="Y775" s="533"/>
      <c r="Z775" s="533"/>
      <c r="AA775" s="533"/>
      <c r="AB775" s="533"/>
      <c r="AC775" s="533"/>
    </row>
    <row r="776" spans="1:29" ht="15.75" customHeight="1">
      <c r="A776" s="533"/>
      <c r="B776" s="533"/>
      <c r="C776" s="533"/>
      <c r="D776" s="533"/>
      <c r="E776" s="533"/>
      <c r="F776" s="533"/>
      <c r="G776" s="533"/>
      <c r="H776" s="533"/>
      <c r="I776" s="533"/>
      <c r="J776" s="533"/>
      <c r="K776" s="533"/>
      <c r="L776" s="533"/>
      <c r="M776" s="533"/>
      <c r="N776" s="533"/>
      <c r="O776" s="533"/>
      <c r="P776" s="533"/>
      <c r="Q776" s="533"/>
      <c r="R776" s="533"/>
      <c r="S776" s="533"/>
      <c r="T776" s="533"/>
      <c r="U776" s="533"/>
      <c r="V776" s="533"/>
      <c r="W776" s="533"/>
      <c r="X776" s="533"/>
      <c r="Y776" s="533"/>
      <c r="Z776" s="533"/>
      <c r="AA776" s="533"/>
      <c r="AB776" s="533"/>
      <c r="AC776" s="533"/>
    </row>
    <row r="777" spans="1:29" ht="15.75" customHeight="1">
      <c r="A777" s="533"/>
      <c r="B777" s="533"/>
      <c r="C777" s="533"/>
      <c r="D777" s="533"/>
      <c r="E777" s="533"/>
      <c r="F777" s="533"/>
      <c r="G777" s="533"/>
      <c r="H777" s="533"/>
      <c r="I777" s="533"/>
      <c r="J777" s="533"/>
      <c r="K777" s="533"/>
      <c r="L777" s="533"/>
      <c r="M777" s="533"/>
      <c r="N777" s="533"/>
      <c r="O777" s="533"/>
      <c r="P777" s="533"/>
      <c r="Q777" s="533"/>
      <c r="R777" s="533"/>
      <c r="S777" s="533"/>
      <c r="T777" s="533"/>
      <c r="U777" s="533"/>
      <c r="V777" s="533"/>
      <c r="W777" s="533"/>
      <c r="X777" s="533"/>
      <c r="Y777" s="533"/>
      <c r="Z777" s="533"/>
      <c r="AA777" s="533"/>
      <c r="AB777" s="533"/>
      <c r="AC777" s="533"/>
    </row>
    <row r="778" spans="1:29" ht="15.75" customHeight="1">
      <c r="A778" s="533"/>
      <c r="B778" s="533"/>
      <c r="C778" s="533"/>
      <c r="D778" s="533"/>
      <c r="E778" s="533"/>
      <c r="F778" s="533"/>
      <c r="G778" s="533"/>
      <c r="H778" s="533"/>
      <c r="I778" s="533"/>
      <c r="J778" s="533"/>
      <c r="K778" s="533"/>
      <c r="L778" s="533"/>
      <c r="M778" s="533"/>
      <c r="N778" s="533"/>
      <c r="O778" s="533"/>
      <c r="P778" s="533"/>
      <c r="Q778" s="533"/>
      <c r="R778" s="533"/>
      <c r="S778" s="533"/>
      <c r="T778" s="533"/>
      <c r="U778" s="533"/>
      <c r="V778" s="533"/>
      <c r="W778" s="533"/>
      <c r="X778" s="533"/>
      <c r="Y778" s="533"/>
      <c r="Z778" s="533"/>
      <c r="AA778" s="533"/>
      <c r="AB778" s="533"/>
      <c r="AC778" s="533"/>
    </row>
    <row r="779" spans="1:29" ht="15.75" customHeight="1">
      <c r="A779" s="533"/>
      <c r="B779" s="533"/>
      <c r="C779" s="533"/>
      <c r="D779" s="533"/>
      <c r="E779" s="533"/>
      <c r="F779" s="533"/>
      <c r="G779" s="533"/>
      <c r="H779" s="533"/>
      <c r="I779" s="533"/>
      <c r="J779" s="533"/>
      <c r="K779" s="533"/>
      <c r="L779" s="533"/>
      <c r="M779" s="533"/>
      <c r="N779" s="533"/>
      <c r="O779" s="533"/>
      <c r="P779" s="533"/>
      <c r="Q779" s="533"/>
      <c r="R779" s="533"/>
      <c r="S779" s="533"/>
      <c r="T779" s="533"/>
      <c r="U779" s="533"/>
      <c r="V779" s="533"/>
      <c r="W779" s="533"/>
      <c r="X779" s="533"/>
      <c r="Y779" s="533"/>
      <c r="Z779" s="533"/>
      <c r="AA779" s="533"/>
      <c r="AB779" s="533"/>
      <c r="AC779" s="533"/>
    </row>
    <row r="780" spans="1:29" ht="15.75" customHeight="1">
      <c r="A780" s="533"/>
      <c r="B780" s="533"/>
      <c r="C780" s="533"/>
      <c r="D780" s="533"/>
      <c r="E780" s="533"/>
      <c r="F780" s="533"/>
      <c r="G780" s="533"/>
      <c r="H780" s="533"/>
      <c r="I780" s="533"/>
      <c r="J780" s="533"/>
      <c r="K780" s="533"/>
      <c r="L780" s="533"/>
      <c r="M780" s="533"/>
      <c r="N780" s="533"/>
      <c r="O780" s="533"/>
      <c r="P780" s="533"/>
      <c r="Q780" s="533"/>
      <c r="R780" s="533"/>
      <c r="S780" s="533"/>
      <c r="T780" s="533"/>
      <c r="U780" s="533"/>
      <c r="V780" s="533"/>
      <c r="W780" s="533"/>
      <c r="X780" s="533"/>
      <c r="Y780" s="533"/>
      <c r="Z780" s="533"/>
      <c r="AA780" s="533"/>
      <c r="AB780" s="533"/>
      <c r="AC780" s="533"/>
    </row>
    <row r="781" spans="1:29" ht="15.75" customHeight="1">
      <c r="A781" s="533"/>
      <c r="B781" s="533"/>
      <c r="C781" s="533"/>
      <c r="D781" s="533"/>
      <c r="E781" s="533"/>
      <c r="F781" s="533"/>
      <c r="G781" s="533"/>
      <c r="H781" s="533"/>
      <c r="I781" s="533"/>
      <c r="J781" s="533"/>
      <c r="K781" s="533"/>
      <c r="L781" s="533"/>
      <c r="M781" s="533"/>
      <c r="N781" s="533"/>
      <c r="O781" s="533"/>
      <c r="P781" s="533"/>
      <c r="Q781" s="533"/>
      <c r="R781" s="533"/>
      <c r="S781" s="533"/>
      <c r="T781" s="533"/>
      <c r="U781" s="533"/>
      <c r="V781" s="533"/>
      <c r="W781" s="533"/>
      <c r="X781" s="533"/>
      <c r="Y781" s="533"/>
      <c r="Z781" s="533"/>
      <c r="AA781" s="533"/>
      <c r="AB781" s="533"/>
      <c r="AC781" s="533"/>
    </row>
    <row r="782" spans="1:29" ht="15.75" customHeight="1">
      <c r="A782" s="533"/>
      <c r="B782" s="533"/>
      <c r="C782" s="533"/>
      <c r="D782" s="533"/>
      <c r="E782" s="533"/>
      <c r="F782" s="533"/>
      <c r="G782" s="533"/>
      <c r="H782" s="533"/>
      <c r="I782" s="533"/>
      <c r="J782" s="533"/>
      <c r="K782" s="533"/>
      <c r="L782" s="533"/>
      <c r="M782" s="533"/>
      <c r="N782" s="533"/>
      <c r="O782" s="533"/>
      <c r="P782" s="533"/>
      <c r="Q782" s="533"/>
      <c r="R782" s="533"/>
      <c r="S782" s="533"/>
      <c r="T782" s="533"/>
      <c r="U782" s="533"/>
      <c r="V782" s="533"/>
      <c r="W782" s="533"/>
      <c r="X782" s="533"/>
      <c r="Y782" s="533"/>
      <c r="Z782" s="533"/>
      <c r="AA782" s="533"/>
      <c r="AB782" s="533"/>
      <c r="AC782" s="533"/>
    </row>
    <row r="783" spans="1:29" ht="15.75" customHeight="1">
      <c r="A783" s="533"/>
      <c r="B783" s="533"/>
      <c r="C783" s="533"/>
      <c r="D783" s="533"/>
      <c r="E783" s="533"/>
      <c r="F783" s="533"/>
      <c r="G783" s="533"/>
      <c r="H783" s="533"/>
      <c r="I783" s="533"/>
      <c r="J783" s="533"/>
      <c r="K783" s="533"/>
      <c r="L783" s="533"/>
      <c r="M783" s="533"/>
      <c r="N783" s="533"/>
      <c r="O783" s="533"/>
      <c r="P783" s="533"/>
      <c r="Q783" s="533"/>
      <c r="R783" s="533"/>
      <c r="S783" s="533"/>
      <c r="T783" s="533"/>
      <c r="U783" s="533"/>
      <c r="V783" s="533"/>
      <c r="W783" s="533"/>
      <c r="X783" s="533"/>
      <c r="Y783" s="533"/>
      <c r="Z783" s="533"/>
      <c r="AA783" s="533"/>
      <c r="AB783" s="533"/>
      <c r="AC783" s="533"/>
    </row>
    <row r="784" spans="1:29" ht="15.75" customHeight="1">
      <c r="A784" s="533"/>
      <c r="B784" s="533"/>
      <c r="C784" s="533"/>
      <c r="D784" s="533"/>
      <c r="E784" s="533"/>
      <c r="F784" s="533"/>
      <c r="G784" s="533"/>
      <c r="H784" s="533"/>
      <c r="I784" s="533"/>
      <c r="J784" s="533"/>
      <c r="K784" s="533"/>
      <c r="L784" s="533"/>
      <c r="M784" s="533"/>
      <c r="N784" s="533"/>
      <c r="O784" s="533"/>
      <c r="P784" s="533"/>
      <c r="Q784" s="533"/>
      <c r="R784" s="533"/>
      <c r="S784" s="533"/>
      <c r="T784" s="533"/>
      <c r="U784" s="533"/>
      <c r="V784" s="533"/>
      <c r="W784" s="533"/>
      <c r="X784" s="533"/>
      <c r="Y784" s="533"/>
      <c r="Z784" s="533"/>
      <c r="AA784" s="533"/>
      <c r="AB784" s="533"/>
      <c r="AC784" s="533"/>
    </row>
    <row r="785" spans="1:29" ht="15.75" customHeight="1">
      <c r="A785" s="533"/>
      <c r="B785" s="533"/>
      <c r="C785" s="533"/>
      <c r="D785" s="533"/>
      <c r="E785" s="533"/>
      <c r="F785" s="533"/>
      <c r="G785" s="533"/>
      <c r="H785" s="533"/>
      <c r="I785" s="533"/>
      <c r="J785" s="533"/>
      <c r="K785" s="533"/>
      <c r="L785" s="533"/>
      <c r="M785" s="533"/>
      <c r="N785" s="533"/>
      <c r="O785" s="533"/>
      <c r="P785" s="533"/>
      <c r="Q785" s="533"/>
      <c r="R785" s="533"/>
      <c r="S785" s="533"/>
      <c r="T785" s="533"/>
      <c r="U785" s="533"/>
      <c r="V785" s="533"/>
      <c r="W785" s="533"/>
      <c r="X785" s="533"/>
      <c r="Y785" s="533"/>
      <c r="Z785" s="533"/>
      <c r="AA785" s="533"/>
      <c r="AB785" s="533"/>
      <c r="AC785" s="533"/>
    </row>
    <row r="786" spans="1:29" ht="15.75" customHeight="1">
      <c r="A786" s="533"/>
      <c r="B786" s="533"/>
      <c r="C786" s="533"/>
      <c r="D786" s="533"/>
      <c r="E786" s="533"/>
      <c r="F786" s="533"/>
      <c r="G786" s="533"/>
      <c r="H786" s="533"/>
      <c r="I786" s="533"/>
      <c r="J786" s="533"/>
      <c r="K786" s="533"/>
      <c r="L786" s="533"/>
      <c r="M786" s="533"/>
      <c r="N786" s="533"/>
      <c r="O786" s="533"/>
      <c r="P786" s="533"/>
      <c r="Q786" s="533"/>
      <c r="R786" s="533"/>
      <c r="S786" s="533"/>
      <c r="T786" s="533"/>
      <c r="U786" s="533"/>
      <c r="V786" s="533"/>
      <c r="W786" s="533"/>
      <c r="X786" s="533"/>
      <c r="Y786" s="533"/>
      <c r="Z786" s="533"/>
      <c r="AA786" s="533"/>
      <c r="AB786" s="533"/>
      <c r="AC786" s="533"/>
    </row>
    <row r="787" spans="1:29" ht="15.75" customHeight="1">
      <c r="A787" s="533"/>
      <c r="B787" s="533"/>
      <c r="C787" s="533"/>
      <c r="D787" s="533"/>
      <c r="E787" s="533"/>
      <c r="F787" s="533"/>
      <c r="G787" s="533"/>
      <c r="H787" s="533"/>
      <c r="I787" s="533"/>
      <c r="J787" s="533"/>
      <c r="K787" s="533"/>
      <c r="L787" s="533"/>
      <c r="M787" s="533"/>
      <c r="N787" s="533"/>
      <c r="O787" s="533"/>
      <c r="P787" s="533"/>
      <c r="Q787" s="533"/>
      <c r="R787" s="533"/>
      <c r="S787" s="533"/>
      <c r="T787" s="533"/>
      <c r="U787" s="533"/>
      <c r="V787" s="533"/>
      <c r="W787" s="533"/>
      <c r="X787" s="533"/>
      <c r="Y787" s="533"/>
      <c r="Z787" s="533"/>
      <c r="AA787" s="533"/>
      <c r="AB787" s="533"/>
      <c r="AC787" s="533"/>
    </row>
    <row r="788" spans="1:29" ht="15.75" customHeight="1">
      <c r="A788" s="533"/>
      <c r="B788" s="533"/>
      <c r="C788" s="533"/>
      <c r="D788" s="533"/>
      <c r="E788" s="533"/>
      <c r="F788" s="533"/>
      <c r="G788" s="533"/>
      <c r="H788" s="533"/>
      <c r="I788" s="533"/>
      <c r="J788" s="533"/>
      <c r="K788" s="533"/>
      <c r="L788" s="533"/>
      <c r="M788" s="533"/>
      <c r="N788" s="533"/>
      <c r="O788" s="533"/>
      <c r="P788" s="533"/>
      <c r="Q788" s="533"/>
      <c r="R788" s="533"/>
      <c r="S788" s="533"/>
      <c r="T788" s="533"/>
      <c r="U788" s="533"/>
      <c r="V788" s="533"/>
      <c r="W788" s="533"/>
      <c r="X788" s="533"/>
      <c r="Y788" s="533"/>
      <c r="Z788" s="533"/>
      <c r="AA788" s="533"/>
      <c r="AB788" s="533"/>
      <c r="AC788" s="533"/>
    </row>
    <row r="789" spans="1:29" ht="15.75" customHeight="1">
      <c r="A789" s="533"/>
      <c r="B789" s="533"/>
      <c r="C789" s="533"/>
      <c r="D789" s="533"/>
      <c r="E789" s="533"/>
      <c r="F789" s="533"/>
      <c r="G789" s="533"/>
      <c r="H789" s="533"/>
      <c r="I789" s="533"/>
      <c r="J789" s="533"/>
      <c r="K789" s="533"/>
      <c r="L789" s="533"/>
      <c r="M789" s="533"/>
      <c r="N789" s="533"/>
      <c r="O789" s="533"/>
      <c r="P789" s="533"/>
      <c r="Q789" s="533"/>
      <c r="R789" s="533"/>
      <c r="S789" s="533"/>
      <c r="T789" s="533"/>
      <c r="U789" s="533"/>
      <c r="V789" s="533"/>
      <c r="W789" s="533"/>
      <c r="X789" s="533"/>
      <c r="Y789" s="533"/>
      <c r="Z789" s="533"/>
      <c r="AA789" s="533"/>
      <c r="AB789" s="533"/>
      <c r="AC789" s="533"/>
    </row>
    <row r="790" spans="1:29" ht="15.75" customHeight="1">
      <c r="A790" s="533"/>
      <c r="B790" s="533"/>
      <c r="C790" s="533"/>
      <c r="D790" s="533"/>
      <c r="E790" s="533"/>
      <c r="F790" s="533"/>
      <c r="G790" s="533"/>
      <c r="H790" s="533"/>
      <c r="I790" s="533"/>
      <c r="J790" s="533"/>
      <c r="K790" s="533"/>
      <c r="L790" s="533"/>
      <c r="M790" s="533"/>
      <c r="N790" s="533"/>
      <c r="O790" s="533"/>
      <c r="P790" s="533"/>
      <c r="Q790" s="533"/>
      <c r="R790" s="533"/>
      <c r="S790" s="533"/>
      <c r="T790" s="533"/>
      <c r="U790" s="533"/>
      <c r="V790" s="533"/>
      <c r="W790" s="533"/>
      <c r="X790" s="533"/>
      <c r="Y790" s="533"/>
      <c r="Z790" s="533"/>
      <c r="AA790" s="533"/>
      <c r="AB790" s="533"/>
      <c r="AC790" s="533"/>
    </row>
    <row r="791" spans="1:29" ht="15.75" customHeight="1">
      <c r="A791" s="533"/>
      <c r="B791" s="533"/>
      <c r="C791" s="533"/>
      <c r="D791" s="533"/>
      <c r="E791" s="533"/>
      <c r="F791" s="533"/>
      <c r="G791" s="533"/>
      <c r="H791" s="533"/>
      <c r="I791" s="533"/>
      <c r="J791" s="533"/>
      <c r="K791" s="533"/>
      <c r="L791" s="533"/>
      <c r="M791" s="533"/>
      <c r="N791" s="533"/>
      <c r="O791" s="533"/>
      <c r="P791" s="533"/>
      <c r="Q791" s="533"/>
      <c r="R791" s="533"/>
      <c r="S791" s="533"/>
      <c r="T791" s="533"/>
      <c r="U791" s="533"/>
      <c r="V791" s="533"/>
      <c r="W791" s="533"/>
      <c r="X791" s="533"/>
      <c r="Y791" s="533"/>
      <c r="Z791" s="533"/>
      <c r="AA791" s="533"/>
      <c r="AB791" s="533"/>
      <c r="AC791" s="533"/>
    </row>
    <row r="792" spans="1:29" ht="15.75" customHeight="1">
      <c r="A792" s="533"/>
      <c r="B792" s="533"/>
      <c r="C792" s="533"/>
      <c r="D792" s="533"/>
      <c r="E792" s="533"/>
      <c r="F792" s="533"/>
      <c r="G792" s="533"/>
      <c r="H792" s="533"/>
      <c r="I792" s="533"/>
      <c r="J792" s="533"/>
      <c r="K792" s="533"/>
      <c r="L792" s="533"/>
      <c r="M792" s="533"/>
      <c r="N792" s="533"/>
      <c r="O792" s="533"/>
      <c r="P792" s="533"/>
      <c r="Q792" s="533"/>
      <c r="R792" s="533"/>
      <c r="S792" s="533"/>
      <c r="T792" s="533"/>
      <c r="U792" s="533"/>
      <c r="V792" s="533"/>
      <c r="W792" s="533"/>
      <c r="X792" s="533"/>
      <c r="Y792" s="533"/>
      <c r="Z792" s="533"/>
      <c r="AA792" s="533"/>
      <c r="AB792" s="533"/>
      <c r="AC792" s="533"/>
    </row>
    <row r="793" spans="1:29" ht="15.75" customHeight="1">
      <c r="A793" s="533"/>
      <c r="B793" s="533"/>
      <c r="C793" s="533"/>
      <c r="D793" s="533"/>
      <c r="E793" s="533"/>
      <c r="F793" s="533"/>
      <c r="G793" s="533"/>
      <c r="H793" s="533"/>
      <c r="I793" s="533"/>
      <c r="J793" s="533"/>
      <c r="K793" s="533"/>
      <c r="L793" s="533"/>
      <c r="M793" s="533"/>
      <c r="N793" s="533"/>
      <c r="O793" s="533"/>
      <c r="P793" s="533"/>
      <c r="Q793" s="533"/>
      <c r="R793" s="533"/>
      <c r="S793" s="533"/>
      <c r="T793" s="533"/>
      <c r="U793" s="533"/>
      <c r="V793" s="533"/>
      <c r="W793" s="533"/>
      <c r="X793" s="533"/>
      <c r="Y793" s="533"/>
      <c r="Z793" s="533"/>
      <c r="AA793" s="533"/>
      <c r="AB793" s="533"/>
      <c r="AC793" s="533"/>
    </row>
    <row r="794" spans="1:29" ht="15.75" customHeight="1">
      <c r="A794" s="533"/>
      <c r="B794" s="533"/>
      <c r="C794" s="533"/>
      <c r="D794" s="533"/>
      <c r="E794" s="533"/>
      <c r="F794" s="533"/>
      <c r="G794" s="533"/>
      <c r="H794" s="533"/>
      <c r="I794" s="533"/>
      <c r="J794" s="533"/>
      <c r="K794" s="533"/>
      <c r="L794" s="533"/>
      <c r="M794" s="533"/>
      <c r="N794" s="533"/>
      <c r="O794" s="533"/>
      <c r="P794" s="533"/>
      <c r="Q794" s="533"/>
      <c r="R794" s="533"/>
      <c r="S794" s="533"/>
      <c r="T794" s="533"/>
      <c r="U794" s="533"/>
      <c r="V794" s="533"/>
      <c r="W794" s="533"/>
      <c r="X794" s="533"/>
      <c r="Y794" s="533"/>
      <c r="Z794" s="533"/>
      <c r="AA794" s="533"/>
      <c r="AB794" s="533"/>
      <c r="AC794" s="533"/>
    </row>
    <row r="795" spans="1:29" ht="15.75" customHeight="1">
      <c r="A795" s="533"/>
      <c r="B795" s="533"/>
      <c r="C795" s="533"/>
      <c r="D795" s="533"/>
      <c r="E795" s="533"/>
      <c r="F795" s="533"/>
      <c r="G795" s="533"/>
      <c r="H795" s="533"/>
      <c r="I795" s="533"/>
      <c r="J795" s="533"/>
      <c r="K795" s="533"/>
      <c r="L795" s="533"/>
      <c r="M795" s="533"/>
      <c r="N795" s="533"/>
      <c r="O795" s="533"/>
      <c r="P795" s="533"/>
      <c r="Q795" s="533"/>
      <c r="R795" s="533"/>
      <c r="S795" s="533"/>
      <c r="T795" s="533"/>
      <c r="U795" s="533"/>
      <c r="V795" s="533"/>
      <c r="W795" s="533"/>
      <c r="X795" s="533"/>
      <c r="Y795" s="533"/>
      <c r="Z795" s="533"/>
      <c r="AA795" s="533"/>
      <c r="AB795" s="533"/>
      <c r="AC795" s="533"/>
    </row>
    <row r="796" spans="1:29" ht="15.75" customHeight="1">
      <c r="A796" s="533"/>
      <c r="B796" s="533"/>
      <c r="C796" s="533"/>
      <c r="D796" s="533"/>
      <c r="E796" s="533"/>
      <c r="F796" s="533"/>
      <c r="G796" s="533"/>
      <c r="H796" s="533"/>
      <c r="I796" s="533"/>
      <c r="J796" s="533"/>
      <c r="K796" s="533"/>
      <c r="L796" s="533"/>
      <c r="M796" s="533"/>
      <c r="N796" s="533"/>
      <c r="O796" s="533"/>
      <c r="P796" s="533"/>
      <c r="Q796" s="533"/>
      <c r="R796" s="533"/>
      <c r="S796" s="533"/>
      <c r="T796" s="533"/>
      <c r="U796" s="533"/>
      <c r="V796" s="533"/>
      <c r="W796" s="533"/>
      <c r="X796" s="533"/>
      <c r="Y796" s="533"/>
      <c r="Z796" s="533"/>
      <c r="AA796" s="533"/>
      <c r="AB796" s="533"/>
      <c r="AC796" s="533"/>
    </row>
    <row r="797" spans="1:29" ht="15.75" customHeight="1">
      <c r="A797" s="533"/>
      <c r="B797" s="533"/>
      <c r="C797" s="533"/>
      <c r="D797" s="533"/>
      <c r="E797" s="533"/>
      <c r="F797" s="533"/>
      <c r="G797" s="533"/>
      <c r="H797" s="533"/>
      <c r="I797" s="533"/>
      <c r="J797" s="533"/>
      <c r="K797" s="533"/>
      <c r="L797" s="533"/>
      <c r="M797" s="533"/>
      <c r="N797" s="533"/>
      <c r="O797" s="533"/>
      <c r="P797" s="533"/>
      <c r="Q797" s="533"/>
      <c r="R797" s="533"/>
      <c r="S797" s="533"/>
      <c r="T797" s="533"/>
      <c r="U797" s="533"/>
      <c r="V797" s="533"/>
      <c r="W797" s="533"/>
      <c r="X797" s="533"/>
      <c r="Y797" s="533"/>
      <c r="Z797" s="533"/>
      <c r="AA797" s="533"/>
      <c r="AB797" s="533"/>
      <c r="AC797" s="533"/>
    </row>
    <row r="798" spans="1:29" ht="15.75" customHeight="1">
      <c r="A798" s="533"/>
      <c r="B798" s="533"/>
      <c r="C798" s="533"/>
      <c r="D798" s="533"/>
      <c r="E798" s="533"/>
      <c r="F798" s="533"/>
      <c r="G798" s="533"/>
      <c r="H798" s="533"/>
      <c r="I798" s="533"/>
      <c r="J798" s="533"/>
      <c r="K798" s="533"/>
      <c r="L798" s="533"/>
      <c r="M798" s="533"/>
      <c r="N798" s="533"/>
      <c r="O798" s="533"/>
      <c r="P798" s="533"/>
      <c r="Q798" s="533"/>
      <c r="R798" s="533"/>
      <c r="S798" s="533"/>
      <c r="T798" s="533"/>
      <c r="U798" s="533"/>
      <c r="V798" s="533"/>
      <c r="W798" s="533"/>
      <c r="X798" s="533"/>
      <c r="Y798" s="533"/>
      <c r="Z798" s="533"/>
      <c r="AA798" s="533"/>
      <c r="AB798" s="533"/>
      <c r="AC798" s="533"/>
    </row>
    <row r="799" spans="1:29" ht="15.75" customHeight="1">
      <c r="A799" s="533"/>
      <c r="B799" s="533"/>
      <c r="C799" s="533"/>
      <c r="D799" s="533"/>
      <c r="E799" s="533"/>
      <c r="F799" s="533"/>
      <c r="G799" s="533"/>
      <c r="H799" s="533"/>
      <c r="I799" s="533"/>
      <c r="J799" s="533"/>
      <c r="K799" s="533"/>
      <c r="L799" s="533"/>
      <c r="M799" s="533"/>
      <c r="N799" s="533"/>
      <c r="O799" s="533"/>
      <c r="P799" s="533"/>
      <c r="Q799" s="533"/>
      <c r="R799" s="533"/>
      <c r="S799" s="533"/>
      <c r="T799" s="533"/>
      <c r="U799" s="533"/>
      <c r="V799" s="533"/>
      <c r="W799" s="533"/>
      <c r="X799" s="533"/>
      <c r="Y799" s="533"/>
      <c r="Z799" s="533"/>
      <c r="AA799" s="533"/>
      <c r="AB799" s="533"/>
      <c r="AC799" s="533"/>
    </row>
    <row r="800" spans="1:29" ht="15.75" customHeight="1">
      <c r="A800" s="533"/>
      <c r="B800" s="533"/>
      <c r="C800" s="533"/>
      <c r="D800" s="533"/>
      <c r="E800" s="533"/>
      <c r="F800" s="533"/>
      <c r="G800" s="533"/>
      <c r="H800" s="533"/>
      <c r="I800" s="533"/>
      <c r="J800" s="533"/>
      <c r="K800" s="533"/>
      <c r="L800" s="533"/>
      <c r="M800" s="533"/>
      <c r="N800" s="533"/>
      <c r="O800" s="533"/>
      <c r="P800" s="533"/>
      <c r="Q800" s="533"/>
      <c r="R800" s="533"/>
      <c r="S800" s="533"/>
      <c r="T800" s="533"/>
      <c r="U800" s="533"/>
      <c r="V800" s="533"/>
      <c r="W800" s="533"/>
      <c r="X800" s="533"/>
      <c r="Y800" s="533"/>
      <c r="Z800" s="533"/>
      <c r="AA800" s="533"/>
      <c r="AB800" s="533"/>
      <c r="AC800" s="533"/>
    </row>
    <row r="801" spans="1:29" ht="15.75" customHeight="1">
      <c r="A801" s="533"/>
      <c r="B801" s="533"/>
      <c r="C801" s="533"/>
      <c r="D801" s="533"/>
      <c r="E801" s="533"/>
      <c r="F801" s="533"/>
      <c r="G801" s="533"/>
      <c r="H801" s="533"/>
      <c r="I801" s="533"/>
      <c r="J801" s="533"/>
      <c r="K801" s="533"/>
      <c r="L801" s="533"/>
      <c r="M801" s="533"/>
      <c r="N801" s="533"/>
      <c r="O801" s="533"/>
      <c r="P801" s="533"/>
      <c r="Q801" s="533"/>
      <c r="R801" s="533"/>
      <c r="S801" s="533"/>
      <c r="T801" s="533"/>
      <c r="U801" s="533"/>
      <c r="V801" s="533"/>
      <c r="W801" s="533"/>
      <c r="X801" s="533"/>
      <c r="Y801" s="533"/>
      <c r="Z801" s="533"/>
      <c r="AA801" s="533"/>
      <c r="AB801" s="533"/>
      <c r="AC801" s="533"/>
    </row>
    <row r="802" spans="1:29" ht="15.75" customHeight="1">
      <c r="A802" s="533"/>
      <c r="B802" s="533"/>
      <c r="C802" s="533"/>
      <c r="D802" s="533"/>
      <c r="E802" s="533"/>
      <c r="F802" s="533"/>
      <c r="G802" s="533"/>
      <c r="H802" s="533"/>
      <c r="I802" s="533"/>
      <c r="J802" s="533"/>
      <c r="K802" s="533"/>
      <c r="L802" s="533"/>
      <c r="M802" s="533"/>
      <c r="N802" s="533"/>
      <c r="O802" s="533"/>
      <c r="P802" s="533"/>
      <c r="Q802" s="533"/>
      <c r="R802" s="533"/>
      <c r="S802" s="533"/>
      <c r="T802" s="533"/>
      <c r="U802" s="533"/>
      <c r="V802" s="533"/>
      <c r="W802" s="533"/>
      <c r="X802" s="533"/>
      <c r="Y802" s="533"/>
      <c r="Z802" s="533"/>
      <c r="AA802" s="533"/>
      <c r="AB802" s="533"/>
      <c r="AC802" s="533"/>
    </row>
    <row r="803" spans="1:29" ht="15.75" customHeight="1">
      <c r="A803" s="533"/>
      <c r="B803" s="533"/>
      <c r="C803" s="533"/>
      <c r="D803" s="533"/>
      <c r="E803" s="533"/>
      <c r="F803" s="533"/>
      <c r="G803" s="533"/>
      <c r="H803" s="533"/>
      <c r="I803" s="533"/>
      <c r="J803" s="533"/>
      <c r="K803" s="533"/>
      <c r="L803" s="533"/>
      <c r="M803" s="533"/>
      <c r="N803" s="533"/>
      <c r="O803" s="533"/>
      <c r="P803" s="533"/>
      <c r="Q803" s="533"/>
      <c r="R803" s="533"/>
      <c r="S803" s="533"/>
      <c r="T803" s="533"/>
      <c r="U803" s="533"/>
      <c r="V803" s="533"/>
      <c r="W803" s="533"/>
      <c r="X803" s="533"/>
      <c r="Y803" s="533"/>
      <c r="Z803" s="533"/>
      <c r="AA803" s="533"/>
      <c r="AB803" s="533"/>
      <c r="AC803" s="533"/>
    </row>
    <row r="804" spans="1:29" ht="15.75" customHeight="1">
      <c r="A804" s="533"/>
      <c r="B804" s="533"/>
      <c r="C804" s="533"/>
      <c r="D804" s="533"/>
      <c r="E804" s="533"/>
      <c r="F804" s="533"/>
      <c r="G804" s="533"/>
      <c r="H804" s="533"/>
      <c r="I804" s="533"/>
      <c r="J804" s="533"/>
      <c r="K804" s="533"/>
      <c r="L804" s="533"/>
      <c r="M804" s="533"/>
      <c r="N804" s="533"/>
      <c r="O804" s="533"/>
      <c r="P804" s="533"/>
      <c r="Q804" s="533"/>
      <c r="R804" s="533"/>
      <c r="S804" s="533"/>
      <c r="T804" s="533"/>
      <c r="U804" s="533"/>
      <c r="V804" s="533"/>
      <c r="W804" s="533"/>
      <c r="X804" s="533"/>
      <c r="Y804" s="533"/>
      <c r="Z804" s="533"/>
      <c r="AA804" s="533"/>
      <c r="AB804" s="533"/>
      <c r="AC804" s="533"/>
    </row>
    <row r="805" spans="1:29" ht="15.75" customHeight="1">
      <c r="A805" s="533"/>
      <c r="B805" s="533"/>
      <c r="C805" s="533"/>
      <c r="D805" s="533"/>
      <c r="E805" s="533"/>
      <c r="F805" s="533"/>
      <c r="G805" s="533"/>
      <c r="H805" s="533"/>
      <c r="I805" s="533"/>
      <c r="J805" s="533"/>
      <c r="K805" s="533"/>
      <c r="L805" s="533"/>
      <c r="M805" s="533"/>
      <c r="N805" s="533"/>
      <c r="O805" s="533"/>
      <c r="P805" s="533"/>
      <c r="Q805" s="533"/>
      <c r="R805" s="533"/>
      <c r="S805" s="533"/>
      <c r="T805" s="533"/>
      <c r="U805" s="533"/>
      <c r="V805" s="533"/>
      <c r="W805" s="533"/>
      <c r="X805" s="533"/>
      <c r="Y805" s="533"/>
      <c r="Z805" s="533"/>
      <c r="AA805" s="533"/>
      <c r="AB805" s="533"/>
      <c r="AC805" s="533"/>
    </row>
    <row r="806" spans="1:29" ht="15.75" customHeight="1">
      <c r="A806" s="533"/>
      <c r="B806" s="533"/>
      <c r="C806" s="533"/>
      <c r="D806" s="533"/>
      <c r="E806" s="533"/>
      <c r="F806" s="533"/>
      <c r="G806" s="533"/>
      <c r="H806" s="533"/>
      <c r="I806" s="533"/>
      <c r="J806" s="533"/>
      <c r="K806" s="533"/>
      <c r="L806" s="533"/>
      <c r="M806" s="533"/>
      <c r="N806" s="533"/>
      <c r="O806" s="533"/>
      <c r="P806" s="533"/>
      <c r="Q806" s="533"/>
      <c r="R806" s="533"/>
      <c r="S806" s="533"/>
      <c r="T806" s="533"/>
      <c r="U806" s="533"/>
      <c r="V806" s="533"/>
      <c r="W806" s="533"/>
      <c r="X806" s="533"/>
      <c r="Y806" s="533"/>
      <c r="Z806" s="533"/>
      <c r="AA806" s="533"/>
      <c r="AB806" s="533"/>
      <c r="AC806" s="533"/>
    </row>
    <row r="807" spans="1:29" ht="15.75" customHeight="1">
      <c r="A807" s="533"/>
      <c r="B807" s="533"/>
      <c r="C807" s="533"/>
      <c r="D807" s="533"/>
      <c r="E807" s="533"/>
      <c r="F807" s="533"/>
      <c r="G807" s="533"/>
      <c r="H807" s="533"/>
      <c r="I807" s="533"/>
      <c r="J807" s="533"/>
      <c r="K807" s="533"/>
      <c r="L807" s="533"/>
      <c r="M807" s="533"/>
      <c r="N807" s="533"/>
      <c r="O807" s="533"/>
      <c r="P807" s="533"/>
      <c r="Q807" s="533"/>
      <c r="R807" s="533"/>
      <c r="S807" s="533"/>
      <c r="T807" s="533"/>
      <c r="U807" s="533"/>
      <c r="V807" s="533"/>
      <c r="W807" s="533"/>
      <c r="X807" s="533"/>
      <c r="Y807" s="533"/>
      <c r="Z807" s="533"/>
      <c r="AA807" s="533"/>
      <c r="AB807" s="533"/>
      <c r="AC807" s="533"/>
    </row>
    <row r="808" spans="1:29" ht="15.75" customHeight="1">
      <c r="A808" s="533"/>
      <c r="B808" s="533"/>
      <c r="C808" s="533"/>
      <c r="D808" s="533"/>
      <c r="E808" s="533"/>
      <c r="F808" s="533"/>
      <c r="G808" s="533"/>
      <c r="H808" s="533"/>
      <c r="I808" s="533"/>
      <c r="J808" s="533"/>
      <c r="K808" s="533"/>
      <c r="L808" s="533"/>
      <c r="M808" s="533"/>
      <c r="N808" s="533"/>
      <c r="O808" s="533"/>
      <c r="P808" s="533"/>
      <c r="Q808" s="533"/>
      <c r="R808" s="533"/>
      <c r="S808" s="533"/>
      <c r="T808" s="533"/>
      <c r="U808" s="533"/>
      <c r="V808" s="533"/>
      <c r="W808" s="533"/>
      <c r="X808" s="533"/>
      <c r="Y808" s="533"/>
      <c r="Z808" s="533"/>
      <c r="AA808" s="533"/>
      <c r="AB808" s="533"/>
      <c r="AC808" s="533"/>
    </row>
    <row r="809" spans="1:29" ht="15.75" customHeight="1">
      <c r="A809" s="533"/>
      <c r="B809" s="533"/>
      <c r="C809" s="533"/>
      <c r="D809" s="533"/>
      <c r="E809" s="533"/>
      <c r="F809" s="533"/>
      <c r="G809" s="533"/>
      <c r="H809" s="533"/>
      <c r="I809" s="533"/>
      <c r="J809" s="533"/>
      <c r="K809" s="533"/>
      <c r="L809" s="533"/>
      <c r="M809" s="533"/>
      <c r="N809" s="533"/>
      <c r="O809" s="533"/>
      <c r="P809" s="533"/>
      <c r="Q809" s="533"/>
      <c r="R809" s="533"/>
      <c r="S809" s="533"/>
      <c r="T809" s="533"/>
      <c r="U809" s="533"/>
      <c r="V809" s="533"/>
      <c r="W809" s="533"/>
      <c r="X809" s="533"/>
      <c r="Y809" s="533"/>
      <c r="Z809" s="533"/>
      <c r="AA809" s="533"/>
      <c r="AB809" s="533"/>
      <c r="AC809" s="533"/>
    </row>
    <row r="810" spans="1:29" ht="15.75" customHeight="1">
      <c r="A810" s="533"/>
      <c r="B810" s="533"/>
      <c r="C810" s="533"/>
      <c r="D810" s="533"/>
      <c r="E810" s="533"/>
      <c r="F810" s="533"/>
      <c r="G810" s="533"/>
      <c r="H810" s="533"/>
      <c r="I810" s="533"/>
      <c r="J810" s="533"/>
      <c r="K810" s="533"/>
      <c r="L810" s="533"/>
      <c r="M810" s="533"/>
      <c r="N810" s="533"/>
      <c r="O810" s="533"/>
      <c r="P810" s="533"/>
      <c r="Q810" s="533"/>
      <c r="R810" s="533"/>
      <c r="S810" s="533"/>
      <c r="T810" s="533"/>
      <c r="U810" s="533"/>
      <c r="V810" s="533"/>
      <c r="W810" s="533"/>
      <c r="X810" s="533"/>
      <c r="Y810" s="533"/>
      <c r="Z810" s="533"/>
      <c r="AA810" s="533"/>
      <c r="AB810" s="533"/>
      <c r="AC810" s="533"/>
    </row>
    <row r="811" spans="1:29" ht="15.75" customHeight="1">
      <c r="A811" s="533"/>
      <c r="B811" s="533"/>
      <c r="C811" s="533"/>
      <c r="D811" s="533"/>
      <c r="E811" s="533"/>
      <c r="F811" s="533"/>
      <c r="G811" s="533"/>
      <c r="H811" s="533"/>
      <c r="I811" s="533"/>
      <c r="J811" s="533"/>
      <c r="K811" s="533"/>
      <c r="L811" s="533"/>
      <c r="M811" s="533"/>
      <c r="N811" s="533"/>
      <c r="O811" s="533"/>
      <c r="P811" s="533"/>
      <c r="Q811" s="533"/>
      <c r="R811" s="533"/>
      <c r="S811" s="533"/>
      <c r="T811" s="533"/>
      <c r="U811" s="533"/>
      <c r="V811" s="533"/>
      <c r="W811" s="533"/>
      <c r="X811" s="533"/>
      <c r="Y811" s="533"/>
      <c r="Z811" s="533"/>
      <c r="AA811" s="533"/>
      <c r="AB811" s="533"/>
      <c r="AC811" s="533"/>
    </row>
    <row r="812" spans="1:29" ht="15.75" customHeight="1">
      <c r="A812" s="533"/>
      <c r="B812" s="533"/>
      <c r="C812" s="533"/>
      <c r="D812" s="533"/>
      <c r="E812" s="533"/>
      <c r="F812" s="533"/>
      <c r="G812" s="533"/>
      <c r="H812" s="533"/>
      <c r="I812" s="533"/>
      <c r="J812" s="533"/>
      <c r="K812" s="533"/>
      <c r="L812" s="533"/>
      <c r="M812" s="533"/>
      <c r="N812" s="533"/>
      <c r="O812" s="533"/>
      <c r="P812" s="533"/>
      <c r="Q812" s="533"/>
      <c r="R812" s="533"/>
      <c r="S812" s="533"/>
      <c r="T812" s="533"/>
      <c r="U812" s="533"/>
      <c r="V812" s="533"/>
      <c r="W812" s="533"/>
      <c r="X812" s="533"/>
      <c r="Y812" s="533"/>
      <c r="Z812" s="533"/>
      <c r="AA812" s="533"/>
      <c r="AB812" s="533"/>
      <c r="AC812" s="533"/>
    </row>
    <row r="813" spans="1:29" ht="15.75" customHeight="1">
      <c r="A813" s="533"/>
      <c r="B813" s="533"/>
      <c r="C813" s="533"/>
      <c r="D813" s="533"/>
      <c r="E813" s="533"/>
      <c r="F813" s="533"/>
      <c r="G813" s="533"/>
      <c r="H813" s="533"/>
      <c r="I813" s="533"/>
      <c r="J813" s="533"/>
      <c r="K813" s="533"/>
      <c r="L813" s="533"/>
      <c r="M813" s="533"/>
      <c r="N813" s="533"/>
      <c r="O813" s="533"/>
      <c r="P813" s="533"/>
      <c r="Q813" s="533"/>
      <c r="R813" s="533"/>
      <c r="S813" s="533"/>
      <c r="T813" s="533"/>
      <c r="U813" s="533"/>
      <c r="V813" s="533"/>
      <c r="W813" s="533"/>
      <c r="X813" s="533"/>
      <c r="Y813" s="533"/>
      <c r="Z813" s="533"/>
      <c r="AA813" s="533"/>
      <c r="AB813" s="533"/>
      <c r="AC813" s="533"/>
    </row>
    <row r="814" spans="1:29" ht="15.75" customHeight="1">
      <c r="A814" s="533"/>
      <c r="B814" s="533"/>
      <c r="C814" s="533"/>
      <c r="D814" s="533"/>
      <c r="E814" s="533"/>
      <c r="F814" s="533"/>
      <c r="G814" s="533"/>
      <c r="H814" s="533"/>
      <c r="I814" s="533"/>
      <c r="J814" s="533"/>
      <c r="K814" s="533"/>
      <c r="L814" s="533"/>
      <c r="M814" s="533"/>
      <c r="N814" s="533"/>
      <c r="O814" s="533"/>
      <c r="P814" s="533"/>
      <c r="Q814" s="533"/>
      <c r="R814" s="533"/>
      <c r="S814" s="533"/>
      <c r="T814" s="533"/>
      <c r="U814" s="533"/>
      <c r="V814" s="533"/>
      <c r="W814" s="533"/>
      <c r="X814" s="533"/>
      <c r="Y814" s="533"/>
      <c r="Z814" s="533"/>
      <c r="AA814" s="533"/>
      <c r="AB814" s="533"/>
      <c r="AC814" s="533"/>
    </row>
    <row r="815" spans="1:29" ht="15.75" customHeight="1">
      <c r="A815" s="533"/>
      <c r="B815" s="533"/>
      <c r="C815" s="533"/>
      <c r="D815" s="533"/>
      <c r="E815" s="533"/>
      <c r="F815" s="533"/>
      <c r="G815" s="533"/>
      <c r="H815" s="533"/>
      <c r="I815" s="533"/>
      <c r="J815" s="533"/>
      <c r="K815" s="533"/>
      <c r="L815" s="533"/>
      <c r="M815" s="533"/>
      <c r="N815" s="533"/>
      <c r="O815" s="533"/>
      <c r="P815" s="533"/>
      <c r="Q815" s="533"/>
      <c r="R815" s="533"/>
      <c r="S815" s="533"/>
      <c r="T815" s="533"/>
      <c r="U815" s="533"/>
      <c r="V815" s="533"/>
      <c r="W815" s="533"/>
      <c r="X815" s="533"/>
      <c r="Y815" s="533"/>
      <c r="Z815" s="533"/>
      <c r="AA815" s="533"/>
      <c r="AB815" s="533"/>
      <c r="AC815" s="533"/>
    </row>
    <row r="816" spans="1:29" ht="15.75" customHeight="1">
      <c r="A816" s="533"/>
      <c r="B816" s="533"/>
      <c r="C816" s="533"/>
      <c r="D816" s="533"/>
      <c r="E816" s="533"/>
      <c r="F816" s="533"/>
      <c r="G816" s="533"/>
      <c r="H816" s="533"/>
      <c r="I816" s="533"/>
      <c r="J816" s="533"/>
      <c r="K816" s="533"/>
      <c r="L816" s="533"/>
      <c r="M816" s="533"/>
      <c r="N816" s="533"/>
      <c r="O816" s="533"/>
      <c r="P816" s="533"/>
      <c r="Q816" s="533"/>
      <c r="R816" s="533"/>
      <c r="S816" s="533"/>
      <c r="T816" s="533"/>
      <c r="U816" s="533"/>
      <c r="V816" s="533"/>
      <c r="W816" s="533"/>
      <c r="X816" s="533"/>
      <c r="Y816" s="533"/>
      <c r="Z816" s="533"/>
      <c r="AA816" s="533"/>
      <c r="AB816" s="533"/>
      <c r="AC816" s="533"/>
    </row>
    <row r="817" spans="1:29" ht="15.75" customHeight="1">
      <c r="A817" s="533"/>
      <c r="B817" s="533"/>
      <c r="C817" s="533"/>
      <c r="D817" s="533"/>
      <c r="E817" s="533"/>
      <c r="F817" s="533"/>
      <c r="G817" s="533"/>
      <c r="H817" s="533"/>
      <c r="I817" s="533"/>
      <c r="J817" s="533"/>
      <c r="K817" s="533"/>
      <c r="L817" s="533"/>
      <c r="M817" s="533"/>
      <c r="N817" s="533"/>
      <c r="O817" s="533"/>
      <c r="P817" s="533"/>
      <c r="Q817" s="533"/>
      <c r="R817" s="533"/>
      <c r="S817" s="533"/>
      <c r="T817" s="533"/>
      <c r="U817" s="533"/>
      <c r="V817" s="533"/>
      <c r="W817" s="533"/>
      <c r="X817" s="533"/>
      <c r="Y817" s="533"/>
      <c r="Z817" s="533"/>
      <c r="AA817" s="533"/>
      <c r="AB817" s="533"/>
      <c r="AC817" s="533"/>
    </row>
    <row r="818" spans="1:29" ht="15.75" customHeight="1">
      <c r="A818" s="533"/>
      <c r="B818" s="533"/>
      <c r="C818" s="533"/>
      <c r="D818" s="533"/>
      <c r="E818" s="533"/>
      <c r="F818" s="533"/>
      <c r="G818" s="533"/>
      <c r="H818" s="533"/>
      <c r="I818" s="533"/>
      <c r="J818" s="533"/>
      <c r="K818" s="533"/>
      <c r="L818" s="533"/>
      <c r="M818" s="533"/>
      <c r="N818" s="533"/>
      <c r="O818" s="533"/>
      <c r="P818" s="533"/>
      <c r="Q818" s="533"/>
      <c r="R818" s="533"/>
      <c r="S818" s="533"/>
      <c r="T818" s="533"/>
      <c r="U818" s="533"/>
      <c r="V818" s="533"/>
      <c r="W818" s="533"/>
      <c r="X818" s="533"/>
      <c r="Y818" s="533"/>
      <c r="Z818" s="533"/>
      <c r="AA818" s="533"/>
      <c r="AB818" s="533"/>
      <c r="AC818" s="533"/>
    </row>
    <row r="819" spans="1:29" ht="15.75" customHeight="1">
      <c r="A819" s="533"/>
      <c r="B819" s="533"/>
      <c r="C819" s="533"/>
      <c r="D819" s="533"/>
      <c r="E819" s="533"/>
      <c r="F819" s="533"/>
      <c r="G819" s="533"/>
      <c r="H819" s="533"/>
      <c r="I819" s="533"/>
      <c r="J819" s="533"/>
      <c r="K819" s="533"/>
      <c r="L819" s="533"/>
      <c r="M819" s="533"/>
      <c r="N819" s="533"/>
      <c r="O819" s="533"/>
      <c r="P819" s="533"/>
      <c r="Q819" s="533"/>
      <c r="R819" s="533"/>
      <c r="S819" s="533"/>
      <c r="T819" s="533"/>
      <c r="U819" s="533"/>
      <c r="V819" s="533"/>
      <c r="W819" s="533"/>
      <c r="X819" s="533"/>
      <c r="Y819" s="533"/>
      <c r="Z819" s="533"/>
      <c r="AA819" s="533"/>
      <c r="AB819" s="533"/>
      <c r="AC819" s="533"/>
    </row>
    <row r="820" spans="1:29" ht="15.75" customHeight="1">
      <c r="A820" s="533"/>
      <c r="B820" s="533"/>
      <c r="C820" s="533"/>
      <c r="D820" s="533"/>
      <c r="E820" s="533"/>
      <c r="F820" s="533"/>
      <c r="G820" s="533"/>
      <c r="H820" s="533"/>
      <c r="I820" s="533"/>
      <c r="J820" s="533"/>
      <c r="K820" s="533"/>
      <c r="L820" s="533"/>
      <c r="M820" s="533"/>
      <c r="N820" s="533"/>
      <c r="O820" s="533"/>
      <c r="P820" s="533"/>
      <c r="Q820" s="533"/>
      <c r="R820" s="533"/>
      <c r="S820" s="533"/>
      <c r="T820" s="533"/>
      <c r="U820" s="533"/>
      <c r="V820" s="533"/>
      <c r="W820" s="533"/>
      <c r="X820" s="533"/>
      <c r="Y820" s="533"/>
      <c r="Z820" s="533"/>
      <c r="AA820" s="533"/>
      <c r="AB820" s="533"/>
      <c r="AC820" s="533"/>
    </row>
    <row r="821" spans="1:29" ht="15.75" customHeight="1">
      <c r="A821" s="533"/>
      <c r="B821" s="533"/>
      <c r="C821" s="533"/>
      <c r="D821" s="533"/>
      <c r="E821" s="533"/>
      <c r="F821" s="533"/>
      <c r="G821" s="533"/>
      <c r="H821" s="533"/>
      <c r="I821" s="533"/>
      <c r="J821" s="533"/>
      <c r="K821" s="533"/>
      <c r="L821" s="533"/>
      <c r="M821" s="533"/>
      <c r="N821" s="533"/>
      <c r="O821" s="533"/>
      <c r="P821" s="533"/>
      <c r="Q821" s="533"/>
      <c r="R821" s="533"/>
      <c r="S821" s="533"/>
      <c r="T821" s="533"/>
      <c r="U821" s="533"/>
      <c r="V821" s="533"/>
      <c r="W821" s="533"/>
      <c r="X821" s="533"/>
      <c r="Y821" s="533"/>
      <c r="Z821" s="533"/>
      <c r="AA821" s="533"/>
      <c r="AB821" s="533"/>
      <c r="AC821" s="533"/>
    </row>
    <row r="822" spans="1:29" ht="15.75" customHeight="1">
      <c r="A822" s="533"/>
      <c r="B822" s="533"/>
      <c r="C822" s="533"/>
      <c r="D822" s="533"/>
      <c r="E822" s="533"/>
      <c r="F822" s="533"/>
      <c r="G822" s="533"/>
      <c r="H822" s="533"/>
      <c r="I822" s="533"/>
      <c r="J822" s="533"/>
      <c r="K822" s="533"/>
      <c r="L822" s="533"/>
      <c r="M822" s="533"/>
      <c r="N822" s="533"/>
      <c r="O822" s="533"/>
      <c r="P822" s="533"/>
      <c r="Q822" s="533"/>
      <c r="R822" s="533"/>
      <c r="S822" s="533"/>
      <c r="T822" s="533"/>
      <c r="U822" s="533"/>
      <c r="V822" s="533"/>
      <c r="W822" s="533"/>
      <c r="X822" s="533"/>
      <c r="Y822" s="533"/>
      <c r="Z822" s="533"/>
      <c r="AA822" s="533"/>
      <c r="AB822" s="533"/>
      <c r="AC822" s="533"/>
    </row>
    <row r="823" spans="1:29" ht="15.75" customHeight="1">
      <c r="A823" s="533"/>
      <c r="B823" s="533"/>
      <c r="C823" s="533"/>
      <c r="D823" s="533"/>
      <c r="E823" s="533"/>
      <c r="F823" s="533"/>
      <c r="G823" s="533"/>
      <c r="H823" s="533"/>
      <c r="I823" s="533"/>
      <c r="J823" s="533"/>
      <c r="K823" s="533"/>
      <c r="L823" s="533"/>
      <c r="M823" s="533"/>
      <c r="N823" s="533"/>
      <c r="O823" s="533"/>
      <c r="P823" s="533"/>
      <c r="Q823" s="533"/>
      <c r="R823" s="533"/>
      <c r="S823" s="533"/>
      <c r="T823" s="533"/>
      <c r="U823" s="533"/>
      <c r="V823" s="533"/>
      <c r="W823" s="533"/>
      <c r="X823" s="533"/>
      <c r="Y823" s="533"/>
      <c r="Z823" s="533"/>
      <c r="AA823" s="533"/>
      <c r="AB823" s="533"/>
      <c r="AC823" s="533"/>
    </row>
    <row r="824" spans="1:29" ht="15.75" customHeight="1">
      <c r="A824" s="533"/>
      <c r="B824" s="533"/>
      <c r="C824" s="533"/>
      <c r="D824" s="533"/>
      <c r="E824" s="533"/>
      <c r="F824" s="533"/>
      <c r="G824" s="533"/>
      <c r="H824" s="533"/>
      <c r="I824" s="533"/>
      <c r="J824" s="533"/>
      <c r="K824" s="533"/>
      <c r="L824" s="533"/>
      <c r="M824" s="533"/>
      <c r="N824" s="533"/>
      <c r="O824" s="533"/>
      <c r="P824" s="533"/>
      <c r="Q824" s="533"/>
      <c r="R824" s="533"/>
      <c r="S824" s="533"/>
      <c r="T824" s="533"/>
      <c r="U824" s="533"/>
      <c r="V824" s="533"/>
      <c r="W824" s="533"/>
      <c r="X824" s="533"/>
      <c r="Y824" s="533"/>
      <c r="Z824" s="533"/>
      <c r="AA824" s="533"/>
      <c r="AB824" s="533"/>
      <c r="AC824" s="533"/>
    </row>
    <row r="825" spans="1:29" ht="15.75" customHeight="1">
      <c r="A825" s="533"/>
      <c r="B825" s="533"/>
      <c r="C825" s="533"/>
      <c r="D825" s="533"/>
      <c r="E825" s="533"/>
      <c r="F825" s="533"/>
      <c r="G825" s="533"/>
      <c r="H825" s="533"/>
      <c r="I825" s="533"/>
      <c r="J825" s="533"/>
      <c r="K825" s="533"/>
      <c r="L825" s="533"/>
      <c r="M825" s="533"/>
      <c r="N825" s="533"/>
      <c r="O825" s="533"/>
      <c r="P825" s="533"/>
      <c r="Q825" s="533"/>
      <c r="R825" s="533"/>
      <c r="S825" s="533"/>
      <c r="T825" s="533"/>
      <c r="U825" s="533"/>
      <c r="V825" s="533"/>
      <c r="W825" s="533"/>
      <c r="X825" s="533"/>
      <c r="Y825" s="533"/>
      <c r="Z825" s="533"/>
      <c r="AA825" s="533"/>
      <c r="AB825" s="533"/>
      <c r="AC825" s="533"/>
    </row>
    <row r="826" spans="1:29" ht="15.75" customHeight="1">
      <c r="A826" s="533"/>
      <c r="B826" s="533"/>
      <c r="C826" s="533"/>
      <c r="D826" s="533"/>
      <c r="E826" s="533"/>
      <c r="F826" s="533"/>
      <c r="G826" s="533"/>
      <c r="H826" s="533"/>
      <c r="I826" s="533"/>
      <c r="J826" s="533"/>
      <c r="K826" s="533"/>
      <c r="L826" s="533"/>
      <c r="M826" s="533"/>
      <c r="N826" s="533"/>
      <c r="O826" s="533"/>
      <c r="P826" s="533"/>
      <c r="Q826" s="533"/>
      <c r="R826" s="533"/>
      <c r="S826" s="533"/>
      <c r="T826" s="533"/>
      <c r="U826" s="533"/>
      <c r="V826" s="533"/>
      <c r="W826" s="533"/>
      <c r="X826" s="533"/>
      <c r="Y826" s="533"/>
      <c r="Z826" s="533"/>
      <c r="AA826" s="533"/>
      <c r="AB826" s="533"/>
      <c r="AC826" s="533"/>
    </row>
    <row r="827" spans="1:29" ht="15.75" customHeight="1">
      <c r="A827" s="533"/>
      <c r="B827" s="533"/>
      <c r="C827" s="533"/>
      <c r="D827" s="533"/>
      <c r="E827" s="533"/>
      <c r="F827" s="533"/>
      <c r="G827" s="533"/>
      <c r="H827" s="533"/>
      <c r="I827" s="533"/>
      <c r="J827" s="533"/>
      <c r="K827" s="533"/>
      <c r="L827" s="533"/>
      <c r="M827" s="533"/>
      <c r="N827" s="533"/>
      <c r="O827" s="533"/>
      <c r="P827" s="533"/>
      <c r="Q827" s="533"/>
      <c r="R827" s="533"/>
      <c r="S827" s="533"/>
      <c r="T827" s="533"/>
      <c r="U827" s="533"/>
      <c r="V827" s="533"/>
      <c r="W827" s="533"/>
      <c r="X827" s="533"/>
      <c r="Y827" s="533"/>
      <c r="Z827" s="533"/>
      <c r="AA827" s="533"/>
      <c r="AB827" s="533"/>
      <c r="AC827" s="533"/>
    </row>
    <row r="828" spans="1:29" ht="15.75" customHeight="1">
      <c r="A828" s="533"/>
      <c r="B828" s="533"/>
      <c r="C828" s="533"/>
      <c r="D828" s="533"/>
      <c r="E828" s="533"/>
      <c r="F828" s="533"/>
      <c r="G828" s="533"/>
      <c r="H828" s="533"/>
      <c r="I828" s="533"/>
      <c r="J828" s="533"/>
      <c r="K828" s="533"/>
      <c r="L828" s="533"/>
      <c r="M828" s="533"/>
      <c r="N828" s="533"/>
      <c r="O828" s="533"/>
      <c r="P828" s="533"/>
      <c r="Q828" s="533"/>
      <c r="R828" s="533"/>
      <c r="S828" s="533"/>
      <c r="T828" s="533"/>
      <c r="U828" s="533"/>
      <c r="V828" s="533"/>
      <c r="W828" s="533"/>
      <c r="X828" s="533"/>
      <c r="Y828" s="533"/>
      <c r="Z828" s="533"/>
      <c r="AA828" s="533"/>
      <c r="AB828" s="533"/>
      <c r="AC828" s="533"/>
    </row>
    <row r="829" spans="1:29" ht="15.75" customHeight="1">
      <c r="A829" s="533"/>
      <c r="B829" s="533"/>
      <c r="C829" s="533"/>
      <c r="D829" s="533"/>
      <c r="E829" s="533"/>
      <c r="F829" s="533"/>
      <c r="G829" s="533"/>
      <c r="H829" s="533"/>
      <c r="I829" s="533"/>
      <c r="J829" s="533"/>
      <c r="K829" s="533"/>
      <c r="L829" s="533"/>
      <c r="M829" s="533"/>
      <c r="N829" s="533"/>
      <c r="O829" s="533"/>
      <c r="P829" s="533"/>
      <c r="Q829" s="533"/>
      <c r="R829" s="533"/>
      <c r="S829" s="533"/>
      <c r="T829" s="533"/>
      <c r="U829" s="533"/>
      <c r="V829" s="533"/>
      <c r="W829" s="533"/>
      <c r="X829" s="533"/>
      <c r="Y829" s="533"/>
      <c r="Z829" s="533"/>
      <c r="AA829" s="533"/>
      <c r="AB829" s="533"/>
      <c r="AC829" s="533"/>
    </row>
    <row r="830" spans="1:29" ht="15.75" customHeight="1">
      <c r="A830" s="533"/>
      <c r="B830" s="533"/>
      <c r="C830" s="533"/>
      <c r="D830" s="533"/>
      <c r="E830" s="533"/>
      <c r="F830" s="533"/>
      <c r="G830" s="533"/>
      <c r="H830" s="533"/>
      <c r="I830" s="533"/>
      <c r="J830" s="533"/>
      <c r="K830" s="533"/>
      <c r="L830" s="533"/>
      <c r="M830" s="533"/>
      <c r="N830" s="533"/>
      <c r="O830" s="533"/>
      <c r="P830" s="533"/>
      <c r="Q830" s="533"/>
      <c r="R830" s="533"/>
      <c r="S830" s="533"/>
      <c r="T830" s="533"/>
      <c r="U830" s="533"/>
      <c r="V830" s="533"/>
      <c r="W830" s="533"/>
      <c r="X830" s="533"/>
      <c r="Y830" s="533"/>
      <c r="Z830" s="533"/>
      <c r="AA830" s="533"/>
      <c r="AB830" s="533"/>
      <c r="AC830" s="533"/>
    </row>
    <row r="831" spans="1:29" ht="15.75" customHeight="1">
      <c r="A831" s="533"/>
      <c r="B831" s="533"/>
      <c r="C831" s="533"/>
      <c r="D831" s="533"/>
      <c r="E831" s="533"/>
      <c r="F831" s="533"/>
      <c r="G831" s="533"/>
      <c r="H831" s="533"/>
      <c r="I831" s="533"/>
      <c r="J831" s="533"/>
      <c r="K831" s="533"/>
      <c r="L831" s="533"/>
      <c r="M831" s="533"/>
      <c r="N831" s="533"/>
      <c r="O831" s="533"/>
      <c r="P831" s="533"/>
      <c r="Q831" s="533"/>
      <c r="R831" s="533"/>
      <c r="S831" s="533"/>
      <c r="T831" s="533"/>
      <c r="U831" s="533"/>
      <c r="V831" s="533"/>
      <c r="W831" s="533"/>
      <c r="X831" s="533"/>
      <c r="Y831" s="533"/>
      <c r="Z831" s="533"/>
      <c r="AA831" s="533"/>
      <c r="AB831" s="533"/>
      <c r="AC831" s="533"/>
    </row>
    <row r="832" spans="1:29" ht="15.75" customHeight="1">
      <c r="A832" s="533"/>
      <c r="B832" s="533"/>
      <c r="C832" s="533"/>
      <c r="D832" s="533"/>
      <c r="E832" s="533"/>
      <c r="F832" s="533"/>
      <c r="G832" s="533"/>
      <c r="H832" s="533"/>
      <c r="I832" s="533"/>
      <c r="J832" s="533"/>
      <c r="K832" s="533"/>
      <c r="L832" s="533"/>
      <c r="M832" s="533"/>
      <c r="N832" s="533"/>
      <c r="O832" s="533"/>
      <c r="P832" s="533"/>
      <c r="Q832" s="533"/>
      <c r="R832" s="533"/>
      <c r="S832" s="533"/>
      <c r="T832" s="533"/>
      <c r="U832" s="533"/>
      <c r="V832" s="533"/>
      <c r="W832" s="533"/>
      <c r="X832" s="533"/>
      <c r="Y832" s="533"/>
      <c r="Z832" s="533"/>
      <c r="AA832" s="533"/>
      <c r="AB832" s="533"/>
      <c r="AC832" s="533"/>
    </row>
    <row r="833" spans="1:29" ht="15.75" customHeight="1">
      <c r="A833" s="533"/>
      <c r="B833" s="533"/>
      <c r="C833" s="533"/>
      <c r="D833" s="533"/>
      <c r="E833" s="533"/>
      <c r="F833" s="533"/>
      <c r="G833" s="533"/>
      <c r="H833" s="533"/>
      <c r="I833" s="533"/>
      <c r="J833" s="533"/>
      <c r="K833" s="533"/>
      <c r="L833" s="533"/>
      <c r="M833" s="533"/>
      <c r="N833" s="533"/>
      <c r="O833" s="533"/>
      <c r="P833" s="533"/>
      <c r="Q833" s="533"/>
      <c r="R833" s="533"/>
      <c r="S833" s="533"/>
      <c r="T833" s="533"/>
      <c r="U833" s="533"/>
      <c r="V833" s="533"/>
      <c r="W833" s="533"/>
      <c r="X833" s="533"/>
      <c r="Y833" s="533"/>
      <c r="Z833" s="533"/>
      <c r="AA833" s="533"/>
      <c r="AB833" s="533"/>
      <c r="AC833" s="533"/>
    </row>
    <row r="834" spans="1:29" ht="15.75" customHeight="1">
      <c r="A834" s="533"/>
      <c r="B834" s="533"/>
      <c r="C834" s="533"/>
      <c r="D834" s="533"/>
      <c r="E834" s="533"/>
      <c r="F834" s="533"/>
      <c r="G834" s="533"/>
      <c r="H834" s="533"/>
      <c r="I834" s="533"/>
      <c r="J834" s="533"/>
      <c r="K834" s="533"/>
      <c r="L834" s="533"/>
      <c r="M834" s="533"/>
      <c r="N834" s="533"/>
      <c r="O834" s="533"/>
      <c r="P834" s="533"/>
      <c r="Q834" s="533"/>
      <c r="R834" s="533"/>
      <c r="S834" s="533"/>
      <c r="T834" s="533"/>
      <c r="U834" s="533"/>
      <c r="V834" s="533"/>
      <c r="W834" s="533"/>
      <c r="X834" s="533"/>
      <c r="Y834" s="533"/>
      <c r="Z834" s="533"/>
      <c r="AA834" s="533"/>
      <c r="AB834" s="533"/>
      <c r="AC834" s="533"/>
    </row>
    <row r="835" spans="1:29" ht="15.75" customHeight="1">
      <c r="A835" s="533"/>
      <c r="B835" s="533"/>
      <c r="C835" s="533"/>
      <c r="D835" s="533"/>
      <c r="E835" s="533"/>
      <c r="F835" s="533"/>
      <c r="G835" s="533"/>
      <c r="H835" s="533"/>
      <c r="I835" s="533"/>
      <c r="J835" s="533"/>
      <c r="K835" s="533"/>
      <c r="L835" s="533"/>
      <c r="M835" s="533"/>
      <c r="N835" s="533"/>
      <c r="O835" s="533"/>
      <c r="P835" s="533"/>
      <c r="Q835" s="533"/>
      <c r="R835" s="533"/>
      <c r="S835" s="533"/>
      <c r="T835" s="533"/>
      <c r="U835" s="533"/>
      <c r="V835" s="533"/>
      <c r="W835" s="533"/>
      <c r="X835" s="533"/>
      <c r="Y835" s="533"/>
      <c r="Z835" s="533"/>
      <c r="AA835" s="533"/>
      <c r="AB835" s="533"/>
      <c r="AC835" s="533"/>
    </row>
    <row r="836" spans="1:29" ht="15.75" customHeight="1">
      <c r="A836" s="533"/>
      <c r="B836" s="533"/>
      <c r="C836" s="533"/>
      <c r="D836" s="533"/>
      <c r="E836" s="533"/>
      <c r="F836" s="533"/>
      <c r="G836" s="533"/>
      <c r="H836" s="533"/>
      <c r="I836" s="533"/>
      <c r="J836" s="533"/>
      <c r="K836" s="533"/>
      <c r="L836" s="533"/>
      <c r="M836" s="533"/>
      <c r="N836" s="533"/>
      <c r="O836" s="533"/>
      <c r="P836" s="533"/>
      <c r="Q836" s="533"/>
      <c r="R836" s="533"/>
      <c r="S836" s="533"/>
      <c r="T836" s="533"/>
      <c r="U836" s="533"/>
      <c r="V836" s="533"/>
      <c r="W836" s="533"/>
      <c r="X836" s="533"/>
      <c r="Y836" s="533"/>
      <c r="Z836" s="533"/>
      <c r="AA836" s="533"/>
      <c r="AB836" s="533"/>
      <c r="AC836" s="533"/>
    </row>
    <row r="837" spans="1:29" ht="15.75" customHeight="1">
      <c r="A837" s="533"/>
      <c r="B837" s="533"/>
      <c r="C837" s="533"/>
      <c r="D837" s="533"/>
      <c r="E837" s="533"/>
      <c r="F837" s="533"/>
      <c r="G837" s="533"/>
      <c r="H837" s="533"/>
      <c r="I837" s="533"/>
      <c r="J837" s="533"/>
      <c r="K837" s="533"/>
      <c r="L837" s="533"/>
      <c r="M837" s="533"/>
      <c r="N837" s="533"/>
      <c r="O837" s="533"/>
      <c r="P837" s="533"/>
      <c r="Q837" s="533"/>
      <c r="R837" s="533"/>
      <c r="S837" s="533"/>
      <c r="T837" s="533"/>
      <c r="U837" s="533"/>
      <c r="V837" s="533"/>
      <c r="W837" s="533"/>
      <c r="X837" s="533"/>
      <c r="Y837" s="533"/>
      <c r="Z837" s="533"/>
      <c r="AA837" s="533"/>
      <c r="AB837" s="533"/>
      <c r="AC837" s="533"/>
    </row>
    <row r="838" spans="1:29" ht="15.75" customHeight="1">
      <c r="A838" s="533"/>
      <c r="B838" s="533"/>
      <c r="C838" s="533"/>
      <c r="D838" s="533"/>
      <c r="E838" s="533"/>
      <c r="F838" s="533"/>
      <c r="G838" s="533"/>
      <c r="H838" s="533"/>
      <c r="I838" s="533"/>
      <c r="J838" s="533"/>
      <c r="K838" s="533"/>
      <c r="L838" s="533"/>
      <c r="M838" s="533"/>
      <c r="N838" s="533"/>
      <c r="O838" s="533"/>
      <c r="P838" s="533"/>
      <c r="Q838" s="533"/>
      <c r="R838" s="533"/>
      <c r="S838" s="533"/>
      <c r="T838" s="533"/>
      <c r="U838" s="533"/>
      <c r="V838" s="533"/>
      <c r="W838" s="533"/>
      <c r="X838" s="533"/>
      <c r="Y838" s="533"/>
      <c r="Z838" s="533"/>
      <c r="AA838" s="533"/>
      <c r="AB838" s="533"/>
      <c r="AC838" s="533"/>
    </row>
    <row r="839" spans="1:29" ht="15.75" customHeight="1">
      <c r="A839" s="533"/>
      <c r="B839" s="533"/>
      <c r="C839" s="533"/>
      <c r="D839" s="533"/>
      <c r="E839" s="533"/>
      <c r="F839" s="533"/>
      <c r="G839" s="533"/>
      <c r="H839" s="533"/>
      <c r="I839" s="533"/>
      <c r="J839" s="533"/>
      <c r="K839" s="533"/>
      <c r="L839" s="533"/>
      <c r="M839" s="533"/>
      <c r="N839" s="533"/>
      <c r="O839" s="533"/>
      <c r="P839" s="533"/>
      <c r="Q839" s="533"/>
      <c r="R839" s="533"/>
      <c r="S839" s="533"/>
      <c r="T839" s="533"/>
      <c r="U839" s="533"/>
      <c r="V839" s="533"/>
      <c r="W839" s="533"/>
      <c r="X839" s="533"/>
      <c r="Y839" s="533"/>
      <c r="Z839" s="533"/>
      <c r="AA839" s="533"/>
      <c r="AB839" s="533"/>
      <c r="AC839" s="533"/>
    </row>
    <row r="840" spans="1:29" ht="15.75" customHeight="1">
      <c r="A840" s="533"/>
      <c r="B840" s="533"/>
      <c r="C840" s="533"/>
      <c r="D840" s="533"/>
      <c r="E840" s="533"/>
      <c r="F840" s="533"/>
      <c r="G840" s="533"/>
      <c r="H840" s="533"/>
      <c r="I840" s="533"/>
      <c r="J840" s="533"/>
      <c r="K840" s="533"/>
      <c r="L840" s="533"/>
      <c r="M840" s="533"/>
      <c r="N840" s="533"/>
      <c r="O840" s="533"/>
      <c r="P840" s="533"/>
      <c r="Q840" s="533"/>
      <c r="R840" s="533"/>
      <c r="S840" s="533"/>
      <c r="T840" s="533"/>
      <c r="U840" s="533"/>
      <c r="V840" s="533"/>
      <c r="W840" s="533"/>
      <c r="X840" s="533"/>
      <c r="Y840" s="533"/>
      <c r="Z840" s="533"/>
      <c r="AA840" s="533"/>
      <c r="AB840" s="533"/>
      <c r="AC840" s="533"/>
    </row>
    <row r="841" spans="1:29" ht="15.75" customHeight="1">
      <c r="A841" s="533"/>
      <c r="B841" s="533"/>
      <c r="C841" s="533"/>
      <c r="D841" s="533"/>
      <c r="E841" s="533"/>
      <c r="F841" s="533"/>
      <c r="G841" s="533"/>
      <c r="H841" s="533"/>
      <c r="I841" s="533"/>
      <c r="J841" s="533"/>
      <c r="K841" s="533"/>
      <c r="L841" s="533"/>
      <c r="M841" s="533"/>
      <c r="N841" s="533"/>
      <c r="O841" s="533"/>
      <c r="P841" s="533"/>
      <c r="Q841" s="533"/>
      <c r="R841" s="533"/>
      <c r="S841" s="533"/>
      <c r="T841" s="533"/>
      <c r="U841" s="533"/>
      <c r="V841" s="533"/>
      <c r="W841" s="533"/>
      <c r="X841" s="533"/>
      <c r="Y841" s="533"/>
      <c r="Z841" s="533"/>
      <c r="AA841" s="533"/>
      <c r="AB841" s="533"/>
      <c r="AC841" s="533"/>
    </row>
    <row r="842" spans="1:29" ht="15.75" customHeight="1">
      <c r="A842" s="533"/>
      <c r="B842" s="533"/>
      <c r="C842" s="533"/>
      <c r="D842" s="533"/>
      <c r="E842" s="533"/>
      <c r="F842" s="533"/>
      <c r="G842" s="533"/>
      <c r="H842" s="533"/>
      <c r="I842" s="533"/>
      <c r="J842" s="533"/>
      <c r="K842" s="533"/>
      <c r="L842" s="533"/>
      <c r="M842" s="533"/>
      <c r="N842" s="533"/>
      <c r="O842" s="533"/>
      <c r="P842" s="533"/>
      <c r="Q842" s="533"/>
      <c r="R842" s="533"/>
      <c r="S842" s="533"/>
      <c r="T842" s="533"/>
      <c r="U842" s="533"/>
      <c r="V842" s="533"/>
      <c r="W842" s="533"/>
      <c r="X842" s="533"/>
      <c r="Y842" s="533"/>
      <c r="Z842" s="533"/>
      <c r="AA842" s="533"/>
      <c r="AB842" s="533"/>
      <c r="AC842" s="533"/>
    </row>
    <row r="843" spans="1:29" ht="15.75" customHeight="1">
      <c r="A843" s="533"/>
      <c r="B843" s="533"/>
      <c r="C843" s="533"/>
      <c r="D843" s="533"/>
      <c r="E843" s="533"/>
      <c r="F843" s="533"/>
      <c r="G843" s="533"/>
      <c r="H843" s="533"/>
      <c r="I843" s="533"/>
      <c r="J843" s="533"/>
      <c r="K843" s="533"/>
      <c r="L843" s="533"/>
      <c r="M843" s="533"/>
      <c r="N843" s="533"/>
      <c r="O843" s="533"/>
      <c r="P843" s="533"/>
      <c r="Q843" s="533"/>
      <c r="R843" s="533"/>
      <c r="S843" s="533"/>
      <c r="T843" s="533"/>
      <c r="U843" s="533"/>
      <c r="V843" s="533"/>
      <c r="W843" s="533"/>
      <c r="X843" s="533"/>
      <c r="Y843" s="533"/>
      <c r="Z843" s="533"/>
      <c r="AA843" s="533"/>
      <c r="AB843" s="533"/>
      <c r="AC843" s="533"/>
    </row>
    <row r="844" spans="1:29" ht="15.75" customHeight="1">
      <c r="A844" s="533"/>
      <c r="B844" s="533"/>
      <c r="C844" s="533"/>
      <c r="D844" s="533"/>
      <c r="E844" s="533"/>
      <c r="F844" s="533"/>
      <c r="G844" s="533"/>
      <c r="H844" s="533"/>
      <c r="I844" s="533"/>
      <c r="J844" s="533"/>
      <c r="K844" s="533"/>
      <c r="L844" s="533"/>
      <c r="M844" s="533"/>
      <c r="N844" s="533"/>
      <c r="O844" s="533"/>
      <c r="P844" s="533"/>
      <c r="Q844" s="533"/>
      <c r="R844" s="533"/>
      <c r="S844" s="533"/>
      <c r="T844" s="533"/>
      <c r="U844" s="533"/>
      <c r="V844" s="533"/>
      <c r="W844" s="533"/>
      <c r="X844" s="533"/>
      <c r="Y844" s="533"/>
      <c r="Z844" s="533"/>
      <c r="AA844" s="533"/>
      <c r="AB844" s="533"/>
      <c r="AC844" s="533"/>
    </row>
    <row r="845" spans="1:29" ht="15.75" customHeight="1">
      <c r="A845" s="533"/>
      <c r="B845" s="533"/>
      <c r="C845" s="533"/>
      <c r="D845" s="533"/>
      <c r="E845" s="533"/>
      <c r="F845" s="533"/>
      <c r="G845" s="533"/>
      <c r="H845" s="533"/>
      <c r="I845" s="533"/>
      <c r="J845" s="533"/>
      <c r="K845" s="533"/>
      <c r="L845" s="533"/>
      <c r="M845" s="533"/>
      <c r="N845" s="533"/>
      <c r="O845" s="533"/>
      <c r="P845" s="533"/>
      <c r="Q845" s="533"/>
      <c r="R845" s="533"/>
      <c r="S845" s="533"/>
      <c r="T845" s="533"/>
      <c r="U845" s="533"/>
      <c r="V845" s="533"/>
      <c r="W845" s="533"/>
      <c r="X845" s="533"/>
      <c r="Y845" s="533"/>
      <c r="Z845" s="533"/>
      <c r="AA845" s="533"/>
      <c r="AB845" s="533"/>
      <c r="AC845" s="533"/>
    </row>
    <row r="846" spans="1:29" ht="15.75" customHeight="1">
      <c r="A846" s="533"/>
      <c r="B846" s="533"/>
      <c r="C846" s="533"/>
      <c r="D846" s="533"/>
      <c r="E846" s="533"/>
      <c r="F846" s="533"/>
      <c r="G846" s="533"/>
      <c r="H846" s="533"/>
      <c r="I846" s="533"/>
      <c r="J846" s="533"/>
      <c r="K846" s="533"/>
      <c r="L846" s="533"/>
      <c r="M846" s="533"/>
      <c r="N846" s="533"/>
      <c r="O846" s="533"/>
      <c r="P846" s="533"/>
      <c r="Q846" s="533"/>
      <c r="R846" s="533"/>
      <c r="S846" s="533"/>
      <c r="T846" s="533"/>
      <c r="U846" s="533"/>
      <c r="V846" s="533"/>
      <c r="W846" s="533"/>
      <c r="X846" s="533"/>
      <c r="Y846" s="533"/>
      <c r="Z846" s="533"/>
      <c r="AA846" s="533"/>
      <c r="AB846" s="533"/>
      <c r="AC846" s="533"/>
    </row>
    <row r="847" spans="1:29" ht="15.75" customHeight="1">
      <c r="A847" s="533"/>
      <c r="B847" s="533"/>
      <c r="C847" s="533"/>
      <c r="D847" s="533"/>
      <c r="E847" s="533"/>
      <c r="F847" s="533"/>
      <c r="G847" s="533"/>
      <c r="H847" s="533"/>
      <c r="I847" s="533"/>
      <c r="J847" s="533"/>
      <c r="K847" s="533"/>
      <c r="L847" s="533"/>
      <c r="M847" s="533"/>
      <c r="N847" s="533"/>
      <c r="O847" s="533"/>
      <c r="P847" s="533"/>
      <c r="Q847" s="533"/>
      <c r="R847" s="533"/>
      <c r="S847" s="533"/>
      <c r="T847" s="533"/>
      <c r="U847" s="533"/>
      <c r="V847" s="533"/>
      <c r="W847" s="533"/>
      <c r="X847" s="533"/>
      <c r="Y847" s="533"/>
      <c r="Z847" s="533"/>
      <c r="AA847" s="533"/>
      <c r="AB847" s="533"/>
      <c r="AC847" s="533"/>
    </row>
    <row r="848" spans="1:29" ht="15.75" customHeight="1">
      <c r="A848" s="533"/>
      <c r="B848" s="533"/>
      <c r="C848" s="533"/>
      <c r="D848" s="533"/>
      <c r="E848" s="533"/>
      <c r="F848" s="533"/>
      <c r="G848" s="533"/>
      <c r="H848" s="533"/>
      <c r="I848" s="533"/>
      <c r="J848" s="533"/>
      <c r="K848" s="533"/>
      <c r="L848" s="533"/>
      <c r="M848" s="533"/>
      <c r="N848" s="533"/>
      <c r="O848" s="533"/>
      <c r="P848" s="533"/>
      <c r="Q848" s="533"/>
      <c r="R848" s="533"/>
      <c r="S848" s="533"/>
      <c r="T848" s="533"/>
      <c r="U848" s="533"/>
      <c r="V848" s="533"/>
      <c r="W848" s="533"/>
      <c r="X848" s="533"/>
      <c r="Y848" s="533"/>
      <c r="Z848" s="533"/>
      <c r="AA848" s="533"/>
      <c r="AB848" s="533"/>
      <c r="AC848" s="533"/>
    </row>
    <row r="849" spans="1:29" ht="15.75" customHeight="1">
      <c r="A849" s="533"/>
      <c r="B849" s="533"/>
      <c r="C849" s="533"/>
      <c r="D849" s="533"/>
      <c r="E849" s="533"/>
      <c r="F849" s="533"/>
      <c r="G849" s="533"/>
      <c r="H849" s="533"/>
      <c r="I849" s="533"/>
      <c r="J849" s="533"/>
      <c r="K849" s="533"/>
      <c r="L849" s="533"/>
      <c r="M849" s="533"/>
      <c r="N849" s="533"/>
      <c r="O849" s="533"/>
      <c r="P849" s="533"/>
      <c r="Q849" s="533"/>
      <c r="R849" s="533"/>
      <c r="S849" s="533"/>
      <c r="T849" s="533"/>
      <c r="U849" s="533"/>
      <c r="V849" s="533"/>
      <c r="W849" s="533"/>
      <c r="X849" s="533"/>
      <c r="Y849" s="533"/>
      <c r="Z849" s="533"/>
      <c r="AA849" s="533"/>
      <c r="AB849" s="533"/>
      <c r="AC849" s="533"/>
    </row>
    <row r="850" spans="1:29" ht="15.75" customHeight="1">
      <c r="A850" s="533"/>
      <c r="B850" s="533"/>
      <c r="C850" s="533"/>
      <c r="D850" s="533"/>
      <c r="E850" s="533"/>
      <c r="F850" s="533"/>
      <c r="G850" s="533"/>
      <c r="H850" s="533"/>
      <c r="I850" s="533"/>
      <c r="J850" s="533"/>
      <c r="K850" s="533"/>
      <c r="L850" s="533"/>
      <c r="M850" s="533"/>
      <c r="N850" s="533"/>
      <c r="O850" s="533"/>
      <c r="P850" s="533"/>
      <c r="Q850" s="533"/>
      <c r="R850" s="533"/>
      <c r="S850" s="533"/>
      <c r="T850" s="533"/>
      <c r="U850" s="533"/>
      <c r="V850" s="533"/>
      <c r="W850" s="533"/>
      <c r="X850" s="533"/>
      <c r="Y850" s="533"/>
      <c r="Z850" s="533"/>
      <c r="AA850" s="533"/>
      <c r="AB850" s="533"/>
      <c r="AC850" s="533"/>
    </row>
    <row r="851" spans="1:29" ht="15.75" customHeight="1">
      <c r="A851" s="533"/>
      <c r="B851" s="533"/>
      <c r="C851" s="533"/>
      <c r="D851" s="533"/>
      <c r="E851" s="533"/>
      <c r="F851" s="533"/>
      <c r="G851" s="533"/>
      <c r="H851" s="533"/>
      <c r="I851" s="533"/>
      <c r="J851" s="533"/>
      <c r="K851" s="533"/>
      <c r="L851" s="533"/>
      <c r="M851" s="533"/>
      <c r="N851" s="533"/>
      <c r="O851" s="533"/>
      <c r="P851" s="533"/>
      <c r="Q851" s="533"/>
      <c r="R851" s="533"/>
      <c r="S851" s="533"/>
      <c r="T851" s="533"/>
      <c r="U851" s="533"/>
      <c r="V851" s="533"/>
      <c r="W851" s="533"/>
      <c r="X851" s="533"/>
      <c r="Y851" s="533"/>
      <c r="Z851" s="533"/>
      <c r="AA851" s="533"/>
      <c r="AB851" s="533"/>
      <c r="AC851" s="533"/>
    </row>
    <row r="852" spans="1:29" ht="15.75" customHeight="1">
      <c r="A852" s="533"/>
      <c r="B852" s="533"/>
      <c r="C852" s="533"/>
      <c r="D852" s="533"/>
      <c r="E852" s="533"/>
      <c r="F852" s="533"/>
      <c r="G852" s="533"/>
      <c r="H852" s="533"/>
      <c r="I852" s="533"/>
      <c r="J852" s="533"/>
      <c r="K852" s="533"/>
      <c r="L852" s="533"/>
      <c r="M852" s="533"/>
      <c r="N852" s="533"/>
      <c r="O852" s="533"/>
      <c r="P852" s="533"/>
      <c r="Q852" s="533"/>
      <c r="R852" s="533"/>
      <c r="S852" s="533"/>
      <c r="T852" s="533"/>
      <c r="U852" s="533"/>
      <c r="V852" s="533"/>
      <c r="W852" s="533"/>
      <c r="X852" s="533"/>
      <c r="Y852" s="533"/>
      <c r="Z852" s="533"/>
      <c r="AA852" s="533"/>
      <c r="AB852" s="533"/>
      <c r="AC852" s="533"/>
    </row>
    <row r="853" spans="1:29" ht="15.75" customHeight="1">
      <c r="A853" s="533"/>
      <c r="B853" s="533"/>
      <c r="C853" s="533"/>
      <c r="D853" s="533"/>
      <c r="E853" s="533"/>
      <c r="F853" s="533"/>
      <c r="G853" s="533"/>
      <c r="H853" s="533"/>
      <c r="I853" s="533"/>
      <c r="J853" s="533"/>
      <c r="K853" s="533"/>
      <c r="L853" s="533"/>
      <c r="M853" s="533"/>
      <c r="N853" s="533"/>
      <c r="O853" s="533"/>
      <c r="P853" s="533"/>
      <c r="Q853" s="533"/>
      <c r="R853" s="533"/>
      <c r="S853" s="533"/>
      <c r="T853" s="533"/>
      <c r="U853" s="533"/>
      <c r="V853" s="533"/>
      <c r="W853" s="533"/>
      <c r="X853" s="533"/>
      <c r="Y853" s="533"/>
      <c r="Z853" s="533"/>
      <c r="AA853" s="533"/>
      <c r="AB853" s="533"/>
      <c r="AC853" s="533"/>
    </row>
    <row r="854" spans="1:29" ht="15.75" customHeight="1">
      <c r="A854" s="533"/>
      <c r="B854" s="533"/>
      <c r="C854" s="533"/>
      <c r="D854" s="533"/>
      <c r="E854" s="533"/>
      <c r="F854" s="533"/>
      <c r="G854" s="533"/>
      <c r="H854" s="533"/>
      <c r="I854" s="533"/>
      <c r="J854" s="533"/>
      <c r="K854" s="533"/>
      <c r="L854" s="533"/>
      <c r="M854" s="533"/>
      <c r="N854" s="533"/>
      <c r="O854" s="533"/>
      <c r="P854" s="533"/>
      <c r="Q854" s="533"/>
      <c r="R854" s="533"/>
      <c r="S854" s="533"/>
      <c r="T854" s="533"/>
      <c r="U854" s="533"/>
      <c r="V854" s="533"/>
      <c r="W854" s="533"/>
      <c r="X854" s="533"/>
      <c r="Y854" s="533"/>
      <c r="Z854" s="533"/>
      <c r="AA854" s="533"/>
      <c r="AB854" s="533"/>
      <c r="AC854" s="533"/>
    </row>
    <row r="855" spans="1:29" ht="15.75" customHeight="1">
      <c r="A855" s="533"/>
      <c r="B855" s="533"/>
      <c r="C855" s="533"/>
      <c r="D855" s="533"/>
      <c r="E855" s="533"/>
      <c r="F855" s="533"/>
      <c r="G855" s="533"/>
      <c r="H855" s="533"/>
      <c r="I855" s="533"/>
      <c r="J855" s="533"/>
      <c r="K855" s="533"/>
      <c r="L855" s="533"/>
      <c r="M855" s="533"/>
      <c r="N855" s="533"/>
      <c r="O855" s="533"/>
      <c r="P855" s="533"/>
      <c r="Q855" s="533"/>
      <c r="R855" s="533"/>
      <c r="S855" s="533"/>
      <c r="T855" s="533"/>
      <c r="U855" s="533"/>
      <c r="V855" s="533"/>
      <c r="W855" s="533"/>
      <c r="X855" s="533"/>
      <c r="Y855" s="533"/>
      <c r="Z855" s="533"/>
      <c r="AA855" s="533"/>
      <c r="AB855" s="533"/>
      <c r="AC855" s="533"/>
    </row>
    <row r="856" spans="1:29" ht="15.75" customHeight="1">
      <c r="A856" s="533"/>
      <c r="B856" s="533"/>
      <c r="C856" s="533"/>
      <c r="D856" s="533"/>
      <c r="E856" s="533"/>
      <c r="F856" s="533"/>
      <c r="G856" s="533"/>
      <c r="H856" s="533"/>
      <c r="I856" s="533"/>
      <c r="J856" s="533"/>
      <c r="K856" s="533"/>
      <c r="L856" s="533"/>
      <c r="M856" s="533"/>
      <c r="N856" s="533"/>
      <c r="O856" s="533"/>
      <c r="P856" s="533"/>
      <c r="Q856" s="533"/>
      <c r="R856" s="533"/>
      <c r="S856" s="533"/>
      <c r="T856" s="533"/>
      <c r="U856" s="533"/>
      <c r="V856" s="533"/>
      <c r="W856" s="533"/>
      <c r="X856" s="533"/>
      <c r="Y856" s="533"/>
      <c r="Z856" s="533"/>
      <c r="AA856" s="533"/>
      <c r="AB856" s="533"/>
      <c r="AC856" s="533"/>
    </row>
    <row r="857" spans="1:29" ht="15.75" customHeight="1">
      <c r="A857" s="533"/>
      <c r="B857" s="533"/>
      <c r="C857" s="533"/>
      <c r="D857" s="533"/>
      <c r="E857" s="533"/>
      <c r="F857" s="533"/>
      <c r="G857" s="533"/>
      <c r="H857" s="533"/>
      <c r="I857" s="533"/>
      <c r="J857" s="533"/>
      <c r="K857" s="533"/>
      <c r="L857" s="533"/>
      <c r="M857" s="533"/>
      <c r="N857" s="533"/>
      <c r="O857" s="533"/>
      <c r="P857" s="533"/>
      <c r="Q857" s="533"/>
      <c r="R857" s="533"/>
      <c r="S857" s="533"/>
      <c r="T857" s="533"/>
      <c r="U857" s="533"/>
      <c r="V857" s="533"/>
      <c r="W857" s="533"/>
      <c r="X857" s="533"/>
      <c r="Y857" s="533"/>
      <c r="Z857" s="533"/>
      <c r="AA857" s="533"/>
      <c r="AB857" s="533"/>
      <c r="AC857" s="533"/>
    </row>
    <row r="858" spans="1:29" ht="15.75" customHeight="1">
      <c r="A858" s="533"/>
      <c r="B858" s="533"/>
      <c r="C858" s="533"/>
      <c r="D858" s="533"/>
      <c r="E858" s="533"/>
      <c r="F858" s="533"/>
      <c r="G858" s="533"/>
      <c r="H858" s="533"/>
      <c r="I858" s="533"/>
      <c r="J858" s="533"/>
      <c r="K858" s="533"/>
      <c r="L858" s="533"/>
      <c r="M858" s="533"/>
      <c r="N858" s="533"/>
      <c r="O858" s="533"/>
      <c r="P858" s="533"/>
      <c r="Q858" s="533"/>
      <c r="R858" s="533"/>
      <c r="S858" s="533"/>
      <c r="T858" s="533"/>
      <c r="U858" s="533"/>
      <c r="V858" s="533"/>
      <c r="W858" s="533"/>
      <c r="X858" s="533"/>
      <c r="Y858" s="533"/>
      <c r="Z858" s="533"/>
      <c r="AA858" s="533"/>
      <c r="AB858" s="533"/>
      <c r="AC858" s="533"/>
    </row>
    <row r="859" spans="1:29" ht="15.75" customHeight="1">
      <c r="A859" s="533"/>
      <c r="B859" s="533"/>
      <c r="C859" s="533"/>
      <c r="D859" s="533"/>
      <c r="E859" s="533"/>
      <c r="F859" s="533"/>
      <c r="G859" s="533"/>
      <c r="H859" s="533"/>
      <c r="I859" s="533"/>
      <c r="J859" s="533"/>
      <c r="K859" s="533"/>
      <c r="L859" s="533"/>
      <c r="M859" s="533"/>
      <c r="N859" s="533"/>
      <c r="O859" s="533"/>
      <c r="P859" s="533"/>
      <c r="Q859" s="533"/>
      <c r="R859" s="533"/>
      <c r="S859" s="533"/>
      <c r="T859" s="533"/>
      <c r="U859" s="533"/>
      <c r="V859" s="533"/>
      <c r="W859" s="533"/>
      <c r="X859" s="533"/>
      <c r="Y859" s="533"/>
      <c r="Z859" s="533"/>
      <c r="AA859" s="533"/>
      <c r="AB859" s="533"/>
      <c r="AC859" s="533"/>
    </row>
    <row r="860" spans="1:29" ht="15.75" customHeight="1">
      <c r="A860" s="533"/>
      <c r="B860" s="533"/>
      <c r="C860" s="533"/>
      <c r="D860" s="533"/>
      <c r="E860" s="533"/>
      <c r="F860" s="533"/>
      <c r="G860" s="533"/>
      <c r="H860" s="533"/>
      <c r="I860" s="533"/>
      <c r="J860" s="533"/>
      <c r="K860" s="533"/>
      <c r="L860" s="533"/>
      <c r="M860" s="533"/>
      <c r="N860" s="533"/>
      <c r="O860" s="533"/>
      <c r="P860" s="533"/>
      <c r="Q860" s="533"/>
      <c r="R860" s="533"/>
      <c r="S860" s="533"/>
      <c r="T860" s="533"/>
      <c r="U860" s="533"/>
      <c r="V860" s="533"/>
      <c r="W860" s="533"/>
      <c r="X860" s="533"/>
      <c r="Y860" s="533"/>
      <c r="Z860" s="533"/>
      <c r="AA860" s="533"/>
      <c r="AB860" s="533"/>
      <c r="AC860" s="533"/>
    </row>
    <row r="861" spans="1:29" ht="15.75" customHeight="1">
      <c r="A861" s="533"/>
      <c r="B861" s="533"/>
      <c r="C861" s="533"/>
      <c r="D861" s="533"/>
      <c r="E861" s="533"/>
      <c r="F861" s="533"/>
      <c r="G861" s="533"/>
      <c r="H861" s="533"/>
      <c r="I861" s="533"/>
      <c r="J861" s="533"/>
      <c r="K861" s="533"/>
      <c r="L861" s="533"/>
      <c r="M861" s="533"/>
      <c r="N861" s="533"/>
      <c r="O861" s="533"/>
      <c r="P861" s="533"/>
      <c r="Q861" s="533"/>
      <c r="R861" s="533"/>
      <c r="S861" s="533"/>
      <c r="T861" s="533"/>
      <c r="U861" s="533"/>
      <c r="V861" s="533"/>
      <c r="W861" s="533"/>
      <c r="X861" s="533"/>
      <c r="Y861" s="533"/>
      <c r="Z861" s="533"/>
      <c r="AA861" s="533"/>
      <c r="AB861" s="533"/>
      <c r="AC861" s="533"/>
    </row>
    <row r="862" spans="1:29" ht="15.75" customHeight="1">
      <c r="A862" s="533"/>
      <c r="B862" s="533"/>
      <c r="C862" s="533"/>
      <c r="D862" s="533"/>
      <c r="E862" s="533"/>
      <c r="F862" s="533"/>
      <c r="G862" s="533"/>
      <c r="H862" s="533"/>
      <c r="I862" s="533"/>
      <c r="J862" s="533"/>
      <c r="K862" s="533"/>
      <c r="L862" s="533"/>
      <c r="M862" s="533"/>
      <c r="N862" s="533"/>
      <c r="O862" s="533"/>
      <c r="P862" s="533"/>
      <c r="Q862" s="533"/>
      <c r="R862" s="533"/>
      <c r="S862" s="533"/>
      <c r="T862" s="533"/>
      <c r="U862" s="533"/>
      <c r="V862" s="533"/>
      <c r="W862" s="533"/>
      <c r="X862" s="533"/>
      <c r="Y862" s="533"/>
      <c r="Z862" s="533"/>
      <c r="AA862" s="533"/>
      <c r="AB862" s="533"/>
      <c r="AC862" s="533"/>
    </row>
    <row r="863" spans="1:29" ht="15.75" customHeight="1">
      <c r="A863" s="533"/>
      <c r="B863" s="533"/>
      <c r="C863" s="533"/>
      <c r="D863" s="533"/>
      <c r="E863" s="533"/>
      <c r="F863" s="533"/>
      <c r="G863" s="533"/>
      <c r="H863" s="533"/>
      <c r="I863" s="533"/>
      <c r="J863" s="533"/>
      <c r="K863" s="533"/>
      <c r="L863" s="533"/>
      <c r="M863" s="533"/>
      <c r="N863" s="533"/>
      <c r="O863" s="533"/>
      <c r="P863" s="533"/>
      <c r="Q863" s="533"/>
      <c r="R863" s="533"/>
      <c r="S863" s="533"/>
      <c r="T863" s="533"/>
      <c r="U863" s="533"/>
      <c r="V863" s="533"/>
      <c r="W863" s="533"/>
      <c r="X863" s="533"/>
      <c r="Y863" s="533"/>
      <c r="Z863" s="533"/>
      <c r="AA863" s="533"/>
      <c r="AB863" s="533"/>
      <c r="AC863" s="533"/>
    </row>
    <row r="864" spans="1:29" ht="15.75" customHeight="1">
      <c r="A864" s="533"/>
      <c r="B864" s="533"/>
      <c r="C864" s="533"/>
      <c r="D864" s="533"/>
      <c r="E864" s="533"/>
      <c r="F864" s="533"/>
      <c r="G864" s="533"/>
      <c r="H864" s="533"/>
      <c r="I864" s="533"/>
      <c r="J864" s="533"/>
      <c r="K864" s="533"/>
      <c r="L864" s="533"/>
      <c r="M864" s="533"/>
      <c r="N864" s="533"/>
      <c r="O864" s="533"/>
      <c r="P864" s="533"/>
      <c r="Q864" s="533"/>
      <c r="R864" s="533"/>
      <c r="S864" s="533"/>
      <c r="T864" s="533"/>
      <c r="U864" s="533"/>
      <c r="V864" s="533"/>
      <c r="W864" s="533"/>
      <c r="X864" s="533"/>
      <c r="Y864" s="533"/>
      <c r="Z864" s="533"/>
      <c r="AA864" s="533"/>
      <c r="AB864" s="533"/>
      <c r="AC864" s="533"/>
    </row>
    <row r="865" spans="1:29" ht="15.75" customHeight="1">
      <c r="A865" s="533"/>
      <c r="B865" s="533"/>
      <c r="C865" s="533"/>
      <c r="D865" s="533"/>
      <c r="E865" s="533"/>
      <c r="F865" s="533"/>
      <c r="G865" s="533"/>
      <c r="H865" s="533"/>
      <c r="I865" s="533"/>
      <c r="J865" s="533"/>
      <c r="K865" s="533"/>
      <c r="L865" s="533"/>
      <c r="M865" s="533"/>
      <c r="N865" s="533"/>
      <c r="O865" s="533"/>
      <c r="P865" s="533"/>
      <c r="Q865" s="533"/>
      <c r="R865" s="533"/>
      <c r="S865" s="533"/>
      <c r="T865" s="533"/>
      <c r="U865" s="533"/>
      <c r="V865" s="533"/>
      <c r="W865" s="533"/>
      <c r="X865" s="533"/>
      <c r="Y865" s="533"/>
      <c r="Z865" s="533"/>
      <c r="AA865" s="533"/>
      <c r="AB865" s="533"/>
      <c r="AC865" s="533"/>
    </row>
    <row r="866" spans="1:29" ht="15.75" customHeight="1">
      <c r="A866" s="533"/>
      <c r="B866" s="533"/>
      <c r="C866" s="533"/>
      <c r="D866" s="533"/>
      <c r="E866" s="533"/>
      <c r="F866" s="533"/>
      <c r="G866" s="533"/>
      <c r="H866" s="533"/>
      <c r="I866" s="533"/>
      <c r="J866" s="533"/>
      <c r="K866" s="533"/>
      <c r="L866" s="533"/>
      <c r="M866" s="533"/>
      <c r="N866" s="533"/>
      <c r="O866" s="533"/>
      <c r="P866" s="533"/>
      <c r="Q866" s="533"/>
      <c r="R866" s="533"/>
      <c r="S866" s="533"/>
      <c r="T866" s="533"/>
      <c r="U866" s="533"/>
      <c r="V866" s="533"/>
      <c r="W866" s="533"/>
      <c r="X866" s="533"/>
      <c r="Y866" s="533"/>
      <c r="Z866" s="533"/>
      <c r="AA866" s="533"/>
      <c r="AB866" s="533"/>
      <c r="AC866" s="533"/>
    </row>
    <row r="867" spans="1:29" ht="15.75" customHeight="1">
      <c r="A867" s="533"/>
      <c r="B867" s="533"/>
      <c r="C867" s="533"/>
      <c r="D867" s="533"/>
      <c r="E867" s="533"/>
      <c r="F867" s="533"/>
      <c r="G867" s="533"/>
      <c r="H867" s="533"/>
      <c r="I867" s="533"/>
      <c r="J867" s="533"/>
      <c r="K867" s="533"/>
      <c r="L867" s="533"/>
      <c r="M867" s="533"/>
      <c r="N867" s="533"/>
      <c r="O867" s="533"/>
      <c r="P867" s="533"/>
      <c r="Q867" s="533"/>
      <c r="R867" s="533"/>
      <c r="S867" s="533"/>
      <c r="T867" s="533"/>
      <c r="U867" s="533"/>
      <c r="V867" s="533"/>
      <c r="W867" s="533"/>
      <c r="X867" s="533"/>
      <c r="Y867" s="533"/>
      <c r="Z867" s="533"/>
      <c r="AA867" s="533"/>
      <c r="AB867" s="533"/>
      <c r="AC867" s="533"/>
    </row>
    <row r="868" spans="1:29" ht="15.75" customHeight="1">
      <c r="A868" s="533"/>
      <c r="B868" s="533"/>
      <c r="C868" s="533"/>
      <c r="D868" s="533"/>
      <c r="E868" s="533"/>
      <c r="F868" s="533"/>
      <c r="G868" s="533"/>
      <c r="H868" s="533"/>
      <c r="I868" s="533"/>
      <c r="J868" s="533"/>
      <c r="K868" s="533"/>
      <c r="L868" s="533"/>
      <c r="M868" s="533"/>
      <c r="N868" s="533"/>
      <c r="O868" s="533"/>
      <c r="P868" s="533"/>
      <c r="Q868" s="533"/>
      <c r="R868" s="533"/>
      <c r="S868" s="533"/>
      <c r="T868" s="533"/>
      <c r="U868" s="533"/>
      <c r="V868" s="533"/>
      <c r="W868" s="533"/>
      <c r="X868" s="533"/>
      <c r="Y868" s="533"/>
      <c r="Z868" s="533"/>
      <c r="AA868" s="533"/>
      <c r="AB868" s="533"/>
      <c r="AC868" s="533"/>
    </row>
    <row r="869" spans="1:29" ht="15.75" customHeight="1">
      <c r="A869" s="533"/>
      <c r="B869" s="533"/>
      <c r="C869" s="533"/>
      <c r="D869" s="533"/>
      <c r="E869" s="533"/>
      <c r="F869" s="533"/>
      <c r="G869" s="533"/>
      <c r="H869" s="533"/>
      <c r="I869" s="533"/>
      <c r="J869" s="533"/>
      <c r="K869" s="533"/>
      <c r="L869" s="533"/>
      <c r="M869" s="533"/>
      <c r="N869" s="533"/>
      <c r="O869" s="533"/>
      <c r="P869" s="533"/>
      <c r="Q869" s="533"/>
      <c r="R869" s="533"/>
      <c r="S869" s="533"/>
      <c r="T869" s="533"/>
      <c r="U869" s="533"/>
      <c r="V869" s="533"/>
      <c r="W869" s="533"/>
      <c r="X869" s="533"/>
      <c r="Y869" s="533"/>
      <c r="Z869" s="533"/>
      <c r="AA869" s="533"/>
      <c r="AB869" s="533"/>
      <c r="AC869" s="533"/>
    </row>
    <row r="870" spans="1:29" ht="15.75" customHeight="1">
      <c r="A870" s="533"/>
      <c r="B870" s="533"/>
      <c r="C870" s="533"/>
      <c r="D870" s="533"/>
      <c r="E870" s="533"/>
      <c r="F870" s="533"/>
      <c r="G870" s="533"/>
      <c r="H870" s="533"/>
      <c r="I870" s="533"/>
      <c r="J870" s="533"/>
      <c r="K870" s="533"/>
      <c r="L870" s="533"/>
      <c r="M870" s="533"/>
      <c r="N870" s="533"/>
      <c r="O870" s="533"/>
      <c r="P870" s="533"/>
      <c r="Q870" s="533"/>
      <c r="R870" s="533"/>
      <c r="S870" s="533"/>
      <c r="T870" s="533"/>
      <c r="U870" s="533"/>
      <c r="V870" s="533"/>
      <c r="W870" s="533"/>
      <c r="X870" s="533"/>
      <c r="Y870" s="533"/>
      <c r="Z870" s="533"/>
      <c r="AA870" s="533"/>
      <c r="AB870" s="533"/>
      <c r="AC870" s="533"/>
    </row>
    <row r="871" spans="1:29" ht="15.75" customHeight="1">
      <c r="A871" s="533"/>
      <c r="B871" s="533"/>
      <c r="C871" s="533"/>
      <c r="D871" s="533"/>
      <c r="E871" s="533"/>
      <c r="F871" s="533"/>
      <c r="G871" s="533"/>
      <c r="H871" s="533"/>
      <c r="I871" s="533"/>
      <c r="J871" s="533"/>
      <c r="K871" s="533"/>
      <c r="L871" s="533"/>
      <c r="M871" s="533"/>
      <c r="N871" s="533"/>
      <c r="O871" s="533"/>
      <c r="P871" s="533"/>
      <c r="Q871" s="533"/>
      <c r="R871" s="533"/>
      <c r="S871" s="533"/>
      <c r="T871" s="533"/>
      <c r="U871" s="533"/>
      <c r="V871" s="533"/>
      <c r="W871" s="533"/>
      <c r="X871" s="533"/>
      <c r="Y871" s="533"/>
      <c r="Z871" s="533"/>
      <c r="AA871" s="533"/>
      <c r="AB871" s="533"/>
      <c r="AC871" s="533"/>
    </row>
    <row r="872" spans="1:29" ht="15.75" customHeight="1">
      <c r="A872" s="533"/>
      <c r="B872" s="533"/>
      <c r="C872" s="533"/>
      <c r="D872" s="533"/>
      <c r="E872" s="533"/>
      <c r="F872" s="533"/>
      <c r="G872" s="533"/>
      <c r="H872" s="533"/>
      <c r="I872" s="533"/>
      <c r="J872" s="533"/>
      <c r="K872" s="533"/>
      <c r="L872" s="533"/>
      <c r="M872" s="533"/>
      <c r="N872" s="533"/>
      <c r="O872" s="533"/>
      <c r="P872" s="533"/>
      <c r="Q872" s="533"/>
      <c r="R872" s="533"/>
      <c r="S872" s="533"/>
      <c r="T872" s="533"/>
      <c r="U872" s="533"/>
      <c r="V872" s="533"/>
      <c r="W872" s="533"/>
      <c r="X872" s="533"/>
      <c r="Y872" s="533"/>
      <c r="Z872" s="533"/>
      <c r="AA872" s="533"/>
      <c r="AB872" s="533"/>
      <c r="AC872" s="533"/>
    </row>
    <row r="873" spans="1:29" ht="15.75" customHeight="1">
      <c r="A873" s="533"/>
      <c r="B873" s="533"/>
      <c r="C873" s="533"/>
      <c r="D873" s="533"/>
      <c r="E873" s="533"/>
      <c r="F873" s="533"/>
      <c r="G873" s="533"/>
      <c r="H873" s="533"/>
      <c r="I873" s="533"/>
      <c r="J873" s="533"/>
      <c r="K873" s="533"/>
      <c r="L873" s="533"/>
      <c r="M873" s="533"/>
      <c r="N873" s="533"/>
      <c r="O873" s="533"/>
      <c r="P873" s="533"/>
      <c r="Q873" s="533"/>
      <c r="R873" s="533"/>
      <c r="S873" s="533"/>
      <c r="T873" s="533"/>
      <c r="U873" s="533"/>
      <c r="V873" s="533"/>
      <c r="W873" s="533"/>
      <c r="X873" s="533"/>
      <c r="Y873" s="533"/>
      <c r="Z873" s="533"/>
      <c r="AA873" s="533"/>
      <c r="AB873" s="533"/>
      <c r="AC873" s="533"/>
    </row>
    <row r="874" spans="1:29" ht="15.75" customHeight="1">
      <c r="A874" s="533"/>
      <c r="B874" s="533"/>
      <c r="C874" s="533"/>
      <c r="D874" s="533"/>
      <c r="E874" s="533"/>
      <c r="F874" s="533"/>
      <c r="G874" s="533"/>
      <c r="H874" s="533"/>
      <c r="I874" s="533"/>
      <c r="J874" s="533"/>
      <c r="K874" s="533"/>
      <c r="L874" s="533"/>
      <c r="M874" s="533"/>
      <c r="N874" s="533"/>
      <c r="O874" s="533"/>
      <c r="P874" s="533"/>
      <c r="Q874" s="533"/>
      <c r="R874" s="533"/>
      <c r="S874" s="533"/>
      <c r="T874" s="533"/>
      <c r="U874" s="533"/>
      <c r="V874" s="533"/>
      <c r="W874" s="533"/>
      <c r="X874" s="533"/>
      <c r="Y874" s="533"/>
      <c r="Z874" s="533"/>
      <c r="AA874" s="533"/>
      <c r="AB874" s="533"/>
      <c r="AC874" s="533"/>
    </row>
    <row r="875" spans="1:29" ht="15.75" customHeight="1">
      <c r="A875" s="533"/>
      <c r="B875" s="533"/>
      <c r="C875" s="533"/>
      <c r="D875" s="533"/>
      <c r="E875" s="533"/>
      <c r="F875" s="533"/>
      <c r="G875" s="533"/>
      <c r="H875" s="533"/>
      <c r="I875" s="533"/>
      <c r="J875" s="533"/>
      <c r="K875" s="533"/>
      <c r="L875" s="533"/>
      <c r="M875" s="533"/>
      <c r="N875" s="533"/>
      <c r="O875" s="533"/>
      <c r="P875" s="533"/>
      <c r="Q875" s="533"/>
      <c r="R875" s="533"/>
      <c r="S875" s="533"/>
      <c r="T875" s="533"/>
      <c r="U875" s="533"/>
      <c r="V875" s="533"/>
      <c r="W875" s="533"/>
      <c r="X875" s="533"/>
      <c r="Y875" s="533"/>
      <c r="Z875" s="533"/>
      <c r="AA875" s="533"/>
      <c r="AB875" s="533"/>
      <c r="AC875" s="533"/>
    </row>
    <row r="876" spans="1:29" ht="15.75" customHeight="1">
      <c r="A876" s="533"/>
      <c r="B876" s="533"/>
      <c r="C876" s="533"/>
      <c r="D876" s="533"/>
      <c r="E876" s="533"/>
      <c r="F876" s="533"/>
      <c r="G876" s="533"/>
      <c r="H876" s="533"/>
      <c r="I876" s="533"/>
      <c r="J876" s="533"/>
      <c r="K876" s="533"/>
      <c r="L876" s="533"/>
      <c r="M876" s="533"/>
      <c r="N876" s="533"/>
      <c r="O876" s="533"/>
      <c r="P876" s="533"/>
      <c r="Q876" s="533"/>
      <c r="R876" s="533"/>
      <c r="S876" s="533"/>
      <c r="T876" s="533"/>
      <c r="U876" s="533"/>
      <c r="V876" s="533"/>
      <c r="W876" s="533"/>
      <c r="X876" s="533"/>
      <c r="Y876" s="533"/>
      <c r="Z876" s="533"/>
      <c r="AA876" s="533"/>
      <c r="AB876" s="533"/>
      <c r="AC876" s="533"/>
    </row>
    <row r="877" spans="1:29" ht="15.75" customHeight="1">
      <c r="A877" s="533"/>
      <c r="B877" s="533"/>
      <c r="C877" s="533"/>
      <c r="D877" s="533"/>
      <c r="E877" s="533"/>
      <c r="F877" s="533"/>
      <c r="G877" s="533"/>
      <c r="H877" s="533"/>
      <c r="I877" s="533"/>
      <c r="J877" s="533"/>
      <c r="K877" s="533"/>
      <c r="L877" s="533"/>
      <c r="M877" s="533"/>
      <c r="N877" s="533"/>
      <c r="O877" s="533"/>
      <c r="P877" s="533"/>
      <c r="Q877" s="533"/>
      <c r="R877" s="533"/>
      <c r="S877" s="533"/>
      <c r="T877" s="533"/>
      <c r="U877" s="533"/>
      <c r="V877" s="533"/>
      <c r="W877" s="533"/>
      <c r="X877" s="533"/>
      <c r="Y877" s="533"/>
      <c r="Z877" s="533"/>
      <c r="AA877" s="533"/>
      <c r="AB877" s="533"/>
      <c r="AC877" s="533"/>
    </row>
    <row r="878" spans="1:29" ht="15.75" customHeight="1">
      <c r="A878" s="533"/>
      <c r="B878" s="533"/>
      <c r="C878" s="533"/>
      <c r="D878" s="533"/>
      <c r="E878" s="533"/>
      <c r="F878" s="533"/>
      <c r="G878" s="533"/>
      <c r="H878" s="533"/>
      <c r="I878" s="533"/>
      <c r="J878" s="533"/>
      <c r="K878" s="533"/>
      <c r="L878" s="533"/>
      <c r="M878" s="533"/>
      <c r="N878" s="533"/>
      <c r="O878" s="533"/>
      <c r="P878" s="533"/>
      <c r="Q878" s="533"/>
      <c r="R878" s="533"/>
      <c r="S878" s="533"/>
      <c r="T878" s="533"/>
      <c r="U878" s="533"/>
      <c r="V878" s="533"/>
      <c r="W878" s="533"/>
      <c r="X878" s="533"/>
      <c r="Y878" s="533"/>
      <c r="Z878" s="533"/>
      <c r="AA878" s="533"/>
      <c r="AB878" s="533"/>
      <c r="AC878" s="533"/>
    </row>
    <row r="879" spans="1:29" ht="15.75" customHeight="1">
      <c r="A879" s="533"/>
      <c r="B879" s="533"/>
      <c r="C879" s="533"/>
      <c r="D879" s="533"/>
      <c r="E879" s="533"/>
      <c r="F879" s="533"/>
      <c r="G879" s="533"/>
      <c r="H879" s="533"/>
      <c r="I879" s="533"/>
      <c r="J879" s="533"/>
      <c r="K879" s="533"/>
      <c r="L879" s="533"/>
      <c r="M879" s="533"/>
      <c r="N879" s="533"/>
      <c r="O879" s="533"/>
      <c r="P879" s="533"/>
      <c r="Q879" s="533"/>
      <c r="R879" s="533"/>
      <c r="S879" s="533"/>
      <c r="T879" s="533"/>
      <c r="U879" s="533"/>
      <c r="V879" s="533"/>
      <c r="W879" s="533"/>
      <c r="X879" s="533"/>
      <c r="Y879" s="533"/>
      <c r="Z879" s="533"/>
      <c r="AA879" s="533"/>
      <c r="AB879" s="533"/>
      <c r="AC879" s="533"/>
    </row>
    <row r="880" spans="1:29" ht="15.75" customHeight="1">
      <c r="A880" s="533"/>
      <c r="B880" s="533"/>
      <c r="C880" s="533"/>
      <c r="D880" s="533"/>
      <c r="E880" s="533"/>
      <c r="F880" s="533"/>
      <c r="G880" s="533"/>
      <c r="H880" s="533"/>
      <c r="I880" s="533"/>
      <c r="J880" s="533"/>
      <c r="K880" s="533"/>
      <c r="L880" s="533"/>
      <c r="M880" s="533"/>
      <c r="N880" s="533"/>
      <c r="O880" s="533"/>
      <c r="P880" s="533"/>
      <c r="Q880" s="533"/>
      <c r="R880" s="533"/>
      <c r="S880" s="533"/>
      <c r="T880" s="533"/>
      <c r="U880" s="533"/>
      <c r="V880" s="533"/>
      <c r="W880" s="533"/>
      <c r="X880" s="533"/>
      <c r="Y880" s="533"/>
      <c r="Z880" s="533"/>
      <c r="AA880" s="533"/>
      <c r="AB880" s="533"/>
      <c r="AC880" s="533"/>
    </row>
    <row r="881" spans="1:29" ht="15.75" customHeight="1">
      <c r="A881" s="533"/>
      <c r="B881" s="533"/>
      <c r="C881" s="533"/>
      <c r="D881" s="533"/>
      <c r="E881" s="533"/>
      <c r="F881" s="533"/>
      <c r="G881" s="533"/>
      <c r="H881" s="533"/>
      <c r="I881" s="533"/>
      <c r="J881" s="533"/>
      <c r="K881" s="533"/>
      <c r="L881" s="533"/>
      <c r="M881" s="533"/>
      <c r="N881" s="533"/>
      <c r="O881" s="533"/>
      <c r="P881" s="533"/>
      <c r="Q881" s="533"/>
      <c r="R881" s="533"/>
      <c r="S881" s="533"/>
      <c r="T881" s="533"/>
      <c r="U881" s="533"/>
      <c r="V881" s="533"/>
      <c r="W881" s="533"/>
      <c r="X881" s="533"/>
      <c r="Y881" s="533"/>
      <c r="Z881" s="533"/>
      <c r="AA881" s="533"/>
      <c r="AB881" s="533"/>
      <c r="AC881" s="533"/>
    </row>
    <row r="882" spans="1:29" ht="15.75" customHeight="1">
      <c r="A882" s="533"/>
      <c r="B882" s="533"/>
      <c r="C882" s="533"/>
      <c r="D882" s="533"/>
      <c r="E882" s="533"/>
      <c r="F882" s="533"/>
      <c r="G882" s="533"/>
      <c r="H882" s="533"/>
      <c r="I882" s="533"/>
      <c r="J882" s="533"/>
      <c r="K882" s="533"/>
      <c r="L882" s="533"/>
      <c r="M882" s="533"/>
      <c r="N882" s="533"/>
      <c r="O882" s="533"/>
      <c r="P882" s="533"/>
      <c r="Q882" s="533"/>
      <c r="R882" s="533"/>
      <c r="S882" s="533"/>
      <c r="T882" s="533"/>
      <c r="U882" s="533"/>
      <c r="V882" s="533"/>
      <c r="W882" s="533"/>
      <c r="X882" s="533"/>
      <c r="Y882" s="533"/>
      <c r="Z882" s="533"/>
      <c r="AA882" s="533"/>
      <c r="AB882" s="533"/>
      <c r="AC882" s="533"/>
    </row>
    <row r="883" spans="1:29" ht="15.75" customHeight="1">
      <c r="A883" s="533"/>
      <c r="B883" s="533"/>
      <c r="C883" s="533"/>
      <c r="D883" s="533"/>
      <c r="E883" s="533"/>
      <c r="F883" s="533"/>
      <c r="G883" s="533"/>
      <c r="H883" s="533"/>
      <c r="I883" s="533"/>
      <c r="J883" s="533"/>
      <c r="K883" s="533"/>
      <c r="L883" s="533"/>
      <c r="M883" s="533"/>
      <c r="N883" s="533"/>
      <c r="O883" s="533"/>
      <c r="P883" s="533"/>
      <c r="Q883" s="533"/>
      <c r="R883" s="533"/>
      <c r="S883" s="533"/>
      <c r="T883" s="533"/>
      <c r="U883" s="533"/>
      <c r="V883" s="533"/>
      <c r="W883" s="533"/>
      <c r="X883" s="533"/>
      <c r="Y883" s="533"/>
      <c r="Z883" s="533"/>
      <c r="AA883" s="533"/>
      <c r="AB883" s="533"/>
      <c r="AC883" s="533"/>
    </row>
    <row r="884" spans="1:29" ht="15.75" customHeight="1">
      <c r="A884" s="533"/>
      <c r="B884" s="533"/>
      <c r="C884" s="533"/>
      <c r="D884" s="533"/>
      <c r="E884" s="533"/>
      <c r="F884" s="533"/>
      <c r="G884" s="533"/>
      <c r="H884" s="533"/>
      <c r="I884" s="533"/>
      <c r="J884" s="533"/>
      <c r="K884" s="533"/>
      <c r="L884" s="533"/>
      <c r="M884" s="533"/>
      <c r="N884" s="533"/>
      <c r="O884" s="533"/>
      <c r="P884" s="533"/>
      <c r="Q884" s="533"/>
      <c r="R884" s="533"/>
      <c r="S884" s="533"/>
      <c r="T884" s="533"/>
      <c r="U884" s="533"/>
      <c r="V884" s="533"/>
      <c r="W884" s="533"/>
      <c r="X884" s="533"/>
      <c r="Y884" s="533"/>
      <c r="Z884" s="533"/>
      <c r="AA884" s="533"/>
      <c r="AB884" s="533"/>
      <c r="AC884" s="533"/>
    </row>
    <row r="885" spans="1:29" ht="15.75" customHeight="1">
      <c r="A885" s="533"/>
      <c r="B885" s="533"/>
      <c r="C885" s="533"/>
      <c r="D885" s="533"/>
      <c r="E885" s="533"/>
      <c r="F885" s="533"/>
      <c r="G885" s="533"/>
      <c r="H885" s="533"/>
      <c r="I885" s="533"/>
      <c r="J885" s="533"/>
      <c r="K885" s="533"/>
      <c r="L885" s="533"/>
      <c r="M885" s="533"/>
      <c r="N885" s="533"/>
      <c r="O885" s="533"/>
      <c r="P885" s="533"/>
      <c r="Q885" s="533"/>
      <c r="R885" s="533"/>
      <c r="S885" s="533"/>
      <c r="T885" s="533"/>
      <c r="U885" s="533"/>
      <c r="V885" s="533"/>
      <c r="W885" s="533"/>
      <c r="X885" s="533"/>
      <c r="Y885" s="533"/>
      <c r="Z885" s="533"/>
      <c r="AA885" s="533"/>
      <c r="AB885" s="533"/>
      <c r="AC885" s="533"/>
    </row>
    <row r="886" spans="1:29" ht="15.75" customHeight="1">
      <c r="A886" s="533"/>
      <c r="B886" s="533"/>
      <c r="C886" s="533"/>
      <c r="D886" s="533"/>
      <c r="E886" s="533"/>
      <c r="F886" s="533"/>
      <c r="G886" s="533"/>
      <c r="H886" s="533"/>
      <c r="I886" s="533"/>
      <c r="J886" s="533"/>
      <c r="K886" s="533"/>
      <c r="L886" s="533"/>
      <c r="M886" s="533"/>
      <c r="N886" s="533"/>
      <c r="O886" s="533"/>
      <c r="P886" s="533"/>
      <c r="Q886" s="533"/>
      <c r="R886" s="533"/>
      <c r="S886" s="533"/>
      <c r="T886" s="533"/>
      <c r="U886" s="533"/>
      <c r="V886" s="533"/>
      <c r="W886" s="533"/>
      <c r="X886" s="533"/>
      <c r="Y886" s="533"/>
      <c r="Z886" s="533"/>
      <c r="AA886" s="533"/>
      <c r="AB886" s="533"/>
      <c r="AC886" s="533"/>
    </row>
    <row r="887" spans="1:29" ht="15.75" customHeight="1">
      <c r="A887" s="533"/>
      <c r="B887" s="533"/>
      <c r="C887" s="533"/>
      <c r="D887" s="533"/>
      <c r="E887" s="533"/>
      <c r="F887" s="533"/>
      <c r="G887" s="533"/>
      <c r="H887" s="533"/>
      <c r="I887" s="533"/>
      <c r="J887" s="533"/>
      <c r="K887" s="533"/>
      <c r="L887" s="533"/>
      <c r="M887" s="533"/>
      <c r="N887" s="533"/>
      <c r="O887" s="533"/>
      <c r="P887" s="533"/>
      <c r="Q887" s="533"/>
      <c r="R887" s="533"/>
      <c r="S887" s="533"/>
      <c r="T887" s="533"/>
      <c r="U887" s="533"/>
      <c r="V887" s="533"/>
      <c r="W887" s="533"/>
      <c r="X887" s="533"/>
      <c r="Y887" s="533"/>
      <c r="Z887" s="533"/>
      <c r="AA887" s="533"/>
      <c r="AB887" s="533"/>
      <c r="AC887" s="533"/>
    </row>
    <row r="888" spans="1:29" ht="15.75" customHeight="1">
      <c r="A888" s="533"/>
      <c r="B888" s="533"/>
      <c r="C888" s="533"/>
      <c r="D888" s="533"/>
      <c r="E888" s="533"/>
      <c r="F888" s="533"/>
      <c r="G888" s="533"/>
      <c r="H888" s="533"/>
      <c r="I888" s="533"/>
      <c r="J888" s="533"/>
      <c r="K888" s="533"/>
      <c r="L888" s="533"/>
      <c r="M888" s="533"/>
      <c r="N888" s="533"/>
      <c r="O888" s="533"/>
      <c r="P888" s="533"/>
      <c r="Q888" s="533"/>
      <c r="R888" s="533"/>
      <c r="S888" s="533"/>
      <c r="T888" s="533"/>
      <c r="U888" s="533"/>
      <c r="V888" s="533"/>
      <c r="W888" s="533"/>
      <c r="X888" s="533"/>
      <c r="Y888" s="533"/>
      <c r="Z888" s="533"/>
      <c r="AA888" s="533"/>
      <c r="AB888" s="533"/>
      <c r="AC888" s="533"/>
    </row>
    <row r="889" spans="1:29" ht="15.75" customHeight="1">
      <c r="A889" s="533"/>
      <c r="B889" s="533"/>
      <c r="C889" s="533"/>
      <c r="D889" s="533"/>
      <c r="E889" s="533"/>
      <c r="F889" s="533"/>
      <c r="G889" s="533"/>
      <c r="H889" s="533"/>
      <c r="I889" s="533"/>
      <c r="J889" s="533"/>
      <c r="K889" s="533"/>
      <c r="L889" s="533"/>
      <c r="M889" s="533"/>
      <c r="N889" s="533"/>
      <c r="O889" s="533"/>
      <c r="P889" s="533"/>
      <c r="Q889" s="533"/>
      <c r="R889" s="533"/>
      <c r="S889" s="533"/>
      <c r="T889" s="533"/>
      <c r="U889" s="533"/>
      <c r="V889" s="533"/>
      <c r="W889" s="533"/>
      <c r="X889" s="533"/>
      <c r="Y889" s="533"/>
      <c r="Z889" s="533"/>
      <c r="AA889" s="533"/>
      <c r="AB889" s="533"/>
      <c r="AC889" s="533"/>
    </row>
    <row r="890" spans="1:29" ht="15.75" customHeight="1">
      <c r="A890" s="533"/>
      <c r="B890" s="533"/>
      <c r="C890" s="533"/>
      <c r="D890" s="533"/>
      <c r="E890" s="533"/>
      <c r="F890" s="533"/>
      <c r="G890" s="533"/>
      <c r="H890" s="533"/>
      <c r="I890" s="533"/>
      <c r="J890" s="533"/>
      <c r="K890" s="533"/>
      <c r="L890" s="533"/>
      <c r="M890" s="533"/>
      <c r="N890" s="533"/>
      <c r="O890" s="533"/>
      <c r="P890" s="533"/>
      <c r="Q890" s="533"/>
      <c r="R890" s="533"/>
      <c r="S890" s="533"/>
      <c r="T890" s="533"/>
      <c r="U890" s="533"/>
      <c r="V890" s="533"/>
      <c r="W890" s="533"/>
      <c r="X890" s="533"/>
      <c r="Y890" s="533"/>
      <c r="Z890" s="533"/>
      <c r="AA890" s="533"/>
      <c r="AB890" s="533"/>
      <c r="AC890" s="533"/>
    </row>
    <row r="891" spans="1:29" ht="15.75" customHeight="1">
      <c r="A891" s="533"/>
      <c r="B891" s="533"/>
      <c r="C891" s="533"/>
      <c r="D891" s="533"/>
      <c r="E891" s="533"/>
      <c r="F891" s="533"/>
      <c r="G891" s="533"/>
      <c r="H891" s="533"/>
      <c r="I891" s="533"/>
      <c r="J891" s="533"/>
      <c r="K891" s="533"/>
      <c r="L891" s="533"/>
      <c r="M891" s="533"/>
      <c r="N891" s="533"/>
      <c r="O891" s="533"/>
      <c r="P891" s="533"/>
      <c r="Q891" s="533"/>
      <c r="R891" s="533"/>
      <c r="S891" s="533"/>
      <c r="T891" s="533"/>
      <c r="U891" s="533"/>
      <c r="V891" s="533"/>
      <c r="W891" s="533"/>
      <c r="X891" s="533"/>
      <c r="Y891" s="533"/>
      <c r="Z891" s="533"/>
      <c r="AA891" s="533"/>
      <c r="AB891" s="533"/>
      <c r="AC891" s="533"/>
    </row>
    <row r="892" spans="1:29" ht="15.75" customHeight="1">
      <c r="A892" s="533"/>
      <c r="B892" s="533"/>
      <c r="C892" s="533"/>
      <c r="D892" s="533"/>
      <c r="E892" s="533"/>
      <c r="F892" s="533"/>
      <c r="G892" s="533"/>
      <c r="H892" s="533"/>
      <c r="I892" s="533"/>
      <c r="J892" s="533"/>
      <c r="K892" s="533"/>
      <c r="L892" s="533"/>
      <c r="M892" s="533"/>
      <c r="N892" s="533"/>
      <c r="O892" s="533"/>
      <c r="P892" s="533"/>
      <c r="Q892" s="533"/>
      <c r="R892" s="533"/>
      <c r="S892" s="533"/>
      <c r="T892" s="533"/>
      <c r="U892" s="533"/>
      <c r="V892" s="533"/>
      <c r="W892" s="533"/>
      <c r="X892" s="533"/>
      <c r="Y892" s="533"/>
      <c r="Z892" s="533"/>
      <c r="AA892" s="533"/>
      <c r="AB892" s="533"/>
      <c r="AC892" s="533"/>
    </row>
    <row r="893" spans="1:29" ht="15.75" customHeight="1">
      <c r="A893" s="533"/>
      <c r="B893" s="533"/>
      <c r="C893" s="533"/>
      <c r="D893" s="533"/>
      <c r="E893" s="533"/>
      <c r="F893" s="533"/>
      <c r="G893" s="533"/>
      <c r="H893" s="533"/>
      <c r="I893" s="533"/>
      <c r="J893" s="533"/>
      <c r="K893" s="533"/>
      <c r="L893" s="533"/>
      <c r="M893" s="533"/>
      <c r="N893" s="533"/>
      <c r="O893" s="533"/>
      <c r="P893" s="533"/>
      <c r="Q893" s="533"/>
      <c r="R893" s="533"/>
      <c r="S893" s="533"/>
      <c r="T893" s="533"/>
      <c r="U893" s="533"/>
      <c r="V893" s="533"/>
      <c r="W893" s="533"/>
      <c r="X893" s="533"/>
      <c r="Y893" s="533"/>
      <c r="Z893" s="533"/>
      <c r="AA893" s="533"/>
      <c r="AB893" s="533"/>
      <c r="AC893" s="533"/>
    </row>
    <row r="894" spans="1:29" ht="15.75" customHeight="1">
      <c r="A894" s="533"/>
      <c r="B894" s="533"/>
      <c r="C894" s="533"/>
      <c r="D894" s="533"/>
      <c r="E894" s="533"/>
      <c r="F894" s="533"/>
      <c r="G894" s="533"/>
      <c r="H894" s="533"/>
      <c r="I894" s="533"/>
      <c r="J894" s="533"/>
      <c r="K894" s="533"/>
      <c r="L894" s="533"/>
      <c r="M894" s="533"/>
      <c r="N894" s="533"/>
      <c r="O894" s="533"/>
      <c r="P894" s="533"/>
      <c r="Q894" s="533"/>
      <c r="R894" s="533"/>
      <c r="S894" s="533"/>
      <c r="T894" s="533"/>
      <c r="U894" s="533"/>
      <c r="V894" s="533"/>
      <c r="W894" s="533"/>
      <c r="X894" s="533"/>
      <c r="Y894" s="533"/>
      <c r="Z894" s="533"/>
      <c r="AA894" s="533"/>
      <c r="AB894" s="533"/>
      <c r="AC894" s="533"/>
    </row>
    <row r="895" spans="1:29" ht="15.75" customHeight="1">
      <c r="A895" s="533"/>
      <c r="B895" s="533"/>
      <c r="C895" s="533"/>
      <c r="D895" s="533"/>
      <c r="E895" s="533"/>
      <c r="F895" s="533"/>
      <c r="G895" s="533"/>
      <c r="H895" s="533"/>
      <c r="I895" s="533"/>
      <c r="J895" s="533"/>
      <c r="K895" s="533"/>
      <c r="L895" s="533"/>
      <c r="M895" s="533"/>
      <c r="N895" s="533"/>
      <c r="O895" s="533"/>
      <c r="P895" s="533"/>
      <c r="Q895" s="533"/>
      <c r="R895" s="533"/>
      <c r="S895" s="533"/>
      <c r="T895" s="533"/>
      <c r="U895" s="533"/>
      <c r="V895" s="533"/>
      <c r="W895" s="533"/>
      <c r="X895" s="533"/>
      <c r="Y895" s="533"/>
      <c r="Z895" s="533"/>
      <c r="AA895" s="533"/>
      <c r="AB895" s="533"/>
      <c r="AC895" s="533"/>
    </row>
    <row r="896" spans="1:29" ht="15.75" customHeight="1">
      <c r="A896" s="533"/>
      <c r="B896" s="533"/>
      <c r="C896" s="533"/>
      <c r="D896" s="533"/>
      <c r="E896" s="533"/>
      <c r="F896" s="533"/>
      <c r="G896" s="533"/>
      <c r="H896" s="533"/>
      <c r="I896" s="533"/>
      <c r="J896" s="533"/>
      <c r="K896" s="533"/>
      <c r="L896" s="533"/>
      <c r="M896" s="533"/>
      <c r="N896" s="533"/>
      <c r="O896" s="533"/>
      <c r="P896" s="533"/>
      <c r="Q896" s="533"/>
      <c r="R896" s="533"/>
      <c r="S896" s="533"/>
      <c r="T896" s="533"/>
      <c r="U896" s="533"/>
      <c r="V896" s="533"/>
      <c r="W896" s="533"/>
      <c r="X896" s="533"/>
      <c r="Y896" s="533"/>
      <c r="Z896" s="533"/>
      <c r="AA896" s="533"/>
      <c r="AB896" s="533"/>
      <c r="AC896" s="533"/>
    </row>
    <row r="897" spans="1:29" ht="15.75" customHeight="1">
      <c r="A897" s="533"/>
      <c r="B897" s="533"/>
      <c r="C897" s="533"/>
      <c r="D897" s="533"/>
      <c r="E897" s="533"/>
      <c r="F897" s="533"/>
      <c r="G897" s="533"/>
      <c r="H897" s="533"/>
      <c r="I897" s="533"/>
      <c r="J897" s="533"/>
      <c r="K897" s="533"/>
      <c r="L897" s="533"/>
      <c r="M897" s="533"/>
      <c r="N897" s="533"/>
      <c r="O897" s="533"/>
      <c r="P897" s="533"/>
      <c r="Q897" s="533"/>
      <c r="R897" s="533"/>
      <c r="S897" s="533"/>
      <c r="T897" s="533"/>
      <c r="U897" s="533"/>
      <c r="V897" s="533"/>
      <c r="W897" s="533"/>
      <c r="X897" s="533"/>
      <c r="Y897" s="533"/>
      <c r="Z897" s="533"/>
      <c r="AA897" s="533"/>
      <c r="AB897" s="533"/>
      <c r="AC897" s="533"/>
    </row>
    <row r="898" spans="1:29" ht="15.75" customHeight="1">
      <c r="A898" s="533"/>
      <c r="B898" s="533"/>
      <c r="C898" s="533"/>
      <c r="D898" s="533"/>
      <c r="E898" s="533"/>
      <c r="F898" s="533"/>
      <c r="G898" s="533"/>
      <c r="H898" s="533"/>
      <c r="I898" s="533"/>
      <c r="J898" s="533"/>
      <c r="K898" s="533"/>
      <c r="L898" s="533"/>
      <c r="M898" s="533"/>
      <c r="N898" s="533"/>
      <c r="O898" s="533"/>
      <c r="P898" s="533"/>
      <c r="Q898" s="533"/>
      <c r="R898" s="533"/>
      <c r="S898" s="533"/>
      <c r="T898" s="533"/>
      <c r="U898" s="533"/>
      <c r="V898" s="533"/>
      <c r="W898" s="533"/>
      <c r="X898" s="533"/>
      <c r="Y898" s="533"/>
      <c r="Z898" s="533"/>
      <c r="AA898" s="533"/>
      <c r="AB898" s="533"/>
      <c r="AC898" s="533"/>
    </row>
    <row r="899" spans="1:29" ht="15.75" customHeight="1">
      <c r="A899" s="533"/>
      <c r="B899" s="533"/>
      <c r="C899" s="533"/>
      <c r="D899" s="533"/>
      <c r="E899" s="533"/>
      <c r="F899" s="533"/>
      <c r="G899" s="533"/>
      <c r="H899" s="533"/>
      <c r="I899" s="533"/>
      <c r="J899" s="533"/>
      <c r="K899" s="533"/>
      <c r="L899" s="533"/>
      <c r="M899" s="533"/>
      <c r="N899" s="533"/>
      <c r="O899" s="533"/>
      <c r="P899" s="533"/>
      <c r="Q899" s="533"/>
      <c r="R899" s="533"/>
      <c r="S899" s="533"/>
      <c r="T899" s="533"/>
      <c r="U899" s="533"/>
      <c r="V899" s="533"/>
      <c r="W899" s="533"/>
      <c r="X899" s="533"/>
      <c r="Y899" s="533"/>
      <c r="Z899" s="533"/>
      <c r="AA899" s="533"/>
      <c r="AB899" s="533"/>
      <c r="AC899" s="533"/>
    </row>
    <row r="900" spans="1:29" ht="15.75" customHeight="1">
      <c r="A900" s="533"/>
      <c r="B900" s="533"/>
      <c r="C900" s="533"/>
      <c r="D900" s="533"/>
      <c r="E900" s="533"/>
      <c r="F900" s="533"/>
      <c r="G900" s="533"/>
      <c r="H900" s="533"/>
      <c r="I900" s="533"/>
      <c r="J900" s="533"/>
      <c r="K900" s="533"/>
      <c r="L900" s="533"/>
      <c r="M900" s="533"/>
      <c r="N900" s="533"/>
      <c r="O900" s="533"/>
      <c r="P900" s="533"/>
      <c r="Q900" s="533"/>
      <c r="R900" s="533"/>
      <c r="S900" s="533"/>
      <c r="T900" s="533"/>
      <c r="U900" s="533"/>
      <c r="V900" s="533"/>
      <c r="W900" s="533"/>
      <c r="X900" s="533"/>
      <c r="Y900" s="533"/>
      <c r="Z900" s="533"/>
      <c r="AA900" s="533"/>
      <c r="AB900" s="533"/>
      <c r="AC900" s="533"/>
    </row>
    <row r="901" spans="1:29" ht="15.75" customHeight="1">
      <c r="A901" s="533"/>
      <c r="B901" s="533"/>
      <c r="C901" s="533"/>
      <c r="D901" s="533"/>
      <c r="E901" s="533"/>
      <c r="F901" s="533"/>
      <c r="G901" s="533"/>
      <c r="H901" s="533"/>
      <c r="I901" s="533"/>
      <c r="J901" s="533"/>
      <c r="K901" s="533"/>
      <c r="L901" s="533"/>
      <c r="M901" s="533"/>
      <c r="N901" s="533"/>
      <c r="O901" s="533"/>
      <c r="P901" s="533"/>
      <c r="Q901" s="533"/>
      <c r="R901" s="533"/>
      <c r="S901" s="533"/>
      <c r="T901" s="533"/>
      <c r="U901" s="533"/>
      <c r="V901" s="533"/>
      <c r="W901" s="533"/>
      <c r="X901" s="533"/>
      <c r="Y901" s="533"/>
      <c r="Z901" s="533"/>
      <c r="AA901" s="533"/>
      <c r="AB901" s="533"/>
      <c r="AC901" s="533"/>
    </row>
    <row r="902" spans="1:29" ht="15.75" customHeight="1">
      <c r="A902" s="533"/>
      <c r="B902" s="533"/>
      <c r="C902" s="533"/>
      <c r="D902" s="533"/>
      <c r="E902" s="533"/>
      <c r="F902" s="533"/>
      <c r="G902" s="533"/>
      <c r="H902" s="533"/>
      <c r="I902" s="533"/>
      <c r="J902" s="533"/>
      <c r="K902" s="533"/>
      <c r="L902" s="533"/>
      <c r="M902" s="533"/>
      <c r="N902" s="533"/>
      <c r="O902" s="533"/>
      <c r="P902" s="533"/>
      <c r="Q902" s="533"/>
      <c r="R902" s="533"/>
      <c r="S902" s="533"/>
      <c r="T902" s="533"/>
      <c r="U902" s="533"/>
      <c r="V902" s="533"/>
      <c r="W902" s="533"/>
      <c r="X902" s="533"/>
      <c r="Y902" s="533"/>
      <c r="Z902" s="533"/>
      <c r="AA902" s="533"/>
      <c r="AB902" s="533"/>
      <c r="AC902" s="533"/>
    </row>
    <row r="903" spans="1:29" ht="15.75" customHeight="1">
      <c r="A903" s="533"/>
      <c r="B903" s="533"/>
      <c r="C903" s="533"/>
      <c r="D903" s="533"/>
      <c r="E903" s="533"/>
      <c r="F903" s="533"/>
      <c r="G903" s="533"/>
      <c r="H903" s="533"/>
      <c r="I903" s="533"/>
      <c r="J903" s="533"/>
      <c r="K903" s="533"/>
      <c r="L903" s="533"/>
      <c r="M903" s="533"/>
      <c r="N903" s="533"/>
      <c r="O903" s="533"/>
      <c r="P903" s="533"/>
      <c r="Q903" s="533"/>
      <c r="R903" s="533"/>
      <c r="S903" s="533"/>
      <c r="T903" s="533"/>
      <c r="U903" s="533"/>
      <c r="V903" s="533"/>
      <c r="W903" s="533"/>
      <c r="X903" s="533"/>
      <c r="Y903" s="533"/>
      <c r="Z903" s="533"/>
      <c r="AA903" s="533"/>
      <c r="AB903" s="533"/>
      <c r="AC903" s="533"/>
    </row>
    <row r="904" spans="1:29" ht="15.75" customHeight="1">
      <c r="A904" s="533"/>
      <c r="B904" s="533"/>
      <c r="C904" s="533"/>
      <c r="D904" s="533"/>
      <c r="E904" s="533"/>
      <c r="F904" s="533"/>
      <c r="G904" s="533"/>
      <c r="H904" s="533"/>
      <c r="I904" s="533"/>
      <c r="J904" s="533"/>
      <c r="K904" s="533"/>
      <c r="L904" s="533"/>
      <c r="M904" s="533"/>
      <c r="N904" s="533"/>
      <c r="O904" s="533"/>
      <c r="P904" s="533"/>
      <c r="Q904" s="533"/>
      <c r="R904" s="533"/>
      <c r="S904" s="533"/>
      <c r="T904" s="533"/>
      <c r="U904" s="533"/>
      <c r="V904" s="533"/>
      <c r="W904" s="533"/>
      <c r="X904" s="533"/>
      <c r="Y904" s="533"/>
      <c r="Z904" s="533"/>
      <c r="AA904" s="533"/>
      <c r="AB904" s="533"/>
      <c r="AC904" s="533"/>
    </row>
    <row r="905" spans="1:29" ht="15.75" customHeight="1">
      <c r="A905" s="533"/>
      <c r="B905" s="533"/>
      <c r="C905" s="533"/>
      <c r="D905" s="533"/>
      <c r="E905" s="533"/>
      <c r="F905" s="533"/>
      <c r="G905" s="533"/>
      <c r="H905" s="533"/>
      <c r="I905" s="533"/>
      <c r="J905" s="533"/>
      <c r="K905" s="533"/>
      <c r="L905" s="533"/>
      <c r="M905" s="533"/>
      <c r="N905" s="533"/>
      <c r="O905" s="533"/>
      <c r="P905" s="533"/>
      <c r="Q905" s="533"/>
      <c r="R905" s="533"/>
      <c r="S905" s="533"/>
      <c r="T905" s="533"/>
      <c r="U905" s="533"/>
      <c r="V905" s="533"/>
      <c r="W905" s="533"/>
      <c r="X905" s="533"/>
      <c r="Y905" s="533"/>
      <c r="Z905" s="533"/>
      <c r="AA905" s="533"/>
      <c r="AB905" s="533"/>
      <c r="AC905" s="533"/>
    </row>
    <row r="906" spans="1:29" ht="15.75" customHeight="1">
      <c r="A906" s="533"/>
      <c r="B906" s="533"/>
      <c r="C906" s="533"/>
      <c r="D906" s="533"/>
      <c r="E906" s="533"/>
      <c r="F906" s="533"/>
      <c r="G906" s="533"/>
      <c r="H906" s="533"/>
      <c r="I906" s="533"/>
      <c r="J906" s="533"/>
      <c r="K906" s="533"/>
      <c r="L906" s="533"/>
      <c r="M906" s="533"/>
      <c r="N906" s="533"/>
      <c r="O906" s="533"/>
      <c r="P906" s="533"/>
      <c r="Q906" s="533"/>
      <c r="R906" s="533"/>
      <c r="S906" s="533"/>
      <c r="T906" s="533"/>
      <c r="U906" s="533"/>
      <c r="V906" s="533"/>
      <c r="W906" s="533"/>
      <c r="X906" s="533"/>
      <c r="Y906" s="533"/>
      <c r="Z906" s="533"/>
      <c r="AA906" s="533"/>
      <c r="AB906" s="533"/>
      <c r="AC906" s="533"/>
    </row>
    <row r="907" spans="1:29" ht="15.75" customHeight="1">
      <c r="A907" s="533"/>
      <c r="B907" s="533"/>
      <c r="C907" s="533"/>
      <c r="D907" s="533"/>
      <c r="E907" s="533"/>
      <c r="F907" s="533"/>
      <c r="G907" s="533"/>
      <c r="H907" s="533"/>
      <c r="I907" s="533"/>
      <c r="J907" s="533"/>
      <c r="K907" s="533"/>
      <c r="L907" s="533"/>
      <c r="M907" s="533"/>
      <c r="N907" s="533"/>
      <c r="O907" s="533"/>
      <c r="P907" s="533"/>
      <c r="Q907" s="533"/>
      <c r="R907" s="533"/>
      <c r="S907" s="533"/>
      <c r="T907" s="533"/>
      <c r="U907" s="533"/>
      <c r="V907" s="533"/>
      <c r="W907" s="533"/>
      <c r="X907" s="533"/>
      <c r="Y907" s="533"/>
      <c r="Z907" s="533"/>
      <c r="AA907" s="533"/>
      <c r="AB907" s="533"/>
      <c r="AC907" s="533"/>
    </row>
    <row r="908" spans="1:29" ht="15.75" customHeight="1">
      <c r="A908" s="533"/>
      <c r="B908" s="533"/>
      <c r="C908" s="533"/>
      <c r="D908" s="533"/>
      <c r="E908" s="533"/>
      <c r="F908" s="533"/>
      <c r="G908" s="533"/>
      <c r="H908" s="533"/>
      <c r="I908" s="533"/>
      <c r="J908" s="533"/>
      <c r="K908" s="533"/>
      <c r="L908" s="533"/>
      <c r="M908" s="533"/>
      <c r="N908" s="533"/>
      <c r="O908" s="533"/>
      <c r="P908" s="533"/>
      <c r="Q908" s="533"/>
      <c r="R908" s="533"/>
      <c r="S908" s="533"/>
      <c r="T908" s="533"/>
      <c r="U908" s="533"/>
      <c r="V908" s="533"/>
      <c r="W908" s="533"/>
      <c r="X908" s="533"/>
      <c r="Y908" s="533"/>
      <c r="Z908" s="533"/>
      <c r="AA908" s="533"/>
      <c r="AB908" s="533"/>
      <c r="AC908" s="533"/>
    </row>
    <row r="909" spans="1:29" ht="15.75" customHeight="1">
      <c r="A909" s="533"/>
      <c r="B909" s="533"/>
      <c r="C909" s="533"/>
      <c r="D909" s="533"/>
      <c r="E909" s="533"/>
      <c r="F909" s="533"/>
      <c r="G909" s="533"/>
      <c r="H909" s="533"/>
      <c r="I909" s="533"/>
      <c r="J909" s="533"/>
      <c r="K909" s="533"/>
      <c r="L909" s="533"/>
      <c r="M909" s="533"/>
      <c r="N909" s="533"/>
      <c r="O909" s="533"/>
      <c r="P909" s="533"/>
      <c r="Q909" s="533"/>
      <c r="R909" s="533"/>
      <c r="S909" s="533"/>
      <c r="T909" s="533"/>
      <c r="U909" s="533"/>
      <c r="V909" s="533"/>
      <c r="W909" s="533"/>
      <c r="X909" s="533"/>
      <c r="Y909" s="533"/>
      <c r="Z909" s="533"/>
      <c r="AA909" s="533"/>
      <c r="AB909" s="533"/>
      <c r="AC909" s="533"/>
    </row>
    <row r="910" spans="1:29" ht="15.75" customHeight="1">
      <c r="A910" s="533"/>
      <c r="B910" s="533"/>
      <c r="C910" s="533"/>
      <c r="D910" s="533"/>
      <c r="E910" s="533"/>
      <c r="F910" s="533"/>
      <c r="G910" s="533"/>
      <c r="H910" s="533"/>
      <c r="I910" s="533"/>
      <c r="J910" s="533"/>
      <c r="K910" s="533"/>
      <c r="L910" s="533"/>
      <c r="M910" s="533"/>
      <c r="N910" s="533"/>
      <c r="O910" s="533"/>
      <c r="P910" s="533"/>
      <c r="Q910" s="533"/>
      <c r="R910" s="533"/>
      <c r="S910" s="533"/>
      <c r="T910" s="533"/>
      <c r="U910" s="533"/>
      <c r="V910" s="533"/>
      <c r="W910" s="533"/>
      <c r="X910" s="533"/>
      <c r="Y910" s="533"/>
      <c r="Z910" s="533"/>
      <c r="AA910" s="533"/>
      <c r="AB910" s="533"/>
      <c r="AC910" s="533"/>
    </row>
    <row r="911" spans="1:29" ht="15.75" customHeight="1">
      <c r="A911" s="533"/>
      <c r="B911" s="533"/>
      <c r="C911" s="533"/>
      <c r="D911" s="533"/>
      <c r="E911" s="533"/>
      <c r="F911" s="533"/>
      <c r="G911" s="533"/>
      <c r="H911" s="533"/>
      <c r="I911" s="533"/>
      <c r="J911" s="533"/>
      <c r="K911" s="533"/>
      <c r="L911" s="533"/>
      <c r="M911" s="533"/>
      <c r="N911" s="533"/>
      <c r="O911" s="533"/>
      <c r="P911" s="533"/>
      <c r="Q911" s="533"/>
      <c r="R911" s="533"/>
      <c r="S911" s="533"/>
      <c r="T911" s="533"/>
      <c r="U911" s="533"/>
      <c r="V911" s="533"/>
      <c r="W911" s="533"/>
      <c r="X911" s="533"/>
      <c r="Y911" s="533"/>
      <c r="Z911" s="533"/>
      <c r="AA911" s="533"/>
      <c r="AB911" s="533"/>
      <c r="AC911" s="533"/>
    </row>
    <row r="912" spans="1:29" ht="15.75" customHeight="1">
      <c r="A912" s="533"/>
      <c r="B912" s="533"/>
      <c r="C912" s="533"/>
      <c r="D912" s="533"/>
      <c r="E912" s="533"/>
      <c r="F912" s="533"/>
      <c r="G912" s="533"/>
      <c r="H912" s="533"/>
      <c r="I912" s="533"/>
      <c r="J912" s="533"/>
      <c r="K912" s="533"/>
      <c r="L912" s="533"/>
      <c r="M912" s="533"/>
      <c r="N912" s="533"/>
      <c r="O912" s="533"/>
      <c r="P912" s="533"/>
      <c r="Q912" s="533"/>
      <c r="R912" s="533"/>
      <c r="S912" s="533"/>
      <c r="T912" s="533"/>
      <c r="U912" s="533"/>
      <c r="V912" s="533"/>
      <c r="W912" s="533"/>
      <c r="X912" s="533"/>
      <c r="Y912" s="533"/>
      <c r="Z912" s="533"/>
      <c r="AA912" s="533"/>
      <c r="AB912" s="533"/>
      <c r="AC912" s="533"/>
    </row>
    <row r="913" spans="1:29" ht="15.75" customHeight="1">
      <c r="A913" s="533"/>
      <c r="B913" s="533"/>
      <c r="C913" s="533"/>
      <c r="D913" s="533"/>
      <c r="E913" s="533"/>
      <c r="F913" s="533"/>
      <c r="G913" s="533"/>
      <c r="H913" s="533"/>
      <c r="I913" s="533"/>
      <c r="J913" s="533"/>
      <c r="K913" s="533"/>
      <c r="L913" s="533"/>
      <c r="M913" s="533"/>
      <c r="N913" s="533"/>
      <c r="O913" s="533"/>
      <c r="P913" s="533"/>
      <c r="Q913" s="533"/>
      <c r="R913" s="533"/>
      <c r="S913" s="533"/>
      <c r="T913" s="533"/>
      <c r="U913" s="533"/>
      <c r="V913" s="533"/>
      <c r="W913" s="533"/>
      <c r="X913" s="533"/>
      <c r="Y913" s="533"/>
      <c r="Z913" s="533"/>
      <c r="AA913" s="533"/>
      <c r="AB913" s="533"/>
      <c r="AC913" s="533"/>
    </row>
    <row r="914" spans="1:29" ht="15.75" customHeight="1">
      <c r="A914" s="533"/>
      <c r="B914" s="533"/>
      <c r="C914" s="533"/>
      <c r="D914" s="533"/>
      <c r="E914" s="533"/>
      <c r="F914" s="533"/>
      <c r="G914" s="533"/>
      <c r="H914" s="533"/>
      <c r="I914" s="533"/>
      <c r="J914" s="533"/>
      <c r="K914" s="533"/>
      <c r="L914" s="533"/>
      <c r="M914" s="533"/>
      <c r="N914" s="533"/>
      <c r="O914" s="533"/>
      <c r="P914" s="533"/>
      <c r="Q914" s="533"/>
      <c r="R914" s="533"/>
      <c r="S914" s="533"/>
      <c r="T914" s="533"/>
      <c r="U914" s="533"/>
      <c r="V914" s="533"/>
      <c r="W914" s="533"/>
      <c r="X914" s="533"/>
      <c r="Y914" s="533"/>
      <c r="Z914" s="533"/>
      <c r="AA914" s="533"/>
      <c r="AB914" s="533"/>
      <c r="AC914" s="533"/>
    </row>
    <row r="915" spans="1:29" ht="15.75" customHeight="1">
      <c r="A915" s="533"/>
      <c r="B915" s="533"/>
      <c r="C915" s="533"/>
      <c r="D915" s="533"/>
      <c r="E915" s="533"/>
      <c r="F915" s="533"/>
      <c r="G915" s="533"/>
      <c r="H915" s="533"/>
      <c r="I915" s="533"/>
      <c r="J915" s="533"/>
      <c r="K915" s="533"/>
      <c r="L915" s="533"/>
      <c r="M915" s="533"/>
      <c r="N915" s="533"/>
      <c r="O915" s="533"/>
      <c r="P915" s="533"/>
      <c r="Q915" s="533"/>
      <c r="R915" s="533"/>
      <c r="S915" s="533"/>
      <c r="T915" s="533"/>
      <c r="U915" s="533"/>
      <c r="V915" s="533"/>
      <c r="W915" s="533"/>
      <c r="X915" s="533"/>
      <c r="Y915" s="533"/>
      <c r="Z915" s="533"/>
      <c r="AA915" s="533"/>
      <c r="AB915" s="533"/>
      <c r="AC915" s="533"/>
    </row>
    <row r="916" spans="1:29" ht="15.75" customHeight="1">
      <c r="A916" s="533"/>
      <c r="B916" s="533"/>
      <c r="C916" s="533"/>
      <c r="D916" s="533"/>
      <c r="E916" s="533"/>
      <c r="F916" s="533"/>
      <c r="G916" s="533"/>
      <c r="H916" s="533"/>
      <c r="I916" s="533"/>
      <c r="J916" s="533"/>
      <c r="K916" s="533"/>
      <c r="L916" s="533"/>
      <c r="M916" s="533"/>
      <c r="N916" s="533"/>
      <c r="O916" s="533"/>
      <c r="P916" s="533"/>
      <c r="Q916" s="533"/>
      <c r="R916" s="533"/>
      <c r="S916" s="533"/>
      <c r="T916" s="533"/>
      <c r="U916" s="533"/>
      <c r="V916" s="533"/>
      <c r="W916" s="533"/>
      <c r="X916" s="533"/>
      <c r="Y916" s="533"/>
      <c r="Z916" s="533"/>
      <c r="AA916" s="533"/>
      <c r="AB916" s="533"/>
      <c r="AC916" s="533"/>
    </row>
    <row r="917" spans="1:29" ht="15.75" customHeight="1">
      <c r="A917" s="533"/>
      <c r="B917" s="533"/>
      <c r="C917" s="533"/>
      <c r="D917" s="533"/>
      <c r="E917" s="533"/>
      <c r="F917" s="533"/>
      <c r="G917" s="533"/>
      <c r="H917" s="533"/>
      <c r="I917" s="533"/>
      <c r="J917" s="533"/>
      <c r="K917" s="533"/>
      <c r="L917" s="533"/>
      <c r="M917" s="533"/>
      <c r="N917" s="533"/>
      <c r="O917" s="533"/>
      <c r="P917" s="533"/>
      <c r="Q917" s="533"/>
      <c r="R917" s="533"/>
      <c r="S917" s="533"/>
      <c r="T917" s="533"/>
      <c r="U917" s="533"/>
      <c r="V917" s="533"/>
      <c r="W917" s="533"/>
      <c r="X917" s="533"/>
      <c r="Y917" s="533"/>
      <c r="Z917" s="533"/>
      <c r="AA917" s="533"/>
      <c r="AB917" s="533"/>
      <c r="AC917" s="533"/>
    </row>
    <row r="918" spans="1:29" ht="15.75" customHeight="1">
      <c r="A918" s="533"/>
      <c r="B918" s="533"/>
      <c r="C918" s="533"/>
      <c r="D918" s="533"/>
      <c r="E918" s="533"/>
      <c r="F918" s="533"/>
      <c r="G918" s="533"/>
      <c r="H918" s="533"/>
      <c r="I918" s="533"/>
      <c r="J918" s="533"/>
      <c r="K918" s="533"/>
      <c r="L918" s="533"/>
      <c r="M918" s="533"/>
      <c r="N918" s="533"/>
      <c r="O918" s="533"/>
      <c r="P918" s="533"/>
      <c r="Q918" s="533"/>
      <c r="R918" s="533"/>
      <c r="S918" s="533"/>
      <c r="T918" s="533"/>
      <c r="U918" s="533"/>
      <c r="V918" s="533"/>
      <c r="W918" s="533"/>
      <c r="X918" s="533"/>
      <c r="Y918" s="533"/>
      <c r="Z918" s="533"/>
      <c r="AA918" s="533"/>
      <c r="AB918" s="533"/>
      <c r="AC918" s="533"/>
    </row>
    <row r="919" spans="1:29" ht="15.75" customHeight="1">
      <c r="A919" s="533"/>
      <c r="B919" s="533"/>
      <c r="C919" s="533"/>
      <c r="D919" s="533"/>
      <c r="E919" s="533"/>
      <c r="F919" s="533"/>
      <c r="G919" s="533"/>
      <c r="H919" s="533"/>
      <c r="I919" s="533"/>
      <c r="J919" s="533"/>
      <c r="K919" s="533"/>
      <c r="L919" s="533"/>
      <c r="M919" s="533"/>
      <c r="N919" s="533"/>
      <c r="O919" s="533"/>
      <c r="P919" s="533"/>
      <c r="Q919" s="533"/>
      <c r="R919" s="533"/>
      <c r="S919" s="533"/>
      <c r="T919" s="533"/>
      <c r="U919" s="533"/>
      <c r="V919" s="533"/>
      <c r="W919" s="533"/>
      <c r="X919" s="533"/>
      <c r="Y919" s="533"/>
      <c r="Z919" s="533"/>
      <c r="AA919" s="533"/>
      <c r="AB919" s="533"/>
      <c r="AC919" s="533"/>
    </row>
    <row r="920" spans="1:29" ht="15.75" customHeight="1">
      <c r="A920" s="533"/>
      <c r="B920" s="533"/>
      <c r="C920" s="533"/>
      <c r="D920" s="533"/>
      <c r="E920" s="533"/>
      <c r="F920" s="533"/>
      <c r="G920" s="533"/>
      <c r="H920" s="533"/>
      <c r="I920" s="533"/>
      <c r="J920" s="533"/>
      <c r="K920" s="533"/>
      <c r="L920" s="533"/>
      <c r="M920" s="533"/>
      <c r="N920" s="533"/>
      <c r="O920" s="533"/>
      <c r="P920" s="533"/>
      <c r="Q920" s="533"/>
      <c r="R920" s="533"/>
      <c r="S920" s="533"/>
      <c r="T920" s="533"/>
      <c r="U920" s="533"/>
      <c r="V920" s="533"/>
      <c r="W920" s="533"/>
      <c r="X920" s="533"/>
      <c r="Y920" s="533"/>
      <c r="Z920" s="533"/>
      <c r="AA920" s="533"/>
      <c r="AB920" s="533"/>
      <c r="AC920" s="533"/>
    </row>
    <row r="921" spans="1:29" ht="15.75" customHeight="1">
      <c r="A921" s="533"/>
      <c r="B921" s="533"/>
      <c r="C921" s="533"/>
      <c r="D921" s="533"/>
      <c r="E921" s="533"/>
      <c r="F921" s="533"/>
      <c r="G921" s="533"/>
      <c r="H921" s="533"/>
      <c r="I921" s="533"/>
      <c r="J921" s="533"/>
      <c r="K921" s="533"/>
      <c r="L921" s="533"/>
      <c r="M921" s="533"/>
      <c r="N921" s="533"/>
      <c r="O921" s="533"/>
      <c r="P921" s="533"/>
      <c r="Q921" s="533"/>
      <c r="R921" s="533"/>
      <c r="S921" s="533"/>
      <c r="T921" s="533"/>
      <c r="U921" s="533"/>
      <c r="V921" s="533"/>
      <c r="W921" s="533"/>
      <c r="X921" s="533"/>
      <c r="Y921" s="533"/>
      <c r="Z921" s="533"/>
      <c r="AA921" s="533"/>
      <c r="AB921" s="533"/>
      <c r="AC921" s="533"/>
    </row>
    <row r="922" spans="1:29" ht="15.75" customHeight="1">
      <c r="A922" s="533"/>
      <c r="B922" s="533"/>
      <c r="C922" s="533"/>
      <c r="D922" s="533"/>
      <c r="E922" s="533"/>
      <c r="F922" s="533"/>
      <c r="G922" s="533"/>
      <c r="H922" s="533"/>
      <c r="I922" s="533"/>
      <c r="J922" s="533"/>
      <c r="K922" s="533"/>
      <c r="L922" s="533"/>
      <c r="M922" s="533"/>
      <c r="N922" s="533"/>
      <c r="O922" s="533"/>
      <c r="P922" s="533"/>
      <c r="Q922" s="533"/>
      <c r="R922" s="533"/>
      <c r="S922" s="533"/>
      <c r="T922" s="533"/>
      <c r="U922" s="533"/>
      <c r="V922" s="533"/>
      <c r="W922" s="533"/>
      <c r="X922" s="533"/>
      <c r="Y922" s="533"/>
      <c r="Z922" s="533"/>
      <c r="AA922" s="533"/>
      <c r="AB922" s="533"/>
      <c r="AC922" s="533"/>
    </row>
    <row r="923" spans="1:29" ht="15.75" customHeight="1">
      <c r="A923" s="533"/>
      <c r="B923" s="533"/>
      <c r="C923" s="533"/>
      <c r="D923" s="533"/>
      <c r="E923" s="533"/>
      <c r="F923" s="533"/>
      <c r="G923" s="533"/>
      <c r="H923" s="533"/>
      <c r="I923" s="533"/>
      <c r="J923" s="533"/>
      <c r="K923" s="533"/>
      <c r="L923" s="533"/>
      <c r="M923" s="533"/>
      <c r="N923" s="533"/>
      <c r="O923" s="533"/>
      <c r="P923" s="533"/>
      <c r="Q923" s="533"/>
      <c r="R923" s="533"/>
      <c r="S923" s="533"/>
      <c r="T923" s="533"/>
      <c r="U923" s="533"/>
      <c r="V923" s="533"/>
      <c r="W923" s="533"/>
      <c r="X923" s="533"/>
      <c r="Y923" s="533"/>
      <c r="Z923" s="533"/>
      <c r="AA923" s="533"/>
      <c r="AB923" s="533"/>
      <c r="AC923" s="533"/>
    </row>
    <row r="924" spans="1:29" ht="15.75" customHeight="1">
      <c r="A924" s="533"/>
      <c r="B924" s="533"/>
      <c r="C924" s="533"/>
      <c r="D924" s="533"/>
      <c r="E924" s="533"/>
      <c r="F924" s="533"/>
      <c r="G924" s="533"/>
      <c r="H924" s="533"/>
      <c r="I924" s="533"/>
      <c r="J924" s="533"/>
      <c r="K924" s="533"/>
      <c r="L924" s="533"/>
      <c r="M924" s="533"/>
      <c r="N924" s="533"/>
      <c r="O924" s="533"/>
      <c r="P924" s="533"/>
      <c r="Q924" s="533"/>
      <c r="R924" s="533"/>
      <c r="S924" s="533"/>
      <c r="T924" s="533"/>
      <c r="U924" s="533"/>
      <c r="V924" s="533"/>
      <c r="W924" s="533"/>
      <c r="X924" s="533"/>
      <c r="Y924" s="533"/>
      <c r="Z924" s="533"/>
      <c r="AA924" s="533"/>
      <c r="AB924" s="533"/>
      <c r="AC924" s="533"/>
    </row>
    <row r="925" spans="1:29" ht="15.75" customHeight="1">
      <c r="A925" s="533"/>
      <c r="B925" s="533"/>
      <c r="C925" s="533"/>
      <c r="D925" s="533"/>
      <c r="E925" s="533"/>
      <c r="F925" s="533"/>
      <c r="G925" s="533"/>
      <c r="H925" s="533"/>
      <c r="I925" s="533"/>
      <c r="J925" s="533"/>
      <c r="K925" s="533"/>
      <c r="L925" s="533"/>
      <c r="M925" s="533"/>
      <c r="N925" s="533"/>
      <c r="O925" s="533"/>
      <c r="P925" s="533"/>
      <c r="Q925" s="533"/>
      <c r="R925" s="533"/>
      <c r="S925" s="533"/>
      <c r="T925" s="533"/>
      <c r="U925" s="533"/>
      <c r="V925" s="533"/>
      <c r="W925" s="533"/>
      <c r="X925" s="533"/>
      <c r="Y925" s="533"/>
      <c r="Z925" s="533"/>
      <c r="AA925" s="533"/>
      <c r="AB925" s="533"/>
      <c r="AC925" s="533"/>
    </row>
    <row r="926" spans="1:29" ht="15.75" customHeight="1">
      <c r="A926" s="533"/>
      <c r="B926" s="533"/>
      <c r="C926" s="533"/>
      <c r="D926" s="533"/>
      <c r="E926" s="533"/>
      <c r="F926" s="533"/>
      <c r="G926" s="533"/>
      <c r="H926" s="533"/>
      <c r="I926" s="533"/>
      <c r="J926" s="533"/>
      <c r="K926" s="533"/>
      <c r="L926" s="533"/>
      <c r="M926" s="533"/>
      <c r="N926" s="533"/>
      <c r="O926" s="533"/>
      <c r="P926" s="533"/>
      <c r="Q926" s="533"/>
      <c r="R926" s="533"/>
      <c r="S926" s="533"/>
      <c r="T926" s="533"/>
      <c r="U926" s="533"/>
      <c r="V926" s="533"/>
      <c r="W926" s="533"/>
      <c r="X926" s="533"/>
      <c r="Y926" s="533"/>
      <c r="Z926" s="533"/>
      <c r="AA926" s="533"/>
      <c r="AB926" s="533"/>
      <c r="AC926" s="533"/>
    </row>
    <row r="927" spans="1:29" ht="15.75" customHeight="1">
      <c r="A927" s="533"/>
      <c r="B927" s="533"/>
      <c r="C927" s="533"/>
      <c r="D927" s="533"/>
      <c r="E927" s="533"/>
      <c r="F927" s="533"/>
      <c r="G927" s="533"/>
      <c r="H927" s="533"/>
      <c r="I927" s="533"/>
      <c r="J927" s="533"/>
      <c r="K927" s="533"/>
      <c r="L927" s="533"/>
      <c r="M927" s="533"/>
      <c r="N927" s="533"/>
      <c r="O927" s="533"/>
      <c r="P927" s="533"/>
      <c r="Q927" s="533"/>
      <c r="R927" s="533"/>
      <c r="S927" s="533"/>
      <c r="T927" s="533"/>
      <c r="U927" s="533"/>
      <c r="V927" s="533"/>
      <c r="W927" s="533"/>
      <c r="X927" s="533"/>
      <c r="Y927" s="533"/>
      <c r="Z927" s="533"/>
      <c r="AA927" s="533"/>
      <c r="AB927" s="533"/>
      <c r="AC927" s="533"/>
    </row>
    <row r="928" spans="1:29" ht="15.75" customHeight="1">
      <c r="A928" s="533"/>
      <c r="B928" s="533"/>
      <c r="C928" s="533"/>
      <c r="D928" s="533"/>
      <c r="E928" s="533"/>
      <c r="F928" s="533"/>
      <c r="G928" s="533"/>
      <c r="H928" s="533"/>
      <c r="I928" s="533"/>
      <c r="J928" s="533"/>
      <c r="K928" s="533"/>
      <c r="L928" s="533"/>
      <c r="M928" s="533"/>
      <c r="N928" s="533"/>
      <c r="O928" s="533"/>
      <c r="P928" s="533"/>
      <c r="Q928" s="533"/>
      <c r="R928" s="533"/>
      <c r="S928" s="533"/>
      <c r="T928" s="533"/>
      <c r="U928" s="533"/>
      <c r="V928" s="533"/>
      <c r="W928" s="533"/>
      <c r="X928" s="533"/>
      <c r="Y928" s="533"/>
      <c r="Z928" s="533"/>
      <c r="AA928" s="533"/>
      <c r="AB928" s="533"/>
      <c r="AC928" s="533"/>
    </row>
    <row r="929" spans="1:29" ht="15.75" customHeight="1">
      <c r="A929" s="533"/>
      <c r="B929" s="533"/>
      <c r="C929" s="533"/>
      <c r="D929" s="533"/>
      <c r="E929" s="533"/>
      <c r="F929" s="533"/>
      <c r="G929" s="533"/>
      <c r="H929" s="533"/>
      <c r="I929" s="533"/>
      <c r="J929" s="533"/>
      <c r="K929" s="533"/>
      <c r="L929" s="533"/>
      <c r="M929" s="533"/>
      <c r="N929" s="533"/>
      <c r="O929" s="533"/>
      <c r="P929" s="533"/>
      <c r="Q929" s="533"/>
      <c r="R929" s="533"/>
      <c r="S929" s="533"/>
      <c r="T929" s="533"/>
      <c r="U929" s="533"/>
      <c r="V929" s="533"/>
      <c r="W929" s="533"/>
      <c r="X929" s="533"/>
      <c r="Y929" s="533"/>
      <c r="Z929" s="533"/>
      <c r="AA929" s="533"/>
      <c r="AB929" s="533"/>
      <c r="AC929" s="533"/>
    </row>
    <row r="930" spans="1:29" ht="15.75" customHeight="1">
      <c r="A930" s="533"/>
      <c r="B930" s="533"/>
      <c r="C930" s="533"/>
      <c r="D930" s="533"/>
      <c r="E930" s="533"/>
      <c r="F930" s="533"/>
      <c r="G930" s="533"/>
      <c r="H930" s="533"/>
      <c r="I930" s="533"/>
      <c r="J930" s="533"/>
      <c r="K930" s="533"/>
      <c r="L930" s="533"/>
      <c r="M930" s="533"/>
      <c r="N930" s="533"/>
      <c r="O930" s="533"/>
      <c r="P930" s="533"/>
      <c r="Q930" s="533"/>
      <c r="R930" s="533"/>
      <c r="S930" s="533"/>
      <c r="T930" s="533"/>
      <c r="U930" s="533"/>
      <c r="V930" s="533"/>
      <c r="W930" s="533"/>
      <c r="X930" s="533"/>
      <c r="Y930" s="533"/>
      <c r="Z930" s="533"/>
      <c r="AA930" s="533"/>
      <c r="AB930" s="533"/>
      <c r="AC930" s="533"/>
    </row>
    <row r="931" spans="1:29" ht="15.75" customHeight="1">
      <c r="A931" s="533"/>
      <c r="B931" s="533"/>
      <c r="C931" s="533"/>
      <c r="D931" s="533"/>
      <c r="E931" s="533"/>
      <c r="F931" s="533"/>
      <c r="G931" s="533"/>
      <c r="H931" s="533"/>
      <c r="I931" s="533"/>
      <c r="J931" s="533"/>
      <c r="K931" s="533"/>
      <c r="L931" s="533"/>
      <c r="M931" s="533"/>
      <c r="N931" s="533"/>
      <c r="O931" s="533"/>
      <c r="P931" s="533"/>
      <c r="Q931" s="533"/>
      <c r="R931" s="533"/>
      <c r="S931" s="533"/>
      <c r="T931" s="533"/>
      <c r="U931" s="533"/>
      <c r="V931" s="533"/>
      <c r="W931" s="533"/>
      <c r="X931" s="533"/>
      <c r="Y931" s="533"/>
      <c r="Z931" s="533"/>
      <c r="AA931" s="533"/>
      <c r="AB931" s="533"/>
      <c r="AC931" s="533"/>
    </row>
    <row r="932" spans="1:29" ht="15.75" customHeight="1">
      <c r="A932" s="533"/>
      <c r="B932" s="533"/>
      <c r="C932" s="533"/>
      <c r="D932" s="533"/>
      <c r="E932" s="533"/>
      <c r="F932" s="533"/>
      <c r="G932" s="533"/>
      <c r="H932" s="533"/>
      <c r="I932" s="533"/>
      <c r="J932" s="533"/>
      <c r="K932" s="533"/>
      <c r="L932" s="533"/>
      <c r="M932" s="533"/>
      <c r="N932" s="533"/>
      <c r="O932" s="533"/>
      <c r="P932" s="533"/>
      <c r="Q932" s="533"/>
      <c r="R932" s="533"/>
      <c r="S932" s="533"/>
      <c r="T932" s="533"/>
      <c r="U932" s="533"/>
      <c r="V932" s="533"/>
      <c r="W932" s="533"/>
      <c r="X932" s="533"/>
      <c r="Y932" s="533"/>
      <c r="Z932" s="533"/>
      <c r="AA932" s="533"/>
      <c r="AB932" s="533"/>
      <c r="AC932" s="533"/>
    </row>
    <row r="933" spans="1:29" ht="15.75" customHeight="1">
      <c r="A933" s="533"/>
      <c r="B933" s="533"/>
      <c r="C933" s="533"/>
      <c r="D933" s="533"/>
      <c r="E933" s="533"/>
      <c r="F933" s="533"/>
      <c r="G933" s="533"/>
      <c r="H933" s="533"/>
      <c r="I933" s="533"/>
      <c r="J933" s="533"/>
      <c r="K933" s="533"/>
      <c r="L933" s="533"/>
      <c r="M933" s="533"/>
      <c r="N933" s="533"/>
      <c r="O933" s="533"/>
      <c r="P933" s="533"/>
      <c r="Q933" s="533"/>
      <c r="R933" s="533"/>
      <c r="S933" s="533"/>
      <c r="T933" s="533"/>
      <c r="U933" s="533"/>
      <c r="V933" s="533"/>
      <c r="W933" s="533"/>
      <c r="X933" s="533"/>
      <c r="Y933" s="533"/>
      <c r="Z933" s="533"/>
      <c r="AA933" s="533"/>
      <c r="AB933" s="533"/>
      <c r="AC933" s="533"/>
    </row>
    <row r="934" spans="1:29" ht="15.75" customHeight="1">
      <c r="A934" s="533"/>
      <c r="B934" s="533"/>
      <c r="C934" s="533"/>
      <c r="D934" s="533"/>
      <c r="E934" s="533"/>
      <c r="F934" s="533"/>
      <c r="G934" s="533"/>
      <c r="H934" s="533"/>
      <c r="I934" s="533"/>
      <c r="J934" s="533"/>
      <c r="K934" s="533"/>
      <c r="L934" s="533"/>
      <c r="M934" s="533"/>
      <c r="N934" s="533"/>
      <c r="O934" s="533"/>
      <c r="P934" s="533"/>
      <c r="Q934" s="533"/>
      <c r="R934" s="533"/>
      <c r="S934" s="533"/>
      <c r="T934" s="533"/>
      <c r="U934" s="533"/>
      <c r="V934" s="533"/>
      <c r="W934" s="533"/>
      <c r="X934" s="533"/>
      <c r="Y934" s="533"/>
      <c r="Z934" s="533"/>
      <c r="AA934" s="533"/>
      <c r="AB934" s="533"/>
      <c r="AC934" s="533"/>
    </row>
    <row r="935" spans="1:29" ht="15.75" customHeight="1">
      <c r="A935" s="533"/>
      <c r="B935" s="533"/>
      <c r="C935" s="533"/>
      <c r="D935" s="533"/>
      <c r="E935" s="533"/>
      <c r="F935" s="533"/>
      <c r="G935" s="533"/>
      <c r="H935" s="533"/>
      <c r="I935" s="533"/>
      <c r="J935" s="533"/>
      <c r="K935" s="533"/>
      <c r="L935" s="533"/>
      <c r="M935" s="533"/>
      <c r="N935" s="533"/>
      <c r="O935" s="533"/>
      <c r="P935" s="533"/>
      <c r="Q935" s="533"/>
      <c r="R935" s="533"/>
      <c r="S935" s="533"/>
      <c r="T935" s="533"/>
      <c r="U935" s="533"/>
      <c r="V935" s="533"/>
      <c r="W935" s="533"/>
      <c r="X935" s="533"/>
      <c r="Y935" s="533"/>
      <c r="Z935" s="533"/>
      <c r="AA935" s="533"/>
      <c r="AB935" s="533"/>
      <c r="AC935" s="533"/>
    </row>
    <row r="936" spans="1:29" ht="15.75" customHeight="1">
      <c r="A936" s="533"/>
      <c r="B936" s="533"/>
      <c r="C936" s="533"/>
      <c r="D936" s="533"/>
      <c r="E936" s="533"/>
      <c r="F936" s="533"/>
      <c r="G936" s="533"/>
      <c r="H936" s="533"/>
      <c r="I936" s="533"/>
      <c r="J936" s="533"/>
      <c r="K936" s="533"/>
      <c r="L936" s="533"/>
      <c r="M936" s="533"/>
      <c r="N936" s="533"/>
      <c r="O936" s="533"/>
      <c r="P936" s="533"/>
      <c r="Q936" s="533"/>
      <c r="R936" s="533"/>
      <c r="S936" s="533"/>
      <c r="T936" s="533"/>
      <c r="U936" s="533"/>
      <c r="V936" s="533"/>
      <c r="W936" s="533"/>
      <c r="X936" s="533"/>
      <c r="Y936" s="533"/>
      <c r="Z936" s="533"/>
      <c r="AA936" s="533"/>
      <c r="AB936" s="533"/>
      <c r="AC936" s="533"/>
    </row>
    <row r="937" spans="1:29" ht="15.75" customHeight="1">
      <c r="A937" s="533"/>
      <c r="B937" s="533"/>
      <c r="C937" s="533"/>
      <c r="D937" s="533"/>
      <c r="E937" s="533"/>
      <c r="F937" s="533"/>
      <c r="G937" s="533"/>
      <c r="H937" s="533"/>
      <c r="I937" s="533"/>
      <c r="J937" s="533"/>
      <c r="K937" s="533"/>
      <c r="L937" s="533"/>
      <c r="M937" s="533"/>
      <c r="N937" s="533"/>
      <c r="O937" s="533"/>
      <c r="P937" s="533"/>
      <c r="Q937" s="533"/>
      <c r="R937" s="533"/>
      <c r="S937" s="533"/>
      <c r="T937" s="533"/>
      <c r="U937" s="533"/>
      <c r="V937" s="533"/>
      <c r="W937" s="533"/>
      <c r="X937" s="533"/>
      <c r="Y937" s="533"/>
      <c r="Z937" s="533"/>
      <c r="AA937" s="533"/>
      <c r="AB937" s="533"/>
      <c r="AC937" s="533"/>
    </row>
    <row r="938" spans="1:29" ht="15.75" customHeight="1">
      <c r="A938" s="533"/>
      <c r="B938" s="533"/>
      <c r="C938" s="533"/>
      <c r="D938" s="533"/>
      <c r="E938" s="533"/>
      <c r="F938" s="533"/>
      <c r="G938" s="533"/>
      <c r="H938" s="533"/>
      <c r="I938" s="533"/>
      <c r="J938" s="533"/>
      <c r="K938" s="533"/>
      <c r="L938" s="533"/>
      <c r="M938" s="533"/>
      <c r="N938" s="533"/>
      <c r="O938" s="533"/>
      <c r="P938" s="533"/>
      <c r="Q938" s="533"/>
      <c r="R938" s="533"/>
      <c r="S938" s="533"/>
      <c r="T938" s="533"/>
      <c r="U938" s="533"/>
      <c r="V938" s="533"/>
      <c r="W938" s="533"/>
      <c r="X938" s="533"/>
      <c r="Y938" s="533"/>
      <c r="Z938" s="533"/>
      <c r="AA938" s="533"/>
      <c r="AB938" s="533"/>
      <c r="AC938" s="533"/>
    </row>
    <row r="939" spans="1:29" ht="15.75" customHeight="1">
      <c r="A939" s="533"/>
      <c r="B939" s="533"/>
      <c r="C939" s="533"/>
      <c r="D939" s="533"/>
      <c r="E939" s="533"/>
      <c r="F939" s="533"/>
      <c r="G939" s="533"/>
      <c r="H939" s="533"/>
      <c r="I939" s="533"/>
      <c r="J939" s="533"/>
      <c r="K939" s="533"/>
      <c r="L939" s="533"/>
      <c r="M939" s="533"/>
      <c r="N939" s="533"/>
      <c r="O939" s="533"/>
      <c r="P939" s="533"/>
      <c r="Q939" s="533"/>
      <c r="R939" s="533"/>
      <c r="S939" s="533"/>
      <c r="T939" s="533"/>
      <c r="U939" s="533"/>
      <c r="V939" s="533"/>
      <c r="W939" s="533"/>
      <c r="X939" s="533"/>
      <c r="Y939" s="533"/>
      <c r="Z939" s="533"/>
      <c r="AA939" s="533"/>
      <c r="AB939" s="533"/>
      <c r="AC939" s="533"/>
    </row>
    <row r="940" spans="1:29" ht="15.75" customHeight="1">
      <c r="A940" s="533"/>
      <c r="B940" s="533"/>
      <c r="C940" s="533"/>
      <c r="D940" s="533"/>
      <c r="E940" s="533"/>
      <c r="F940" s="533"/>
      <c r="G940" s="533"/>
      <c r="H940" s="533"/>
      <c r="I940" s="533"/>
      <c r="J940" s="533"/>
      <c r="K940" s="533"/>
      <c r="L940" s="533"/>
      <c r="M940" s="533"/>
      <c r="N940" s="533"/>
      <c r="O940" s="533"/>
      <c r="P940" s="533"/>
      <c r="Q940" s="533"/>
      <c r="R940" s="533"/>
      <c r="S940" s="533"/>
      <c r="T940" s="533"/>
      <c r="U940" s="533"/>
      <c r="V940" s="533"/>
      <c r="W940" s="533"/>
      <c r="X940" s="533"/>
      <c r="Y940" s="533"/>
      <c r="Z940" s="533"/>
      <c r="AA940" s="533"/>
      <c r="AB940" s="533"/>
      <c r="AC940" s="533"/>
    </row>
    <row r="941" spans="1:29" ht="15.75" customHeight="1">
      <c r="A941" s="533"/>
      <c r="B941" s="533"/>
      <c r="C941" s="533"/>
      <c r="D941" s="533"/>
      <c r="E941" s="533"/>
      <c r="F941" s="533"/>
      <c r="G941" s="533"/>
      <c r="H941" s="533"/>
      <c r="I941" s="533"/>
      <c r="J941" s="533"/>
      <c r="K941" s="533"/>
      <c r="L941" s="533"/>
      <c r="M941" s="533"/>
      <c r="N941" s="533"/>
      <c r="O941" s="533"/>
      <c r="P941" s="533"/>
      <c r="Q941" s="533"/>
      <c r="R941" s="533"/>
      <c r="S941" s="533"/>
      <c r="T941" s="533"/>
      <c r="U941" s="533"/>
      <c r="V941" s="533"/>
      <c r="W941" s="533"/>
      <c r="X941" s="533"/>
      <c r="Y941" s="533"/>
      <c r="Z941" s="533"/>
      <c r="AA941" s="533"/>
      <c r="AB941" s="533"/>
      <c r="AC941" s="533"/>
    </row>
    <row r="942" spans="1:29" ht="15.75" customHeight="1">
      <c r="A942" s="533"/>
      <c r="B942" s="533"/>
      <c r="C942" s="533"/>
      <c r="D942" s="533"/>
      <c r="E942" s="533"/>
      <c r="F942" s="533"/>
      <c r="G942" s="533"/>
      <c r="H942" s="533"/>
      <c r="I942" s="533"/>
      <c r="J942" s="533"/>
      <c r="K942" s="533"/>
      <c r="L942" s="533"/>
      <c r="M942" s="533"/>
      <c r="N942" s="533"/>
      <c r="O942" s="533"/>
      <c r="P942" s="533"/>
      <c r="Q942" s="533"/>
      <c r="R942" s="533"/>
      <c r="S942" s="533"/>
      <c r="T942" s="533"/>
      <c r="U942" s="533"/>
      <c r="V942" s="533"/>
      <c r="W942" s="533"/>
      <c r="X942" s="533"/>
      <c r="Y942" s="533"/>
      <c r="Z942" s="533"/>
      <c r="AA942" s="533"/>
      <c r="AB942" s="533"/>
      <c r="AC942" s="533"/>
    </row>
    <row r="943" spans="1:29" ht="15.75" customHeight="1">
      <c r="A943" s="533"/>
      <c r="B943" s="533"/>
      <c r="C943" s="533"/>
      <c r="D943" s="533"/>
      <c r="E943" s="533"/>
      <c r="F943" s="533"/>
      <c r="G943" s="533"/>
      <c r="H943" s="533"/>
      <c r="I943" s="533"/>
      <c r="J943" s="533"/>
      <c r="K943" s="533"/>
      <c r="L943" s="533"/>
      <c r="M943" s="533"/>
      <c r="N943" s="533"/>
      <c r="O943" s="533"/>
      <c r="P943" s="533"/>
      <c r="Q943" s="533"/>
      <c r="R943" s="533"/>
      <c r="S943" s="533"/>
      <c r="T943" s="533"/>
      <c r="U943" s="533"/>
      <c r="V943" s="533"/>
      <c r="W943" s="533"/>
      <c r="X943" s="533"/>
      <c r="Y943" s="533"/>
      <c r="Z943" s="533"/>
      <c r="AA943" s="533"/>
      <c r="AB943" s="533"/>
      <c r="AC943" s="533"/>
    </row>
    <row r="944" spans="1:29" ht="15.75" customHeight="1">
      <c r="A944" s="533"/>
      <c r="B944" s="533"/>
      <c r="C944" s="533"/>
      <c r="D944" s="533"/>
      <c r="E944" s="533"/>
      <c r="F944" s="533"/>
      <c r="G944" s="533"/>
      <c r="H944" s="533"/>
      <c r="I944" s="533"/>
      <c r="J944" s="533"/>
      <c r="K944" s="533"/>
      <c r="L944" s="533"/>
      <c r="M944" s="533"/>
      <c r="N944" s="533"/>
      <c r="O944" s="533"/>
      <c r="P944" s="533"/>
      <c r="Q944" s="533"/>
      <c r="R944" s="533"/>
      <c r="S944" s="533"/>
      <c r="T944" s="533"/>
      <c r="U944" s="533"/>
      <c r="V944" s="533"/>
      <c r="W944" s="533"/>
      <c r="X944" s="533"/>
      <c r="Y944" s="533"/>
      <c r="Z944" s="533"/>
      <c r="AA944" s="533"/>
      <c r="AB944" s="533"/>
      <c r="AC944" s="533"/>
    </row>
    <row r="945" spans="1:29" ht="15.75" customHeight="1">
      <c r="A945" s="533"/>
      <c r="B945" s="533"/>
      <c r="C945" s="533"/>
      <c r="D945" s="533"/>
      <c r="E945" s="533"/>
      <c r="F945" s="533"/>
      <c r="G945" s="533"/>
      <c r="H945" s="533"/>
      <c r="I945" s="533"/>
      <c r="J945" s="533"/>
      <c r="K945" s="533"/>
      <c r="L945" s="533"/>
      <c r="M945" s="533"/>
      <c r="N945" s="533"/>
      <c r="O945" s="533"/>
      <c r="P945" s="533"/>
      <c r="Q945" s="533"/>
      <c r="R945" s="533"/>
      <c r="S945" s="533"/>
      <c r="T945" s="533"/>
      <c r="U945" s="533"/>
      <c r="V945" s="533"/>
      <c r="W945" s="533"/>
      <c r="X945" s="533"/>
      <c r="Y945" s="533"/>
      <c r="Z945" s="533"/>
      <c r="AA945" s="533"/>
      <c r="AB945" s="533"/>
      <c r="AC945" s="533"/>
    </row>
    <row r="946" spans="1:29" ht="15.75" customHeight="1">
      <c r="A946" s="533"/>
      <c r="B946" s="533"/>
      <c r="C946" s="533"/>
      <c r="D946" s="533"/>
      <c r="E946" s="533"/>
      <c r="F946" s="533"/>
      <c r="G946" s="533"/>
      <c r="H946" s="533"/>
      <c r="I946" s="533"/>
      <c r="J946" s="533"/>
      <c r="K946" s="533"/>
      <c r="L946" s="533"/>
      <c r="M946" s="533"/>
      <c r="N946" s="533"/>
      <c r="O946" s="533"/>
      <c r="P946" s="533"/>
      <c r="Q946" s="533"/>
      <c r="R946" s="533"/>
      <c r="S946" s="533"/>
      <c r="T946" s="533"/>
      <c r="U946" s="533"/>
      <c r="V946" s="533"/>
      <c r="W946" s="533"/>
      <c r="X946" s="533"/>
      <c r="Y946" s="533"/>
      <c r="Z946" s="533"/>
      <c r="AA946" s="533"/>
      <c r="AB946" s="533"/>
      <c r="AC946" s="533"/>
    </row>
    <row r="947" spans="1:29" ht="15.75" customHeight="1">
      <c r="A947" s="533"/>
      <c r="B947" s="533"/>
      <c r="C947" s="533"/>
      <c r="D947" s="533"/>
      <c r="E947" s="533"/>
      <c r="F947" s="533"/>
      <c r="G947" s="533"/>
      <c r="H947" s="533"/>
      <c r="I947" s="533"/>
      <c r="J947" s="533"/>
      <c r="K947" s="533"/>
      <c r="L947" s="533"/>
      <c r="M947" s="533"/>
      <c r="N947" s="533"/>
      <c r="O947" s="533"/>
      <c r="P947" s="533"/>
      <c r="Q947" s="533"/>
      <c r="R947" s="533"/>
      <c r="S947" s="533"/>
      <c r="T947" s="533"/>
      <c r="U947" s="533"/>
      <c r="V947" s="533"/>
      <c r="W947" s="533"/>
      <c r="X947" s="533"/>
      <c r="Y947" s="533"/>
      <c r="Z947" s="533"/>
      <c r="AA947" s="533"/>
      <c r="AB947" s="533"/>
      <c r="AC947" s="533"/>
    </row>
    <row r="948" spans="1:29" ht="15.75" customHeight="1">
      <c r="A948" s="533"/>
      <c r="B948" s="533"/>
      <c r="C948" s="533"/>
      <c r="D948" s="533"/>
      <c r="E948" s="533"/>
      <c r="F948" s="533"/>
      <c r="G948" s="533"/>
      <c r="H948" s="533"/>
      <c r="I948" s="533"/>
      <c r="J948" s="533"/>
      <c r="K948" s="533"/>
      <c r="L948" s="533"/>
      <c r="M948" s="533"/>
      <c r="N948" s="533"/>
      <c r="O948" s="533"/>
      <c r="P948" s="533"/>
      <c r="Q948" s="533"/>
      <c r="R948" s="533"/>
      <c r="S948" s="533"/>
      <c r="T948" s="533"/>
      <c r="U948" s="533"/>
      <c r="V948" s="533"/>
      <c r="W948" s="533"/>
      <c r="X948" s="533"/>
      <c r="Y948" s="533"/>
      <c r="Z948" s="533"/>
      <c r="AA948" s="533"/>
      <c r="AB948" s="533"/>
      <c r="AC948" s="533"/>
    </row>
    <row r="949" spans="1:29" ht="15.75" customHeight="1">
      <c r="A949" s="533"/>
      <c r="B949" s="533"/>
      <c r="C949" s="533"/>
      <c r="D949" s="533"/>
      <c r="E949" s="533"/>
      <c r="F949" s="533"/>
      <c r="G949" s="533"/>
      <c r="H949" s="533"/>
      <c r="I949" s="533"/>
      <c r="J949" s="533"/>
      <c r="K949" s="533"/>
      <c r="L949" s="533"/>
      <c r="M949" s="533"/>
      <c r="N949" s="533"/>
      <c r="O949" s="533"/>
      <c r="P949" s="533"/>
      <c r="Q949" s="533"/>
      <c r="R949" s="533"/>
      <c r="S949" s="533"/>
      <c r="T949" s="533"/>
      <c r="U949" s="533"/>
      <c r="V949" s="533"/>
      <c r="W949" s="533"/>
      <c r="X949" s="533"/>
      <c r="Y949" s="533"/>
      <c r="Z949" s="533"/>
      <c r="AA949" s="533"/>
      <c r="AB949" s="533"/>
      <c r="AC949" s="533"/>
    </row>
    <row r="950" spans="1:29" ht="15.75" customHeight="1">
      <c r="A950" s="533"/>
      <c r="B950" s="533"/>
      <c r="C950" s="533"/>
      <c r="D950" s="533"/>
      <c r="E950" s="533"/>
      <c r="F950" s="533"/>
      <c r="G950" s="533"/>
      <c r="H950" s="533"/>
      <c r="I950" s="533"/>
      <c r="J950" s="533"/>
      <c r="K950" s="533"/>
      <c r="L950" s="533"/>
      <c r="M950" s="533"/>
      <c r="N950" s="533"/>
      <c r="O950" s="533"/>
      <c r="P950" s="533"/>
      <c r="Q950" s="533"/>
      <c r="R950" s="533"/>
      <c r="S950" s="533"/>
      <c r="T950" s="533"/>
      <c r="U950" s="533"/>
      <c r="V950" s="533"/>
      <c r="W950" s="533"/>
      <c r="X950" s="533"/>
      <c r="Y950" s="533"/>
      <c r="Z950" s="533"/>
      <c r="AA950" s="533"/>
      <c r="AB950" s="533"/>
      <c r="AC950" s="533"/>
    </row>
    <row r="951" spans="1:29" ht="15.75" customHeight="1">
      <c r="A951" s="533"/>
      <c r="B951" s="533"/>
      <c r="C951" s="533"/>
      <c r="D951" s="533"/>
      <c r="E951" s="533"/>
      <c r="F951" s="533"/>
      <c r="G951" s="533"/>
      <c r="H951" s="533"/>
      <c r="I951" s="533"/>
      <c r="J951" s="533"/>
      <c r="K951" s="533"/>
      <c r="L951" s="533"/>
      <c r="M951" s="533"/>
      <c r="N951" s="533"/>
      <c r="O951" s="533"/>
      <c r="P951" s="533"/>
      <c r="Q951" s="533"/>
      <c r="R951" s="533"/>
      <c r="S951" s="533"/>
      <c r="T951" s="533"/>
      <c r="U951" s="533"/>
      <c r="V951" s="533"/>
      <c r="W951" s="533"/>
      <c r="X951" s="533"/>
      <c r="Y951" s="533"/>
      <c r="Z951" s="533"/>
      <c r="AA951" s="533"/>
      <c r="AB951" s="533"/>
      <c r="AC951" s="533"/>
    </row>
    <row r="952" spans="1:29" ht="15.75" customHeight="1">
      <c r="A952" s="533"/>
      <c r="B952" s="533"/>
      <c r="C952" s="533"/>
      <c r="D952" s="533"/>
      <c r="E952" s="533"/>
      <c r="F952" s="533"/>
      <c r="G952" s="533"/>
      <c r="H952" s="533"/>
      <c r="I952" s="533"/>
      <c r="J952" s="533"/>
      <c r="K952" s="533"/>
      <c r="L952" s="533"/>
      <c r="M952" s="533"/>
      <c r="N952" s="533"/>
      <c r="O952" s="533"/>
      <c r="P952" s="533"/>
      <c r="Q952" s="533"/>
      <c r="R952" s="533"/>
      <c r="S952" s="533"/>
      <c r="T952" s="533"/>
      <c r="U952" s="533"/>
      <c r="V952" s="533"/>
      <c r="W952" s="533"/>
      <c r="X952" s="533"/>
      <c r="Y952" s="533"/>
      <c r="Z952" s="533"/>
      <c r="AA952" s="533"/>
      <c r="AB952" s="533"/>
      <c r="AC952" s="533"/>
    </row>
    <row r="953" spans="1:29" ht="15.75" customHeight="1">
      <c r="A953" s="533"/>
      <c r="B953" s="533"/>
      <c r="C953" s="533"/>
      <c r="D953" s="533"/>
      <c r="E953" s="533"/>
      <c r="F953" s="533"/>
      <c r="G953" s="533"/>
      <c r="H953" s="533"/>
      <c r="I953" s="533"/>
      <c r="J953" s="533"/>
      <c r="K953" s="533"/>
      <c r="L953" s="533"/>
      <c r="M953" s="533"/>
      <c r="N953" s="533"/>
      <c r="O953" s="533"/>
      <c r="P953" s="533"/>
      <c r="Q953" s="533"/>
      <c r="R953" s="533"/>
      <c r="S953" s="533"/>
      <c r="T953" s="533"/>
      <c r="U953" s="533"/>
      <c r="V953" s="533"/>
      <c r="W953" s="533"/>
      <c r="X953" s="533"/>
      <c r="Y953" s="533"/>
      <c r="Z953" s="533"/>
      <c r="AA953" s="533"/>
      <c r="AB953" s="533"/>
      <c r="AC953" s="533"/>
    </row>
    <row r="954" spans="1:29" ht="15.75" customHeight="1">
      <c r="A954" s="533"/>
      <c r="B954" s="533"/>
      <c r="C954" s="533"/>
      <c r="D954" s="533"/>
      <c r="E954" s="533"/>
      <c r="F954" s="533"/>
      <c r="G954" s="533"/>
      <c r="H954" s="533"/>
      <c r="I954" s="533"/>
      <c r="J954" s="533"/>
      <c r="K954" s="533"/>
      <c r="L954" s="533"/>
      <c r="M954" s="533"/>
      <c r="N954" s="533"/>
      <c r="O954" s="533"/>
      <c r="P954" s="533"/>
      <c r="Q954" s="533"/>
      <c r="R954" s="533"/>
      <c r="S954" s="533"/>
      <c r="T954" s="533"/>
      <c r="U954" s="533"/>
      <c r="V954" s="533"/>
      <c r="W954" s="533"/>
      <c r="X954" s="533"/>
      <c r="Y954" s="533"/>
      <c r="Z954" s="533"/>
      <c r="AA954" s="533"/>
      <c r="AB954" s="533"/>
      <c r="AC954" s="533"/>
    </row>
    <row r="955" spans="1:29" ht="15.75" customHeight="1">
      <c r="A955" s="533"/>
      <c r="B955" s="533"/>
      <c r="C955" s="533"/>
      <c r="D955" s="533"/>
      <c r="E955" s="533"/>
      <c r="F955" s="533"/>
      <c r="G955" s="533"/>
      <c r="H955" s="533"/>
      <c r="I955" s="533"/>
      <c r="J955" s="533"/>
      <c r="K955" s="533"/>
      <c r="L955" s="533"/>
      <c r="M955" s="533"/>
      <c r="N955" s="533"/>
      <c r="O955" s="533"/>
      <c r="P955" s="533"/>
      <c r="Q955" s="533"/>
      <c r="R955" s="533"/>
      <c r="S955" s="533"/>
      <c r="T955" s="533"/>
      <c r="U955" s="533"/>
      <c r="V955" s="533"/>
      <c r="W955" s="533"/>
      <c r="X955" s="533"/>
      <c r="Y955" s="533"/>
      <c r="Z955" s="533"/>
      <c r="AA955" s="533"/>
      <c r="AB955" s="533"/>
      <c r="AC955" s="533"/>
    </row>
    <row r="956" spans="1:29" ht="15.75" customHeight="1">
      <c r="A956" s="533"/>
      <c r="B956" s="533"/>
      <c r="C956" s="533"/>
      <c r="D956" s="533"/>
      <c r="E956" s="533"/>
      <c r="F956" s="533"/>
      <c r="G956" s="533"/>
      <c r="H956" s="533"/>
      <c r="I956" s="533"/>
      <c r="J956" s="533"/>
      <c r="K956" s="533"/>
      <c r="L956" s="533"/>
      <c r="M956" s="533"/>
      <c r="N956" s="533"/>
      <c r="O956" s="533"/>
      <c r="P956" s="533"/>
      <c r="Q956" s="533"/>
      <c r="R956" s="533"/>
      <c r="S956" s="533"/>
      <c r="T956" s="533"/>
      <c r="U956" s="533"/>
      <c r="V956" s="533"/>
      <c r="W956" s="533"/>
      <c r="X956" s="533"/>
      <c r="Y956" s="533"/>
      <c r="Z956" s="533"/>
      <c r="AA956" s="533"/>
      <c r="AB956" s="533"/>
      <c r="AC956" s="533"/>
    </row>
    <row r="957" spans="1:29" ht="15.75" customHeight="1">
      <c r="A957" s="533"/>
      <c r="B957" s="533"/>
      <c r="C957" s="533"/>
      <c r="D957" s="533"/>
      <c r="E957" s="533"/>
      <c r="F957" s="533"/>
      <c r="G957" s="533"/>
      <c r="H957" s="533"/>
      <c r="I957" s="533"/>
      <c r="J957" s="533"/>
      <c r="K957" s="533"/>
      <c r="L957" s="533"/>
      <c r="M957" s="533"/>
      <c r="N957" s="533"/>
      <c r="O957" s="533"/>
      <c r="P957" s="533"/>
      <c r="Q957" s="533"/>
      <c r="R957" s="533"/>
      <c r="S957" s="533"/>
      <c r="T957" s="533"/>
      <c r="U957" s="533"/>
      <c r="V957" s="533"/>
      <c r="W957" s="533"/>
      <c r="X957" s="533"/>
      <c r="Y957" s="533"/>
      <c r="Z957" s="533"/>
      <c r="AA957" s="533"/>
      <c r="AB957" s="533"/>
      <c r="AC957" s="533"/>
    </row>
    <row r="958" spans="1:29" ht="15.75" customHeight="1">
      <c r="A958" s="533"/>
      <c r="B958" s="533"/>
      <c r="C958" s="533"/>
      <c r="D958" s="533"/>
      <c r="E958" s="533"/>
      <c r="F958" s="533"/>
      <c r="G958" s="533"/>
      <c r="H958" s="533"/>
      <c r="I958" s="533"/>
      <c r="J958" s="533"/>
      <c r="K958" s="533"/>
      <c r="L958" s="533"/>
      <c r="M958" s="533"/>
      <c r="N958" s="533"/>
      <c r="O958" s="533"/>
      <c r="P958" s="533"/>
      <c r="Q958" s="533"/>
      <c r="R958" s="533"/>
      <c r="S958" s="533"/>
      <c r="T958" s="533"/>
      <c r="U958" s="533"/>
      <c r="V958" s="533"/>
      <c r="W958" s="533"/>
      <c r="X958" s="533"/>
      <c r="Y958" s="533"/>
      <c r="Z958" s="533"/>
      <c r="AA958" s="533"/>
      <c r="AB958" s="533"/>
      <c r="AC958" s="533"/>
    </row>
    <row r="959" spans="1:29" ht="15.75" customHeight="1">
      <c r="A959" s="533"/>
      <c r="B959" s="533"/>
      <c r="C959" s="533"/>
      <c r="D959" s="533"/>
      <c r="E959" s="533"/>
      <c r="F959" s="533"/>
      <c r="G959" s="533"/>
      <c r="H959" s="533"/>
      <c r="I959" s="533"/>
      <c r="J959" s="533"/>
      <c r="K959" s="533"/>
      <c r="L959" s="533"/>
      <c r="M959" s="533"/>
      <c r="N959" s="533"/>
      <c r="O959" s="533"/>
      <c r="P959" s="533"/>
      <c r="Q959" s="533"/>
      <c r="R959" s="533"/>
      <c r="S959" s="533"/>
      <c r="T959" s="533"/>
      <c r="U959" s="533"/>
      <c r="V959" s="533"/>
      <c r="W959" s="533"/>
      <c r="X959" s="533"/>
      <c r="Y959" s="533"/>
      <c r="Z959" s="533"/>
      <c r="AA959" s="533"/>
      <c r="AB959" s="533"/>
      <c r="AC959" s="533"/>
    </row>
    <row r="960" spans="1:29" ht="15.75" customHeight="1">
      <c r="A960" s="533"/>
      <c r="B960" s="533"/>
      <c r="C960" s="533"/>
      <c r="D960" s="533"/>
      <c r="E960" s="533"/>
      <c r="F960" s="533"/>
      <c r="G960" s="533"/>
      <c r="H960" s="533"/>
      <c r="I960" s="533"/>
      <c r="J960" s="533"/>
      <c r="K960" s="533"/>
      <c r="L960" s="533"/>
      <c r="M960" s="533"/>
      <c r="N960" s="533"/>
      <c r="O960" s="533"/>
      <c r="P960" s="533"/>
      <c r="Q960" s="533"/>
      <c r="R960" s="533"/>
      <c r="S960" s="533"/>
      <c r="T960" s="533"/>
      <c r="U960" s="533"/>
      <c r="V960" s="533"/>
      <c r="W960" s="533"/>
      <c r="X960" s="533"/>
      <c r="Y960" s="533"/>
      <c r="Z960" s="533"/>
      <c r="AA960" s="533"/>
      <c r="AB960" s="533"/>
      <c r="AC960" s="533"/>
    </row>
    <row r="961" spans="1:29" ht="15.75" customHeight="1">
      <c r="A961" s="533"/>
      <c r="B961" s="533"/>
      <c r="C961" s="533"/>
      <c r="D961" s="533"/>
      <c r="E961" s="533"/>
      <c r="F961" s="533"/>
      <c r="G961" s="533"/>
      <c r="H961" s="533"/>
      <c r="I961" s="533"/>
      <c r="J961" s="533"/>
      <c r="K961" s="533"/>
      <c r="L961" s="533"/>
      <c r="M961" s="533"/>
      <c r="N961" s="533"/>
      <c r="O961" s="533"/>
      <c r="P961" s="533"/>
      <c r="Q961" s="533"/>
      <c r="R961" s="533"/>
      <c r="S961" s="533"/>
      <c r="T961" s="533"/>
      <c r="U961" s="533"/>
      <c r="V961" s="533"/>
      <c r="W961" s="533"/>
      <c r="X961" s="533"/>
      <c r="Y961" s="533"/>
      <c r="Z961" s="533"/>
      <c r="AA961" s="533"/>
      <c r="AB961" s="533"/>
      <c r="AC961" s="533"/>
    </row>
    <row r="962" spans="1:29" ht="15.75" customHeight="1">
      <c r="A962" s="533"/>
      <c r="B962" s="533"/>
      <c r="C962" s="533"/>
      <c r="D962" s="533"/>
      <c r="E962" s="533"/>
      <c r="F962" s="533"/>
      <c r="G962" s="533"/>
      <c r="H962" s="533"/>
      <c r="I962" s="533"/>
      <c r="J962" s="533"/>
      <c r="K962" s="533"/>
      <c r="L962" s="533"/>
      <c r="M962" s="533"/>
      <c r="N962" s="533"/>
      <c r="O962" s="533"/>
      <c r="P962" s="533"/>
      <c r="Q962" s="533"/>
      <c r="R962" s="533"/>
      <c r="S962" s="533"/>
      <c r="T962" s="533"/>
      <c r="U962" s="533"/>
      <c r="V962" s="533"/>
      <c r="W962" s="533"/>
      <c r="X962" s="533"/>
      <c r="Y962" s="533"/>
      <c r="Z962" s="533"/>
      <c r="AA962" s="533"/>
      <c r="AB962" s="533"/>
      <c r="AC962" s="533"/>
    </row>
    <row r="963" spans="1:29" ht="15.75" customHeight="1">
      <c r="A963" s="533"/>
      <c r="B963" s="533"/>
      <c r="C963" s="533"/>
      <c r="D963" s="533"/>
      <c r="E963" s="533"/>
      <c r="F963" s="533"/>
      <c r="G963" s="533"/>
      <c r="H963" s="533"/>
      <c r="I963" s="533"/>
      <c r="J963" s="533"/>
      <c r="K963" s="533"/>
      <c r="L963" s="533"/>
      <c r="M963" s="533"/>
      <c r="N963" s="533"/>
      <c r="O963" s="533"/>
      <c r="P963" s="533"/>
      <c r="Q963" s="533"/>
      <c r="R963" s="533"/>
      <c r="S963" s="533"/>
      <c r="T963" s="533"/>
      <c r="U963" s="533"/>
      <c r="V963" s="533"/>
      <c r="W963" s="533"/>
      <c r="X963" s="533"/>
      <c r="Y963" s="533"/>
      <c r="Z963" s="533"/>
      <c r="AA963" s="533"/>
      <c r="AB963" s="533"/>
      <c r="AC963" s="533"/>
    </row>
    <row r="964" spans="1:29" ht="15.75" customHeight="1">
      <c r="A964" s="533"/>
      <c r="B964" s="533"/>
      <c r="C964" s="533"/>
      <c r="D964" s="533"/>
      <c r="E964" s="533"/>
      <c r="F964" s="533"/>
      <c r="G964" s="533"/>
      <c r="H964" s="533"/>
      <c r="I964" s="533"/>
      <c r="J964" s="533"/>
      <c r="K964" s="533"/>
      <c r="L964" s="533"/>
      <c r="M964" s="533"/>
      <c r="N964" s="533"/>
      <c r="O964" s="533"/>
      <c r="P964" s="533"/>
      <c r="Q964" s="533"/>
      <c r="R964" s="533"/>
      <c r="S964" s="533"/>
      <c r="T964" s="533"/>
      <c r="U964" s="533"/>
      <c r="V964" s="533"/>
      <c r="W964" s="533"/>
      <c r="X964" s="533"/>
      <c r="Y964" s="533"/>
      <c r="Z964" s="533"/>
      <c r="AA964" s="533"/>
      <c r="AB964" s="533"/>
      <c r="AC964" s="533"/>
    </row>
    <row r="965" spans="1:29" ht="15.75" customHeight="1">
      <c r="A965" s="533"/>
      <c r="B965" s="533"/>
      <c r="C965" s="533"/>
      <c r="D965" s="533"/>
      <c r="E965" s="533"/>
      <c r="F965" s="533"/>
      <c r="G965" s="533"/>
      <c r="H965" s="533"/>
      <c r="I965" s="533"/>
      <c r="J965" s="533"/>
      <c r="K965" s="533"/>
      <c r="L965" s="533"/>
      <c r="M965" s="533"/>
      <c r="N965" s="533"/>
      <c r="O965" s="533"/>
      <c r="P965" s="533"/>
      <c r="Q965" s="533"/>
      <c r="R965" s="533"/>
      <c r="S965" s="533"/>
      <c r="T965" s="533"/>
      <c r="U965" s="533"/>
      <c r="V965" s="533"/>
      <c r="W965" s="533"/>
      <c r="X965" s="533"/>
      <c r="Y965" s="533"/>
      <c r="Z965" s="533"/>
      <c r="AA965" s="533"/>
      <c r="AB965" s="533"/>
      <c r="AC965" s="533"/>
    </row>
    <row r="966" spans="1:29" ht="15.75" customHeight="1">
      <c r="A966" s="533"/>
      <c r="B966" s="533"/>
      <c r="C966" s="533"/>
      <c r="D966" s="533"/>
      <c r="E966" s="533"/>
      <c r="F966" s="533"/>
      <c r="G966" s="533"/>
      <c r="H966" s="533"/>
      <c r="I966" s="533"/>
      <c r="J966" s="533"/>
      <c r="K966" s="533"/>
      <c r="L966" s="533"/>
      <c r="M966" s="533"/>
      <c r="N966" s="533"/>
      <c r="O966" s="533"/>
      <c r="P966" s="533"/>
      <c r="Q966" s="533"/>
      <c r="R966" s="533"/>
      <c r="S966" s="533"/>
      <c r="T966" s="533"/>
      <c r="U966" s="533"/>
      <c r="V966" s="533"/>
      <c r="W966" s="533"/>
      <c r="X966" s="533"/>
      <c r="Y966" s="533"/>
      <c r="Z966" s="533"/>
      <c r="AA966" s="533"/>
      <c r="AB966" s="533"/>
      <c r="AC966" s="533"/>
    </row>
    <row r="967" spans="1:29" ht="15.75" customHeight="1">
      <c r="A967" s="533"/>
      <c r="B967" s="533"/>
      <c r="C967" s="533"/>
      <c r="D967" s="533"/>
      <c r="E967" s="533"/>
      <c r="F967" s="533"/>
      <c r="G967" s="533"/>
      <c r="H967" s="533"/>
      <c r="I967" s="533"/>
      <c r="J967" s="533"/>
      <c r="K967" s="533"/>
      <c r="L967" s="533"/>
      <c r="M967" s="533"/>
      <c r="N967" s="533"/>
      <c r="O967" s="533"/>
      <c r="P967" s="533"/>
      <c r="Q967" s="533"/>
      <c r="R967" s="533"/>
      <c r="S967" s="533"/>
      <c r="T967" s="533"/>
      <c r="U967" s="533"/>
      <c r="V967" s="533"/>
      <c r="W967" s="533"/>
      <c r="X967" s="533"/>
      <c r="Y967" s="533"/>
      <c r="Z967" s="533"/>
      <c r="AA967" s="533"/>
      <c r="AB967" s="533"/>
      <c r="AC967" s="533"/>
    </row>
    <row r="968" spans="1:29" ht="15.75" customHeight="1">
      <c r="A968" s="533"/>
      <c r="B968" s="533"/>
      <c r="C968" s="533"/>
      <c r="D968" s="533"/>
      <c r="E968" s="533"/>
      <c r="F968" s="533"/>
      <c r="G968" s="533"/>
      <c r="H968" s="533"/>
      <c r="I968" s="533"/>
      <c r="J968" s="533"/>
      <c r="K968" s="533"/>
      <c r="L968" s="533"/>
      <c r="M968" s="533"/>
      <c r="N968" s="533"/>
      <c r="O968" s="533"/>
      <c r="P968" s="533"/>
      <c r="Q968" s="533"/>
      <c r="R968" s="533"/>
      <c r="S968" s="533"/>
      <c r="T968" s="533"/>
      <c r="U968" s="533"/>
      <c r="V968" s="533"/>
      <c r="W968" s="533"/>
      <c r="X968" s="533"/>
      <c r="Y968" s="533"/>
      <c r="Z968" s="533"/>
      <c r="AA968" s="533"/>
      <c r="AB968" s="533"/>
      <c r="AC968" s="533"/>
    </row>
    <row r="969" spans="1:29" ht="15.75" customHeight="1">
      <c r="A969" s="533"/>
      <c r="B969" s="533"/>
      <c r="C969" s="533"/>
      <c r="D969" s="533"/>
      <c r="E969" s="533"/>
      <c r="F969" s="533"/>
      <c r="G969" s="533"/>
      <c r="H969" s="533"/>
      <c r="I969" s="533"/>
      <c r="J969" s="533"/>
      <c r="K969" s="533"/>
      <c r="L969" s="533"/>
      <c r="M969" s="533"/>
      <c r="N969" s="533"/>
      <c r="O969" s="533"/>
      <c r="P969" s="533"/>
      <c r="Q969" s="533"/>
      <c r="R969" s="533"/>
      <c r="S969" s="533"/>
      <c r="T969" s="533"/>
      <c r="U969" s="533"/>
      <c r="V969" s="533"/>
      <c r="W969" s="533"/>
      <c r="X969" s="533"/>
      <c r="Y969" s="533"/>
      <c r="Z969" s="533"/>
      <c r="AA969" s="533"/>
      <c r="AB969" s="533"/>
      <c r="AC969" s="533"/>
    </row>
    <row r="970" spans="1:29" ht="15.75" customHeight="1">
      <c r="A970" s="533"/>
      <c r="B970" s="533"/>
      <c r="C970" s="533"/>
      <c r="D970" s="533"/>
      <c r="E970" s="533"/>
      <c r="F970" s="533"/>
      <c r="G970" s="533"/>
      <c r="H970" s="533"/>
      <c r="I970" s="533"/>
      <c r="J970" s="533"/>
      <c r="K970" s="533"/>
      <c r="L970" s="533"/>
      <c r="M970" s="533"/>
      <c r="N970" s="533"/>
      <c r="O970" s="533"/>
      <c r="P970" s="533"/>
      <c r="Q970" s="533"/>
      <c r="R970" s="533"/>
      <c r="S970" s="533"/>
      <c r="T970" s="533"/>
      <c r="U970" s="533"/>
      <c r="V970" s="533"/>
      <c r="W970" s="533"/>
      <c r="X970" s="533"/>
      <c r="Y970" s="533"/>
      <c r="Z970" s="533"/>
      <c r="AA970" s="533"/>
      <c r="AB970" s="533"/>
      <c r="AC970" s="533"/>
    </row>
    <row r="971" spans="1:29" ht="15.75" customHeight="1">
      <c r="A971" s="533"/>
      <c r="B971" s="533"/>
      <c r="C971" s="533"/>
      <c r="D971" s="533"/>
      <c r="E971" s="533"/>
      <c r="F971" s="533"/>
      <c r="G971" s="533"/>
      <c r="H971" s="533"/>
      <c r="I971" s="533"/>
      <c r="J971" s="533"/>
      <c r="K971" s="533"/>
      <c r="L971" s="533"/>
      <c r="M971" s="533"/>
      <c r="N971" s="533"/>
      <c r="O971" s="533"/>
      <c r="P971" s="533"/>
      <c r="Q971" s="533"/>
      <c r="R971" s="533"/>
      <c r="S971" s="533"/>
      <c r="T971" s="533"/>
      <c r="U971" s="533"/>
      <c r="V971" s="533"/>
      <c r="W971" s="533"/>
      <c r="X971" s="533"/>
      <c r="Y971" s="533"/>
      <c r="Z971" s="533"/>
      <c r="AA971" s="533"/>
      <c r="AB971" s="533"/>
      <c r="AC971" s="533"/>
    </row>
    <row r="972" spans="1:29" ht="15.75" customHeight="1">
      <c r="A972" s="533"/>
      <c r="B972" s="533"/>
      <c r="C972" s="533"/>
      <c r="D972" s="533"/>
      <c r="E972" s="533"/>
      <c r="F972" s="533"/>
      <c r="G972" s="533"/>
      <c r="H972" s="533"/>
      <c r="I972" s="533"/>
      <c r="J972" s="533"/>
      <c r="K972" s="533"/>
      <c r="L972" s="533"/>
      <c r="M972" s="533"/>
      <c r="N972" s="533"/>
      <c r="O972" s="533"/>
      <c r="P972" s="533"/>
      <c r="Q972" s="533"/>
      <c r="R972" s="533"/>
      <c r="S972" s="533"/>
      <c r="T972" s="533"/>
      <c r="U972" s="533"/>
      <c r="V972" s="533"/>
      <c r="W972" s="533"/>
      <c r="X972" s="533"/>
      <c r="Y972" s="533"/>
      <c r="Z972" s="533"/>
      <c r="AA972" s="533"/>
      <c r="AB972" s="533"/>
      <c r="AC972" s="533"/>
    </row>
    <row r="973" spans="1:29" ht="15.75" customHeight="1">
      <c r="A973" s="533"/>
      <c r="B973" s="533"/>
      <c r="C973" s="533"/>
      <c r="D973" s="533"/>
      <c r="E973" s="533"/>
      <c r="F973" s="533"/>
      <c r="G973" s="533"/>
      <c r="H973" s="533"/>
      <c r="I973" s="533"/>
      <c r="J973" s="533"/>
      <c r="K973" s="533"/>
      <c r="L973" s="533"/>
      <c r="M973" s="533"/>
      <c r="N973" s="533"/>
      <c r="O973" s="533"/>
      <c r="P973" s="533"/>
      <c r="Q973" s="533"/>
      <c r="R973" s="533"/>
      <c r="S973" s="533"/>
      <c r="T973" s="533"/>
      <c r="U973" s="533"/>
      <c r="V973" s="533"/>
      <c r="W973" s="533"/>
      <c r="X973" s="533"/>
      <c r="Y973" s="533"/>
      <c r="Z973" s="533"/>
      <c r="AA973" s="533"/>
      <c r="AB973" s="533"/>
      <c r="AC973" s="533"/>
    </row>
    <row r="974" spans="1:29" ht="15.75" customHeight="1">
      <c r="A974" s="533"/>
      <c r="B974" s="533"/>
      <c r="C974" s="533"/>
      <c r="D974" s="533"/>
      <c r="E974" s="533"/>
      <c r="F974" s="533"/>
      <c r="G974" s="533"/>
      <c r="H974" s="533"/>
      <c r="I974" s="533"/>
      <c r="J974" s="533"/>
      <c r="K974" s="533"/>
      <c r="L974" s="533"/>
      <c r="M974" s="533"/>
      <c r="N974" s="533"/>
      <c r="O974" s="533"/>
      <c r="P974" s="533"/>
      <c r="Q974" s="533"/>
      <c r="R974" s="533"/>
      <c r="S974" s="533"/>
      <c r="T974" s="533"/>
      <c r="U974" s="533"/>
      <c r="V974" s="533"/>
      <c r="W974" s="533"/>
      <c r="X974" s="533"/>
      <c r="Y974" s="533"/>
      <c r="Z974" s="533"/>
      <c r="AA974" s="533"/>
      <c r="AB974" s="533"/>
      <c r="AC974" s="533"/>
    </row>
    <row r="975" spans="1:29" ht="15.75" customHeight="1">
      <c r="A975" s="533"/>
      <c r="B975" s="533"/>
      <c r="C975" s="533"/>
      <c r="D975" s="533"/>
      <c r="E975" s="533"/>
      <c r="F975" s="533"/>
      <c r="G975" s="533"/>
      <c r="H975" s="533"/>
      <c r="I975" s="533"/>
      <c r="J975" s="533"/>
      <c r="K975" s="533"/>
      <c r="L975" s="533"/>
      <c r="M975" s="533"/>
      <c r="N975" s="533"/>
      <c r="O975" s="533"/>
      <c r="P975" s="533"/>
      <c r="Q975" s="533"/>
      <c r="R975" s="533"/>
      <c r="S975" s="533"/>
      <c r="T975" s="533"/>
      <c r="U975" s="533"/>
      <c r="V975" s="533"/>
      <c r="W975" s="533"/>
      <c r="X975" s="533"/>
      <c r="Y975" s="533"/>
      <c r="Z975" s="533"/>
      <c r="AA975" s="533"/>
      <c r="AB975" s="533"/>
      <c r="AC975" s="533"/>
    </row>
    <row r="976" spans="1:29" ht="15.75" customHeight="1">
      <c r="A976" s="533"/>
      <c r="B976" s="533"/>
      <c r="C976" s="533"/>
      <c r="D976" s="533"/>
      <c r="E976" s="533"/>
      <c r="F976" s="533"/>
      <c r="G976" s="533"/>
      <c r="H976" s="533"/>
      <c r="I976" s="533"/>
      <c r="J976" s="533"/>
      <c r="K976" s="533"/>
      <c r="L976" s="533"/>
      <c r="M976" s="533"/>
      <c r="N976" s="533"/>
      <c r="O976" s="533"/>
      <c r="P976" s="533"/>
      <c r="Q976" s="533"/>
      <c r="R976" s="533"/>
      <c r="S976" s="533"/>
      <c r="T976" s="533"/>
      <c r="U976" s="533"/>
      <c r="V976" s="533"/>
      <c r="W976" s="533"/>
      <c r="X976" s="533"/>
      <c r="Y976" s="533"/>
      <c r="Z976" s="533"/>
      <c r="AA976" s="533"/>
      <c r="AB976" s="533"/>
      <c r="AC976" s="533"/>
    </row>
    <row r="977" spans="1:29" ht="15.75" customHeight="1">
      <c r="A977" s="533"/>
      <c r="B977" s="533"/>
      <c r="C977" s="533"/>
      <c r="D977" s="533"/>
      <c r="E977" s="533"/>
      <c r="F977" s="533"/>
      <c r="G977" s="533"/>
      <c r="H977" s="533"/>
      <c r="I977" s="533"/>
      <c r="J977" s="533"/>
      <c r="K977" s="533"/>
      <c r="L977" s="533"/>
      <c r="M977" s="533"/>
      <c r="N977" s="533"/>
      <c r="O977" s="533"/>
      <c r="P977" s="533"/>
      <c r="Q977" s="533"/>
      <c r="R977" s="533"/>
      <c r="S977" s="533"/>
      <c r="T977" s="533"/>
      <c r="U977" s="533"/>
      <c r="V977" s="533"/>
      <c r="W977" s="533"/>
      <c r="X977" s="533"/>
      <c r="Y977" s="533"/>
      <c r="Z977" s="533"/>
      <c r="AA977" s="533"/>
      <c r="AB977" s="533"/>
      <c r="AC977" s="533"/>
    </row>
    <row r="978" spans="1:29" ht="15.75" customHeight="1">
      <c r="A978" s="533"/>
      <c r="B978" s="533"/>
      <c r="C978" s="533"/>
      <c r="D978" s="533"/>
      <c r="E978" s="533"/>
      <c r="F978" s="533"/>
      <c r="G978" s="533"/>
      <c r="H978" s="533"/>
      <c r="I978" s="533"/>
      <c r="J978" s="533"/>
      <c r="K978" s="533"/>
      <c r="L978" s="533"/>
      <c r="M978" s="533"/>
      <c r="N978" s="533"/>
      <c r="O978" s="533"/>
      <c r="P978" s="533"/>
      <c r="Q978" s="533"/>
      <c r="R978" s="533"/>
      <c r="S978" s="533"/>
      <c r="T978" s="533"/>
      <c r="U978" s="533"/>
      <c r="V978" s="533"/>
      <c r="W978" s="533"/>
      <c r="X978" s="533"/>
      <c r="Y978" s="533"/>
      <c r="Z978" s="533"/>
      <c r="AA978" s="533"/>
      <c r="AB978" s="533"/>
      <c r="AC978" s="533"/>
    </row>
    <row r="979" spans="1:29" ht="15.75" customHeight="1">
      <c r="A979" s="533"/>
      <c r="B979" s="533"/>
      <c r="C979" s="533"/>
      <c r="D979" s="533"/>
      <c r="E979" s="533"/>
      <c r="F979" s="533"/>
      <c r="G979" s="533"/>
      <c r="H979" s="533"/>
      <c r="I979" s="533"/>
      <c r="J979" s="533"/>
      <c r="K979" s="533"/>
      <c r="L979" s="533"/>
      <c r="M979" s="533"/>
      <c r="N979" s="533"/>
      <c r="O979" s="533"/>
      <c r="P979" s="533"/>
      <c r="Q979" s="533"/>
      <c r="R979" s="533"/>
      <c r="S979" s="533"/>
      <c r="T979" s="533"/>
      <c r="U979" s="533"/>
      <c r="V979" s="533"/>
      <c r="W979" s="533"/>
      <c r="X979" s="533"/>
      <c r="Y979" s="533"/>
      <c r="Z979" s="533"/>
      <c r="AA979" s="533"/>
      <c r="AB979" s="533"/>
      <c r="AC979" s="533"/>
    </row>
    <row r="980" spans="1:29" ht="15.75" customHeight="1">
      <c r="A980" s="533"/>
      <c r="B980" s="533"/>
      <c r="C980" s="533"/>
      <c r="D980" s="533"/>
      <c r="E980" s="533"/>
      <c r="F980" s="533"/>
      <c r="G980" s="533"/>
      <c r="H980" s="533"/>
      <c r="I980" s="533"/>
      <c r="J980" s="533"/>
      <c r="K980" s="533"/>
      <c r="L980" s="533"/>
      <c r="M980" s="533"/>
      <c r="N980" s="533"/>
      <c r="O980" s="533"/>
      <c r="P980" s="533"/>
      <c r="Q980" s="533"/>
      <c r="R980" s="533"/>
      <c r="S980" s="533"/>
      <c r="T980" s="533"/>
      <c r="U980" s="533"/>
      <c r="V980" s="533"/>
      <c r="W980" s="533"/>
      <c r="X980" s="533"/>
      <c r="Y980" s="533"/>
      <c r="Z980" s="533"/>
      <c r="AA980" s="533"/>
      <c r="AB980" s="533"/>
      <c r="AC980" s="533"/>
    </row>
    <row r="981" spans="1:29" ht="15.75" customHeight="1">
      <c r="A981" s="533"/>
      <c r="B981" s="533"/>
      <c r="C981" s="533"/>
      <c r="D981" s="533"/>
      <c r="E981" s="533"/>
      <c r="F981" s="533"/>
      <c r="G981" s="533"/>
      <c r="H981" s="533"/>
      <c r="I981" s="533"/>
      <c r="J981" s="533"/>
      <c r="K981" s="533"/>
      <c r="L981" s="533"/>
      <c r="M981" s="533"/>
      <c r="N981" s="533"/>
      <c r="O981" s="533"/>
      <c r="P981" s="533"/>
      <c r="Q981" s="533"/>
      <c r="R981" s="533"/>
      <c r="S981" s="533"/>
      <c r="T981" s="533"/>
      <c r="U981" s="533"/>
      <c r="V981" s="533"/>
      <c r="W981" s="533"/>
      <c r="X981" s="533"/>
      <c r="Y981" s="533"/>
      <c r="Z981" s="533"/>
      <c r="AA981" s="533"/>
      <c r="AB981" s="533"/>
      <c r="AC981" s="533"/>
    </row>
    <row r="982" spans="1:29" ht="15.75" customHeight="1">
      <c r="A982" s="533"/>
      <c r="B982" s="533"/>
      <c r="C982" s="533"/>
      <c r="D982" s="533"/>
      <c r="E982" s="533"/>
      <c r="F982" s="533"/>
      <c r="G982" s="533"/>
      <c r="H982" s="533"/>
      <c r="I982" s="533"/>
      <c r="J982" s="533"/>
      <c r="K982" s="533"/>
      <c r="L982" s="533"/>
      <c r="M982" s="533"/>
      <c r="N982" s="533"/>
      <c r="O982" s="533"/>
      <c r="P982" s="533"/>
      <c r="Q982" s="533"/>
      <c r="R982" s="533"/>
      <c r="S982" s="533"/>
      <c r="T982" s="533"/>
      <c r="U982" s="533"/>
      <c r="V982" s="533"/>
      <c r="W982" s="533"/>
      <c r="X982" s="533"/>
      <c r="Y982" s="533"/>
      <c r="Z982" s="533"/>
      <c r="AA982" s="533"/>
      <c r="AB982" s="533"/>
      <c r="AC982" s="533"/>
    </row>
    <row r="983" spans="1:29" ht="15.75" customHeight="1">
      <c r="A983" s="533"/>
      <c r="B983" s="533"/>
      <c r="C983" s="533"/>
      <c r="D983" s="533"/>
      <c r="E983" s="533"/>
      <c r="F983" s="533"/>
      <c r="G983" s="533"/>
      <c r="H983" s="533"/>
      <c r="I983" s="533"/>
      <c r="J983" s="533"/>
      <c r="K983" s="533"/>
      <c r="L983" s="533"/>
      <c r="M983" s="533"/>
      <c r="N983" s="533"/>
      <c r="O983" s="533"/>
      <c r="P983" s="533"/>
      <c r="Q983" s="533"/>
      <c r="R983" s="533"/>
      <c r="S983" s="533"/>
      <c r="T983" s="533"/>
      <c r="U983" s="533"/>
      <c r="V983" s="533"/>
      <c r="W983" s="533"/>
      <c r="X983" s="533"/>
      <c r="Y983" s="533"/>
      <c r="Z983" s="533"/>
      <c r="AA983" s="533"/>
      <c r="AB983" s="533"/>
      <c r="AC983" s="533"/>
    </row>
    <row r="984" spans="1:29" ht="15.75" customHeight="1">
      <c r="A984" s="533"/>
      <c r="B984" s="533"/>
      <c r="C984" s="533"/>
      <c r="D984" s="533"/>
      <c r="E984" s="533"/>
      <c r="F984" s="533"/>
      <c r="G984" s="533"/>
      <c r="H984" s="533"/>
      <c r="I984" s="533"/>
      <c r="J984" s="533"/>
      <c r="K984" s="533"/>
      <c r="L984" s="533"/>
      <c r="M984" s="533"/>
      <c r="N984" s="533"/>
      <c r="O984" s="533"/>
      <c r="P984" s="533"/>
      <c r="Q984" s="533"/>
      <c r="R984" s="533"/>
      <c r="S984" s="533"/>
      <c r="T984" s="533"/>
      <c r="U984" s="533"/>
      <c r="V984" s="533"/>
      <c r="W984" s="533"/>
      <c r="X984" s="533"/>
      <c r="Y984" s="533"/>
      <c r="Z984" s="533"/>
      <c r="AA984" s="533"/>
      <c r="AB984" s="533"/>
      <c r="AC984" s="533"/>
    </row>
    <row r="985" spans="1:29" ht="15.75" customHeight="1">
      <c r="A985" s="533"/>
      <c r="B985" s="533"/>
      <c r="C985" s="533"/>
      <c r="D985" s="533"/>
      <c r="E985" s="533"/>
      <c r="F985" s="533"/>
      <c r="G985" s="533"/>
      <c r="H985" s="533"/>
      <c r="I985" s="533"/>
      <c r="J985" s="533"/>
      <c r="K985" s="533"/>
      <c r="L985" s="533"/>
      <c r="M985" s="533"/>
      <c r="N985" s="533"/>
      <c r="O985" s="533"/>
      <c r="P985" s="533"/>
      <c r="Q985" s="533"/>
      <c r="R985" s="533"/>
      <c r="S985" s="533"/>
      <c r="T985" s="533"/>
      <c r="U985" s="533"/>
      <c r="V985" s="533"/>
      <c r="W985" s="533"/>
      <c r="X985" s="533"/>
      <c r="Y985" s="533"/>
      <c r="Z985" s="533"/>
      <c r="AA985" s="533"/>
      <c r="AB985" s="533"/>
      <c r="AC985" s="533"/>
    </row>
    <row r="986" spans="1:29" ht="15.75" customHeight="1">
      <c r="A986" s="533"/>
      <c r="B986" s="533"/>
      <c r="C986" s="533"/>
      <c r="D986" s="533"/>
      <c r="E986" s="533"/>
      <c r="F986" s="533"/>
      <c r="G986" s="533"/>
      <c r="H986" s="533"/>
      <c r="I986" s="533"/>
      <c r="J986" s="533"/>
      <c r="K986" s="533"/>
      <c r="L986" s="533"/>
      <c r="M986" s="533"/>
      <c r="N986" s="533"/>
      <c r="O986" s="533"/>
      <c r="P986" s="533"/>
      <c r="Q986" s="533"/>
      <c r="R986" s="533"/>
      <c r="S986" s="533"/>
      <c r="T986" s="533"/>
      <c r="U986" s="533"/>
      <c r="V986" s="533"/>
      <c r="W986" s="533"/>
      <c r="X986" s="533"/>
      <c r="Y986" s="533"/>
      <c r="Z986" s="533"/>
      <c r="AA986" s="533"/>
      <c r="AB986" s="533"/>
      <c r="AC986" s="533"/>
    </row>
    <row r="987" spans="1:29" ht="15.75" customHeight="1">
      <c r="A987" s="533"/>
      <c r="B987" s="533"/>
      <c r="C987" s="533"/>
      <c r="D987" s="533"/>
      <c r="E987" s="533"/>
      <c r="F987" s="533"/>
      <c r="G987" s="533"/>
      <c r="H987" s="533"/>
      <c r="I987" s="533"/>
      <c r="J987" s="533"/>
      <c r="K987" s="533"/>
      <c r="L987" s="533"/>
      <c r="M987" s="533"/>
      <c r="N987" s="533"/>
      <c r="O987" s="533"/>
      <c r="P987" s="533"/>
      <c r="Q987" s="533"/>
      <c r="R987" s="533"/>
      <c r="S987" s="533"/>
      <c r="T987" s="533"/>
      <c r="U987" s="533"/>
      <c r="V987" s="533"/>
      <c r="W987" s="533"/>
      <c r="X987" s="533"/>
      <c r="Y987" s="533"/>
      <c r="Z987" s="533"/>
      <c r="AA987" s="533"/>
      <c r="AB987" s="533"/>
      <c r="AC987" s="533"/>
    </row>
    <row r="988" spans="1:29" ht="15.75" customHeight="1">
      <c r="M988" s="533"/>
      <c r="N988" s="533"/>
      <c r="O988" s="533"/>
      <c r="P988" s="533"/>
      <c r="Q988" s="533"/>
      <c r="R988" s="533"/>
      <c r="S988" s="533"/>
      <c r="T988" s="533"/>
      <c r="U988" s="533"/>
      <c r="V988" s="533"/>
      <c r="W988" s="533"/>
      <c r="X988" s="533"/>
      <c r="Y988" s="533"/>
      <c r="Z988" s="533"/>
      <c r="AA988" s="533"/>
      <c r="AB988" s="533"/>
      <c r="AC988" s="533"/>
    </row>
    <row r="989" spans="1:29" ht="15.75" customHeight="1">
      <c r="M989" s="533"/>
      <c r="N989" s="533"/>
      <c r="O989" s="533"/>
      <c r="P989" s="533"/>
      <c r="Q989" s="533"/>
      <c r="R989" s="533"/>
      <c r="S989" s="533"/>
      <c r="T989" s="533"/>
      <c r="U989" s="533"/>
      <c r="V989" s="533"/>
      <c r="W989" s="533"/>
      <c r="X989" s="533"/>
      <c r="Y989" s="533"/>
      <c r="Z989" s="533"/>
      <c r="AA989" s="533"/>
      <c r="AB989" s="533"/>
      <c r="AC989" s="533"/>
    </row>
    <row r="990" spans="1:29" ht="15.75" customHeight="1">
      <c r="M990" s="533"/>
      <c r="N990" s="533"/>
      <c r="O990" s="533"/>
      <c r="P990" s="533"/>
      <c r="Q990" s="533"/>
      <c r="R990" s="533"/>
      <c r="S990" s="533"/>
      <c r="T990" s="533"/>
      <c r="U990" s="533"/>
      <c r="V990" s="533"/>
      <c r="W990" s="533"/>
      <c r="X990" s="533"/>
      <c r="Y990" s="533"/>
      <c r="Z990" s="533"/>
      <c r="AA990" s="533"/>
      <c r="AB990" s="533"/>
      <c r="AC990" s="533"/>
    </row>
    <row r="991" spans="1:29" ht="15.75" customHeight="1">
      <c r="M991" s="533"/>
      <c r="N991" s="533"/>
      <c r="O991" s="533"/>
      <c r="P991" s="533"/>
      <c r="Q991" s="533"/>
      <c r="R991" s="533"/>
      <c r="S991" s="533"/>
      <c r="T991" s="533"/>
      <c r="U991" s="533"/>
      <c r="V991" s="533"/>
      <c r="W991" s="533"/>
      <c r="X991" s="533"/>
      <c r="Y991" s="533"/>
      <c r="Z991" s="533"/>
      <c r="AA991" s="533"/>
      <c r="AB991" s="533"/>
      <c r="AC991" s="533"/>
    </row>
    <row r="992" spans="1:29" ht="15.75" customHeight="1">
      <c r="M992" s="533"/>
      <c r="N992" s="533"/>
      <c r="O992" s="533"/>
      <c r="P992" s="533"/>
      <c r="Q992" s="533"/>
      <c r="R992" s="533"/>
      <c r="S992" s="533"/>
      <c r="T992" s="533"/>
      <c r="U992" s="533"/>
      <c r="V992" s="533"/>
      <c r="W992" s="533"/>
      <c r="X992" s="533"/>
      <c r="Y992" s="533"/>
      <c r="Z992" s="533"/>
      <c r="AA992" s="533"/>
      <c r="AB992" s="533"/>
      <c r="AC992" s="533"/>
    </row>
    <row r="993" spans="13:29" ht="15.75" customHeight="1">
      <c r="M993" s="533"/>
      <c r="N993" s="533"/>
      <c r="O993" s="533"/>
      <c r="P993" s="533"/>
      <c r="Q993" s="533"/>
      <c r="R993" s="533"/>
      <c r="S993" s="533"/>
      <c r="T993" s="533"/>
      <c r="U993" s="533"/>
      <c r="V993" s="533"/>
      <c r="W993" s="533"/>
      <c r="X993" s="533"/>
      <c r="Y993" s="533"/>
      <c r="Z993" s="533"/>
      <c r="AA993" s="533"/>
      <c r="AB993" s="533"/>
      <c r="AC993" s="533"/>
    </row>
    <row r="994" spans="13:29" ht="15.75" customHeight="1">
      <c r="M994" s="533"/>
      <c r="N994" s="533"/>
      <c r="O994" s="533"/>
      <c r="P994" s="533"/>
      <c r="Q994" s="533"/>
      <c r="R994" s="533"/>
      <c r="S994" s="533"/>
      <c r="T994" s="533"/>
      <c r="U994" s="533"/>
      <c r="V994" s="533"/>
      <c r="W994" s="533"/>
      <c r="X994" s="533"/>
      <c r="Y994" s="533"/>
      <c r="Z994" s="533"/>
      <c r="AA994" s="533"/>
      <c r="AB994" s="533"/>
      <c r="AC994" s="533"/>
    </row>
    <row r="995" spans="13:29" ht="15.75" customHeight="1">
      <c r="M995" s="533"/>
      <c r="N995" s="533"/>
      <c r="O995" s="533"/>
      <c r="P995" s="533"/>
      <c r="Q995" s="533"/>
      <c r="R995" s="533"/>
      <c r="S995" s="533"/>
      <c r="T995" s="533"/>
      <c r="U995" s="533"/>
      <c r="V995" s="533"/>
      <c r="W995" s="533"/>
      <c r="X995" s="533"/>
      <c r="Y995" s="533"/>
      <c r="Z995" s="533"/>
      <c r="AA995" s="533"/>
      <c r="AB995" s="533"/>
      <c r="AC995" s="533"/>
    </row>
    <row r="996" spans="13:29" ht="15.75" customHeight="1">
      <c r="N996" s="533"/>
      <c r="O996" s="533"/>
      <c r="P996" s="533"/>
      <c r="Q996" s="533"/>
      <c r="R996" s="533"/>
      <c r="S996" s="533"/>
      <c r="T996" s="533"/>
      <c r="U996" s="533"/>
      <c r="V996" s="533"/>
      <c r="W996" s="533"/>
      <c r="X996" s="533"/>
      <c r="Y996" s="533"/>
      <c r="Z996" s="533"/>
      <c r="AA996" s="533"/>
      <c r="AB996" s="533"/>
      <c r="AC996" s="533"/>
    </row>
    <row r="997" spans="13:29" ht="15.75" customHeight="1">
      <c r="N997" s="533"/>
      <c r="O997" s="533"/>
      <c r="P997" s="533"/>
      <c r="Q997" s="533"/>
      <c r="R997" s="533"/>
      <c r="S997" s="533"/>
      <c r="T997" s="533"/>
      <c r="U997" s="533"/>
      <c r="V997" s="533"/>
      <c r="W997" s="533"/>
      <c r="X997" s="533"/>
      <c r="Y997" s="533"/>
      <c r="Z997" s="533"/>
      <c r="AA997" s="533"/>
      <c r="AB997" s="533"/>
      <c r="AC997" s="533"/>
    </row>
    <row r="998" spans="13:29" ht="15.75" customHeight="1">
      <c r="N998" s="533"/>
      <c r="O998" s="533"/>
      <c r="P998" s="533"/>
      <c r="Q998" s="533"/>
      <c r="R998" s="533"/>
      <c r="S998" s="533"/>
      <c r="T998" s="533"/>
      <c r="U998" s="533"/>
      <c r="V998" s="533"/>
      <c r="W998" s="533"/>
      <c r="X998" s="533"/>
      <c r="Y998" s="533"/>
      <c r="Z998" s="533"/>
      <c r="AA998" s="533"/>
      <c r="AB998" s="533"/>
      <c r="AC998" s="533"/>
    </row>
    <row r="999" spans="13:29" ht="15.75" customHeight="1">
      <c r="N999" s="533"/>
      <c r="O999" s="533"/>
      <c r="P999" s="533"/>
      <c r="Q999" s="533"/>
      <c r="R999" s="533"/>
      <c r="S999" s="533"/>
      <c r="T999" s="533"/>
      <c r="U999" s="533"/>
      <c r="V999" s="533"/>
      <c r="W999" s="533"/>
      <c r="X999" s="533"/>
      <c r="Y999" s="533"/>
      <c r="Z999" s="533"/>
      <c r="AA999" s="533"/>
      <c r="AB999" s="533"/>
      <c r="AC999" s="533"/>
    </row>
  </sheetData>
  <mergeCells count="9">
    <mergeCell ref="L38:L39"/>
    <mergeCell ref="M43:M44"/>
    <mergeCell ref="N51:N52"/>
    <mergeCell ref="B1:K1"/>
    <mergeCell ref="N10:N11"/>
    <mergeCell ref="N18:N20"/>
    <mergeCell ref="N22:N24"/>
    <mergeCell ref="L28:L30"/>
    <mergeCell ref="L33:L35"/>
  </mergeCells>
  <conditionalFormatting sqref="L45">
    <cfRule type="cellIs" dxfId="64" priority="1" operator="lessThan">
      <formula>K45</formula>
    </cfRule>
  </conditionalFormatting>
  <conditionalFormatting sqref="L45">
    <cfRule type="cellIs" dxfId="63" priority="2" operator="greaterThan">
      <formula>K45</formula>
    </cfRule>
  </conditionalFormatting>
  <conditionalFormatting sqref="U19">
    <cfRule type="cellIs" dxfId="62" priority="5" operator="greaterThan">
      <formula>#REF!</formula>
    </cfRule>
  </conditionalFormatting>
  <conditionalFormatting sqref="U19">
    <cfRule type="cellIs" dxfId="61" priority="6" operator="lessThan">
      <formula>#REF!</formula>
    </cfRule>
  </conditionalFormatting>
  <conditionalFormatting sqref="B50:K50">
    <cfRule type="cellIs" dxfId="60" priority="7" operator="lessThan">
      <formula>B15</formula>
    </cfRule>
  </conditionalFormatting>
  <conditionalFormatting sqref="B50:K50">
    <cfRule type="cellIs" dxfId="59" priority="8" operator="greaterThan">
      <formula>B15</formula>
    </cfRule>
  </conditionalFormatting>
  <conditionalFormatting sqref="T21:U21 U19:AC19">
    <cfRule type="cellIs" dxfId="58" priority="9" operator="lessThan">
      <formula>#REF!</formula>
    </cfRule>
  </conditionalFormatting>
  <conditionalFormatting sqref="T21:U21 U19:AC19">
    <cfRule type="cellIs" dxfId="57" priority="10" operator="greaterThan">
      <formula>#REF!</formula>
    </cfRule>
  </conditionalFormatting>
  <conditionalFormatting sqref="B40:K40">
    <cfRule type="cellIs" dxfId="56" priority="11" operator="greaterThan">
      <formula>A40</formula>
    </cfRule>
  </conditionalFormatting>
  <conditionalFormatting sqref="B40:K40">
    <cfRule type="cellIs" dxfId="55" priority="12" operator="lessThan">
      <formula>A40</formula>
    </cfRule>
  </conditionalFormatting>
  <conditionalFormatting sqref="O19">
    <cfRule type="cellIs" dxfId="54" priority="13" operator="greaterThan">
      <formula>$O$18</formula>
    </cfRule>
  </conditionalFormatting>
  <conditionalFormatting sqref="O19">
    <cfRule type="cellIs" dxfId="53" priority="14" operator="lessThan">
      <formula>$O$18</formula>
    </cfRule>
  </conditionalFormatting>
  <conditionalFormatting sqref="L3:L4">
    <cfRule type="cellIs" dxfId="52" priority="15" operator="lessThan">
      <formula>C3</formula>
    </cfRule>
  </conditionalFormatting>
  <conditionalFormatting sqref="L3:L4">
    <cfRule type="cellIs" dxfId="51" priority="16" operator="greaterThan">
      <formula>C3</formula>
    </cfRule>
  </conditionalFormatting>
  <conditionalFormatting sqref="L7">
    <cfRule type="cellIs" dxfId="50" priority="17" operator="lessThan">
      <formula>K7</formula>
    </cfRule>
  </conditionalFormatting>
  <conditionalFormatting sqref="L7">
    <cfRule type="cellIs" dxfId="49" priority="18" operator="greaterThan">
      <formula>K7</formula>
    </cfRule>
  </conditionalFormatting>
  <conditionalFormatting sqref="L16">
    <cfRule type="cellIs" dxfId="48" priority="19" operator="lessThan">
      <formula>K16</formula>
    </cfRule>
  </conditionalFormatting>
  <conditionalFormatting sqref="L16">
    <cfRule type="cellIs" dxfId="47" priority="20" operator="greaterThan">
      <formula>K16</formula>
    </cfRule>
  </conditionalFormatting>
  <conditionalFormatting sqref="P52">
    <cfRule type="cellIs" dxfId="46" priority="21" operator="lessThan">
      <formula>#REF!</formula>
    </cfRule>
  </conditionalFormatting>
  <conditionalFormatting sqref="P52">
    <cfRule type="cellIs" dxfId="45" priority="22" operator="greaterThan">
      <formula>#REF!</formula>
    </cfRule>
  </conditionalFormatting>
  <conditionalFormatting sqref="B56:B65 C56:K68">
    <cfRule type="cellIs" dxfId="44" priority="23" operator="greaterThan">
      <formula>A56</formula>
    </cfRule>
  </conditionalFormatting>
  <conditionalFormatting sqref="B56:B65 C56:K68">
    <cfRule type="cellIs" dxfId="43" priority="24" operator="lessThan">
      <formula>A56</formula>
    </cfRule>
  </conditionalFormatting>
  <conditionalFormatting sqref="B56:B65 C56:K68">
    <cfRule type="cellIs" dxfId="42" priority="25" operator="greaterThan">
      <formula>A56</formula>
    </cfRule>
  </conditionalFormatting>
  <conditionalFormatting sqref="B56:B65 C56:K68">
    <cfRule type="cellIs" dxfId="41" priority="26" operator="lessThan">
      <formula>A56</formula>
    </cfRule>
  </conditionalFormatting>
  <conditionalFormatting sqref="R20">
    <cfRule type="cellIs" dxfId="40" priority="27" operator="greaterThan">
      <formula>15</formula>
    </cfRule>
  </conditionalFormatting>
  <conditionalFormatting sqref="C56:K62">
    <cfRule type="cellIs" dxfId="39" priority="28" operator="greaterThan">
      <formula>B56</formula>
    </cfRule>
  </conditionalFormatting>
  <conditionalFormatting sqref="C56:K62">
    <cfRule type="cellIs" dxfId="38" priority="29" operator="lessThan">
      <formula>B56</formula>
    </cfRule>
  </conditionalFormatting>
  <conditionalFormatting sqref="C56:K62">
    <cfRule type="cellIs" dxfId="37" priority="30" operator="greaterThan">
      <formula>B56</formula>
    </cfRule>
  </conditionalFormatting>
  <conditionalFormatting sqref="C56:K62">
    <cfRule type="cellIs" dxfId="36" priority="31" operator="lessThan">
      <formula>B56</formula>
    </cfRule>
  </conditionalFormatting>
  <conditionalFormatting sqref="Q18">
    <cfRule type="cellIs" dxfId="35" priority="32" operator="greaterThanOrEqual">
      <formula>0.04</formula>
    </cfRule>
  </conditionalFormatting>
  <conditionalFormatting sqref="M22">
    <cfRule type="cellIs" dxfId="34" priority="33" operator="greaterThan">
      <formula>$M$22</formula>
    </cfRule>
  </conditionalFormatting>
  <conditionalFormatting sqref="B7:K7">
    <cfRule type="cellIs" dxfId="33" priority="34" operator="lessThan">
      <formula>A7</formula>
    </cfRule>
  </conditionalFormatting>
  <conditionalFormatting sqref="B7:K7">
    <cfRule type="cellIs" dxfId="32" priority="35" operator="greaterThan">
      <formula>A7</formula>
    </cfRule>
  </conditionalFormatting>
  <conditionalFormatting sqref="C3:L3">
    <cfRule type="cellIs" dxfId="31" priority="36" operator="lessThan">
      <formula>B3</formula>
    </cfRule>
  </conditionalFormatting>
  <conditionalFormatting sqref="C3:L3">
    <cfRule type="cellIs" dxfId="30" priority="37" operator="greaterThan">
      <formula>B3</formula>
    </cfRule>
  </conditionalFormatting>
  <conditionalFormatting sqref="Q16:Q17">
    <cfRule type="cellIs" dxfId="29" priority="38" operator="greaterThan">
      <formula>22.5</formula>
    </cfRule>
  </conditionalFormatting>
  <conditionalFormatting sqref="B14:L14">
    <cfRule type="cellIs" dxfId="28" priority="39" operator="lessThan">
      <formula>0.295</formula>
    </cfRule>
  </conditionalFormatting>
  <conditionalFormatting sqref="B14:L14">
    <cfRule type="cellIs" dxfId="27" priority="40" operator="greaterThanOrEqual">
      <formula>0.295</formula>
    </cfRule>
  </conditionalFormatting>
  <conditionalFormatting sqref="L15">
    <cfRule type="cellIs" dxfId="26" priority="41" operator="lessThan">
      <formula>K$15</formula>
    </cfRule>
  </conditionalFormatting>
  <conditionalFormatting sqref="L15">
    <cfRule type="cellIs" dxfId="25" priority="42" operator="greaterThan">
      <formula>K$15</formula>
    </cfRule>
  </conditionalFormatting>
  <conditionalFormatting sqref="M23">
    <cfRule type="cellIs" dxfId="24" priority="43" operator="greaterThan">
      <formula>0</formula>
    </cfRule>
  </conditionalFormatting>
  <conditionalFormatting sqref="M23">
    <cfRule type="cellIs" dxfId="23" priority="44" operator="lessThan">
      <formula>0</formula>
    </cfRule>
  </conditionalFormatting>
  <conditionalFormatting sqref="M25">
    <cfRule type="cellIs" dxfId="22" priority="45" operator="greaterThan">
      <formula>0.25</formula>
    </cfRule>
  </conditionalFormatting>
  <conditionalFormatting sqref="M25">
    <cfRule type="cellIs" dxfId="21" priority="46" operator="lessThanOrEqual">
      <formula>0.25</formula>
    </cfRule>
  </conditionalFormatting>
  <conditionalFormatting sqref="L46">
    <cfRule type="cellIs" dxfId="20" priority="47" operator="greaterThan">
      <formula>$L$46</formula>
    </cfRule>
  </conditionalFormatting>
  <conditionalFormatting sqref="N21:O21">
    <cfRule type="cellIs" dxfId="19" priority="48" operator="greaterThan">
      <formula>0</formula>
    </cfRule>
  </conditionalFormatting>
  <conditionalFormatting sqref="N21:O21">
    <cfRule type="cellIs" dxfId="18" priority="49" operator="lessThanOrEqual">
      <formula>0</formula>
    </cfRule>
  </conditionalFormatting>
  <conditionalFormatting sqref="N3:N6 O3:T7">
    <cfRule type="cellIs" dxfId="17" priority="50" operator="lessThan">
      <formula>0</formula>
    </cfRule>
  </conditionalFormatting>
  <conditionalFormatting sqref="B8:L8">
    <cfRule type="cellIs" dxfId="16" priority="51" operator="greaterThan">
      <formula>pre</formula>
    </cfRule>
  </conditionalFormatting>
  <conditionalFormatting sqref="B8:L8">
    <cfRule type="cellIs" dxfId="15" priority="52" operator="lessThan">
      <formula>pre</formula>
    </cfRule>
  </conditionalFormatting>
  <conditionalFormatting sqref="L12">
    <cfRule type="cellIs" dxfId="14" priority="53" operator="greaterThan">
      <formula>pre</formula>
    </cfRule>
  </conditionalFormatting>
  <conditionalFormatting sqref="B29:K29">
    <cfRule type="colorScale" priority="54">
      <colorScale>
        <cfvo type="percent" val="15%"/>
        <cfvo type="max"/>
        <color rgb="FFFFFFFF"/>
        <color rgb="FFFFD666"/>
      </colorScale>
    </cfRule>
  </conditionalFormatting>
  <conditionalFormatting sqref="C28:K28">
    <cfRule type="colorScale" priority="55">
      <colorScale>
        <cfvo type="percent" val="10%"/>
        <cfvo type="max"/>
        <color rgb="FFFFFFFF"/>
        <color rgb="FFFFD666"/>
      </colorScale>
    </cfRule>
  </conditionalFormatting>
  <conditionalFormatting sqref="C30:K30">
    <cfRule type="colorScale" priority="56">
      <colorScale>
        <cfvo type="percent" val="15%"/>
        <cfvo type="max"/>
        <color rgb="FFFFFFFF"/>
        <color rgb="FFFFD666"/>
      </colorScale>
    </cfRule>
  </conditionalFormatting>
  <conditionalFormatting sqref="C32:K32">
    <cfRule type="colorScale" priority="57">
      <colorScale>
        <cfvo type="min"/>
        <cfvo type="max"/>
        <color rgb="FFFFFFFF"/>
        <color rgb="FFFFD666"/>
      </colorScale>
    </cfRule>
  </conditionalFormatting>
  <conditionalFormatting sqref="C33:K33">
    <cfRule type="colorScale" priority="58">
      <colorScale>
        <cfvo type="min"/>
        <cfvo type="max"/>
        <color rgb="FFFFD666"/>
        <color rgb="FFFFFFFF"/>
      </colorScale>
    </cfRule>
  </conditionalFormatting>
  <conditionalFormatting sqref="C34:K34">
    <cfRule type="colorScale" priority="59">
      <colorScale>
        <cfvo type="min"/>
        <cfvo type="max"/>
        <color rgb="FFFFFFFF"/>
        <color rgb="FFFFD666"/>
      </colorScale>
    </cfRule>
  </conditionalFormatting>
  <conditionalFormatting sqref="C35:K35">
    <cfRule type="colorScale" priority="60">
      <colorScale>
        <cfvo type="min"/>
        <cfvo type="max"/>
        <color rgb="FFFFD666"/>
        <color rgb="FFFFFFFF"/>
      </colorScale>
    </cfRule>
  </conditionalFormatting>
  <conditionalFormatting sqref="C36:K36">
    <cfRule type="colorScale" priority="61">
      <colorScale>
        <cfvo type="min"/>
        <cfvo type="max"/>
        <color rgb="FFFFD666"/>
        <color rgb="FFFFFFFF"/>
      </colorScale>
    </cfRule>
  </conditionalFormatting>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5">
    <tabColor rgb="FF00B050"/>
  </sheetPr>
  <dimension ref="A1:L23"/>
  <sheetViews>
    <sheetView workbookViewId="0">
      <selection activeCell="B3" sqref="B3"/>
    </sheetView>
  </sheetViews>
  <sheetFormatPr defaultColWidth="8.7109375" defaultRowHeight="12.75"/>
  <cols>
    <col min="1" max="1" width="24.42578125" style="6" bestFit="1" customWidth="1"/>
    <col min="2" max="2" width="7" style="6" bestFit="1" customWidth="1"/>
    <col min="3" max="4" width="8" style="6" bestFit="1" customWidth="1"/>
    <col min="5" max="5" width="7" style="6" bestFit="1" customWidth="1"/>
    <col min="6" max="6" width="6.7109375" style="6" bestFit="1" customWidth="1"/>
    <col min="7" max="7" width="7" style="6" bestFit="1" customWidth="1"/>
    <col min="8" max="8" width="6.7109375" style="6" bestFit="1" customWidth="1"/>
    <col min="9" max="9" width="7" style="6" bestFit="1" customWidth="1"/>
    <col min="10" max="10" width="6.7109375" style="6" bestFit="1" customWidth="1"/>
    <col min="11" max="11" width="8" style="6" bestFit="1" customWidth="1"/>
    <col min="12" max="12" width="110.7109375" style="6" bestFit="1" customWidth="1"/>
    <col min="13" max="16384" width="8.7109375" style="6"/>
  </cols>
  <sheetData>
    <row r="1" spans="1:12" ht="19.5">
      <c r="A1" s="663" t="s">
        <v>262</v>
      </c>
      <c r="B1" s="664"/>
      <c r="C1" s="664"/>
      <c r="D1" s="664"/>
      <c r="E1" s="664"/>
      <c r="F1" s="664"/>
      <c r="G1" s="664"/>
      <c r="H1" s="664"/>
      <c r="I1" s="664"/>
      <c r="J1" s="664"/>
      <c r="K1" s="665"/>
    </row>
    <row r="2" spans="1:12">
      <c r="A2" s="666" t="str">
        <f>'Profit &amp; Loss'!A2:L2</f>
      </c>
      <c r="B2" s="667"/>
      <c r="C2" s="667"/>
      <c r="D2" s="667"/>
      <c r="E2" s="667"/>
      <c r="F2" s="667"/>
      <c r="G2" s="667"/>
      <c r="H2" s="667"/>
      <c r="I2" s="667"/>
      <c r="J2" s="667"/>
      <c r="K2" s="668"/>
    </row>
    <row r="3" spans="1:12">
      <c r="A3" s="233"/>
      <c r="B3" s="229">
        <f>'Profit &amp; Loss'!B3</f>
      </c>
      <c r="C3" s="229">
        <f>'Profit &amp; Loss'!C3</f>
      </c>
      <c r="D3" s="229">
        <f>'Profit &amp; Loss'!D3</f>
      </c>
      <c r="E3" s="229">
        <f>'Profit &amp; Loss'!E3</f>
      </c>
      <c r="F3" s="229">
        <f>'Profit &amp; Loss'!F3</f>
      </c>
      <c r="G3" s="229">
        <f>'Profit &amp; Loss'!G3</f>
      </c>
      <c r="H3" s="229">
        <f>'Profit &amp; Loss'!H3</f>
      </c>
      <c r="I3" s="229">
        <f>'Profit &amp; Loss'!I3</f>
      </c>
      <c r="J3" s="229">
        <f>'Profit &amp; Loss'!J3</f>
      </c>
      <c r="K3" s="234">
        <f>'Profit &amp; Loss'!K3</f>
      </c>
      <c r="L3" s="247" t="s">
        <v>630</v>
      </c>
    </row>
    <row r="4" spans="1:12">
      <c r="A4" s="79" t="s">
        <v>17</v>
      </c>
      <c r="B4" s="230"/>
      <c r="C4" s="230">
        <f>'Profit &amp; Loss'!C5</f>
      </c>
      <c r="D4" s="230">
        <f>'Profit &amp; Loss'!D5</f>
      </c>
      <c r="E4" s="230">
        <f>'Profit &amp; Loss'!E5</f>
      </c>
      <c r="F4" s="230">
        <f>'Profit &amp; Loss'!F5</f>
      </c>
      <c r="G4" s="230">
        <f>'Profit &amp; Loss'!G5</f>
      </c>
      <c r="H4" s="230">
        <f>'Profit &amp; Loss'!H5</f>
      </c>
      <c r="I4" s="230">
        <f>'Profit &amp; Loss'!I5</f>
      </c>
      <c r="J4" s="230">
        <f>'Profit &amp; Loss'!J5</f>
      </c>
      <c r="K4" s="235">
        <f>'Profit &amp; Loss'!K5</f>
      </c>
      <c r="L4" s="6" t="s">
        <v>280</v>
      </c>
    </row>
    <row r="5" spans="1:12">
      <c r="A5" s="408" t="s">
        <v>179</v>
      </c>
      <c r="B5" s="409"/>
      <c r="C5" s="409">
        <f>'Profit &amp; Loss'!C20</f>
      </c>
      <c r="D5" s="409">
        <f>'Profit &amp; Loss'!D20</f>
      </c>
      <c r="E5" s="409">
        <f>'Profit &amp; Loss'!E20</f>
      </c>
      <c r="F5" s="409">
        <f>'Profit &amp; Loss'!F20</f>
      </c>
      <c r="G5" s="409">
        <f>'Profit &amp; Loss'!G20</f>
      </c>
      <c r="H5" s="409">
        <f>'Profit &amp; Loss'!H20</f>
      </c>
      <c r="I5" s="409">
        <f>'Profit &amp; Loss'!I20</f>
      </c>
      <c r="J5" s="409">
        <f>'Profit &amp; Loss'!J20</f>
      </c>
      <c r="K5" s="410">
        <f>'Profit &amp; Loss'!K20</f>
      </c>
      <c r="L5" s="6" t="s">
        <v>280</v>
      </c>
    </row>
    <row r="6" spans="1:12">
      <c r="A6" s="79" t="s">
        <v>260</v>
      </c>
      <c r="B6" s="230"/>
      <c r="C6" s="230">
        <f>'Profit &amp; Loss'!C25</f>
      </c>
      <c r="D6" s="230">
        <f>'Profit &amp; Loss'!D25</f>
      </c>
      <c r="E6" s="230">
        <f>'Profit &amp; Loss'!E25</f>
      </c>
      <c r="F6" s="230">
        <f>'Profit &amp; Loss'!F25</f>
      </c>
      <c r="G6" s="230">
        <f>'Profit &amp; Loss'!G25</f>
      </c>
      <c r="H6" s="230">
        <f>'Profit &amp; Loss'!H25</f>
      </c>
      <c r="I6" s="230">
        <f>'Profit &amp; Loss'!I25</f>
      </c>
      <c r="J6" s="230">
        <f>'Profit &amp; Loss'!J25</f>
      </c>
      <c r="K6" s="235">
        <f>'Profit &amp; Loss'!K25</f>
      </c>
      <c r="L6" s="6" t="s">
        <v>280</v>
      </c>
    </row>
    <row r="7" spans="1:12">
      <c r="A7" s="408" t="s">
        <v>274</v>
      </c>
      <c r="B7" s="409"/>
      <c r="C7" s="409">
        <f>'Data Sheet'!C31/'Data Sheet'!B31-1</f>
      </c>
      <c r="D7" s="409">
        <f>'Data Sheet'!D31/'Data Sheet'!C31-1</f>
      </c>
      <c r="E7" s="409">
        <f>'Data Sheet'!E31/'Data Sheet'!D31-1</f>
      </c>
      <c r="F7" s="409">
        <f>'Data Sheet'!F31/'Data Sheet'!E31-1</f>
      </c>
      <c r="G7" s="409">
        <f>'Data Sheet'!G31/'Data Sheet'!F31-1</f>
      </c>
      <c r="H7" s="409">
        <f>'Data Sheet'!H31/'Data Sheet'!G31-1</f>
      </c>
      <c r="I7" s="409">
        <f>'Data Sheet'!I31/'Data Sheet'!H31-1</f>
      </c>
      <c r="J7" s="409">
        <f>'Data Sheet'!J31/'Data Sheet'!I31-1</f>
      </c>
      <c r="K7" s="410">
        <f>'Data Sheet'!K31/'Data Sheet'!J31-1</f>
      </c>
      <c r="L7" s="6" t="s">
        <v>281</v>
      </c>
    </row>
    <row r="8" spans="1:12">
      <c r="A8" s="79" t="s">
        <v>266</v>
      </c>
      <c r="B8" s="230"/>
      <c r="C8" s="230">
        <f>'Cash Flow'!C5</f>
      </c>
      <c r="D8" s="230">
        <f>'Cash Flow'!D5</f>
      </c>
      <c r="E8" s="230">
        <f>'Cash Flow'!E5</f>
      </c>
      <c r="F8" s="230">
        <f>'Cash Flow'!F5</f>
      </c>
      <c r="G8" s="230">
        <f>'Cash Flow'!G5</f>
      </c>
      <c r="H8" s="230">
        <f>'Cash Flow'!H5</f>
      </c>
      <c r="I8" s="230">
        <f>'Cash Flow'!I5</f>
      </c>
      <c r="J8" s="230">
        <f>'Cash Flow'!J5</f>
      </c>
      <c r="K8" s="235">
        <f>'Cash Flow'!K5</f>
      </c>
      <c r="L8" s="6" t="s">
        <v>280</v>
      </c>
    </row>
    <row r="9" spans="1:12">
      <c r="A9" s="408" t="s">
        <v>267</v>
      </c>
      <c r="B9" s="409"/>
      <c r="C9" s="409" t="e">
        <f ca="1">'Cash Flow'!C14</f>
      </c>
      <c r="D9" s="409">
        <f ca="1">'Cash Flow'!D14</f>
      </c>
      <c r="E9" s="409">
        <f ca="1">'Cash Flow'!E14</f>
      </c>
      <c r="F9" s="409">
        <f ca="1">'Cash Flow'!F14</f>
      </c>
      <c r="G9" s="409">
        <f ca="1">'Cash Flow'!G14</f>
      </c>
      <c r="H9" s="409">
        <f ca="1">'Cash Flow'!H14</f>
      </c>
      <c r="I9" s="409">
        <f ca="1">'Cash Flow'!I14</f>
      </c>
      <c r="J9" s="409">
        <f ca="1">'Cash Flow'!J14</f>
      </c>
      <c r="K9" s="410">
        <f ca="1">'Cash Flow'!K14</f>
      </c>
      <c r="L9" s="6" t="s">
        <v>280</v>
      </c>
    </row>
    <row r="10" spans="1:12">
      <c r="A10" s="79"/>
      <c r="B10" s="11"/>
      <c r="C10" s="11"/>
      <c r="D10" s="11"/>
      <c r="E10" s="11"/>
      <c r="F10" s="11"/>
      <c r="G10" s="11"/>
      <c r="H10" s="11"/>
      <c r="I10" s="11"/>
      <c r="J10" s="11"/>
      <c r="K10" s="236"/>
    </row>
    <row r="11" spans="1:12">
      <c r="A11" s="79" t="s">
        <v>259</v>
      </c>
      <c r="B11" s="231">
        <f>'Profit &amp; Loss'!B13</f>
      </c>
      <c r="C11" s="231">
        <f>'Profit &amp; Loss'!C13</f>
      </c>
      <c r="D11" s="231">
        <f>'Profit &amp; Loss'!D13</f>
      </c>
      <c r="E11" s="231">
        <f>'Profit &amp; Loss'!E13</f>
      </c>
      <c r="F11" s="231">
        <f>'Profit &amp; Loss'!F13</f>
      </c>
      <c r="G11" s="231">
        <f>'Profit &amp; Loss'!G13</f>
      </c>
      <c r="H11" s="231">
        <f>'Profit &amp; Loss'!H13</f>
      </c>
      <c r="I11" s="231">
        <f>'Profit &amp; Loss'!I13</f>
      </c>
      <c r="J11" s="231">
        <f>'Profit &amp; Loss'!J13</f>
      </c>
      <c r="K11" s="237">
        <f>'Profit &amp; Loss'!K13</f>
      </c>
      <c r="L11" s="6" t="s">
        <v>286</v>
      </c>
    </row>
    <row r="12" spans="1:12">
      <c r="A12" s="408" t="s">
        <v>99</v>
      </c>
      <c r="B12" s="411">
        <f>'Profit &amp; Loss'!B21</f>
      </c>
      <c r="C12" s="411">
        <f>'Profit &amp; Loss'!C21</f>
      </c>
      <c r="D12" s="411">
        <f>'Profit &amp; Loss'!D21</f>
      </c>
      <c r="E12" s="411">
        <f>'Profit &amp; Loss'!E21</f>
      </c>
      <c r="F12" s="411">
        <f>'Profit &amp; Loss'!F21</f>
      </c>
      <c r="G12" s="411">
        <f>'Profit &amp; Loss'!G21</f>
      </c>
      <c r="H12" s="411">
        <f>'Profit &amp; Loss'!H21</f>
      </c>
      <c r="I12" s="411">
        <f>'Profit &amp; Loss'!I21</f>
      </c>
      <c r="J12" s="411">
        <f>'Profit &amp; Loss'!J21</f>
      </c>
      <c r="K12" s="412">
        <f>'Profit &amp; Loss'!K21</f>
      </c>
      <c r="L12" s="6" t="s">
        <v>286</v>
      </c>
    </row>
    <row r="13" spans="1:12">
      <c r="A13" s="79" t="s">
        <v>261</v>
      </c>
      <c r="B13" s="231">
        <f>'Profit &amp; Loss'!B26</f>
      </c>
      <c r="C13" s="231">
        <f>'Profit &amp; Loss'!C26</f>
      </c>
      <c r="D13" s="231">
        <f>'Profit &amp; Loss'!D26</f>
      </c>
      <c r="E13" s="231">
        <f>'Profit &amp; Loss'!E26</f>
      </c>
      <c r="F13" s="231">
        <f>'Profit &amp; Loss'!F26</f>
      </c>
      <c r="G13" s="231">
        <f>'Profit &amp; Loss'!G26</f>
      </c>
      <c r="H13" s="231">
        <f>'Profit &amp; Loss'!H26</f>
      </c>
      <c r="I13" s="231">
        <f>'Profit &amp; Loss'!I26</f>
      </c>
      <c r="J13" s="231">
        <f>'Profit &amp; Loss'!J26</f>
      </c>
      <c r="K13" s="237">
        <f>'Profit &amp; Loss'!K26</f>
      </c>
      <c r="L13" s="6" t="s">
        <v>286</v>
      </c>
    </row>
    <row r="14" spans="1:12">
      <c r="A14" s="79"/>
      <c r="B14" s="11"/>
      <c r="C14" s="11"/>
      <c r="D14" s="11"/>
      <c r="E14" s="11"/>
      <c r="F14" s="11"/>
      <c r="G14" s="11"/>
      <c r="H14" s="11"/>
      <c r="I14" s="11"/>
      <c r="J14" s="11"/>
      <c r="K14" s="236"/>
    </row>
    <row r="15" spans="1:12">
      <c r="A15" s="408" t="str">
        <f>'Balance Sheet'!A22</f>
      </c>
      <c r="B15" s="413">
        <f>'Balance Sheet'!B22</f>
      </c>
      <c r="C15" s="413">
        <f>'Balance Sheet'!C22</f>
      </c>
      <c r="D15" s="413">
        <f>'Balance Sheet'!D22</f>
      </c>
      <c r="E15" s="413">
        <f>'Balance Sheet'!E22</f>
      </c>
      <c r="F15" s="413">
        <f>'Balance Sheet'!F22</f>
      </c>
      <c r="G15" s="413">
        <f>'Balance Sheet'!G22</f>
      </c>
      <c r="H15" s="413">
        <f>'Balance Sheet'!H22</f>
      </c>
      <c r="I15" s="413">
        <f>'Balance Sheet'!I22</f>
      </c>
      <c r="J15" s="413">
        <f>'Balance Sheet'!J22</f>
      </c>
      <c r="K15" s="414">
        <f>'Balance Sheet'!K22</f>
      </c>
      <c r="L15" s="6" t="s">
        <v>288</v>
      </c>
    </row>
    <row r="16" spans="1:12">
      <c r="A16" s="79" t="str">
        <f>'Balance Sheet'!A23</f>
      </c>
      <c r="B16" s="232">
        <f>'Balance Sheet'!B23</f>
      </c>
      <c r="C16" s="232">
        <f>'Balance Sheet'!C23</f>
      </c>
      <c r="D16" s="232">
        <f>'Balance Sheet'!D23</f>
      </c>
      <c r="E16" s="232">
        <f>'Balance Sheet'!E23</f>
      </c>
      <c r="F16" s="232">
        <f>'Balance Sheet'!F23</f>
      </c>
      <c r="G16" s="232">
        <f>'Balance Sheet'!G23</f>
      </c>
      <c r="H16" s="232">
        <f>'Balance Sheet'!H23</f>
      </c>
      <c r="I16" s="232">
        <f>'Balance Sheet'!I23</f>
      </c>
      <c r="J16" s="232">
        <f>'Balance Sheet'!J23</f>
      </c>
      <c r="K16" s="238">
        <f>'Balance Sheet'!K23</f>
      </c>
      <c r="L16" s="6" t="s">
        <v>287</v>
      </c>
    </row>
    <row r="17" spans="1:12">
      <c r="A17" s="408" t="str">
        <f>'Balance Sheet'!A24</f>
      </c>
      <c r="B17" s="413">
        <f>'Balance Sheet'!B24</f>
      </c>
      <c r="C17" s="413">
        <f>'Balance Sheet'!C24</f>
      </c>
      <c r="D17" s="413">
        <f>'Balance Sheet'!D24</f>
      </c>
      <c r="E17" s="413">
        <f>'Balance Sheet'!E24</f>
      </c>
      <c r="F17" s="413">
        <f>'Balance Sheet'!F24</f>
      </c>
      <c r="G17" s="413">
        <f>'Balance Sheet'!G24</f>
      </c>
      <c r="H17" s="413">
        <f>'Balance Sheet'!H24</f>
      </c>
      <c r="I17" s="413">
        <f>'Balance Sheet'!I24</f>
      </c>
      <c r="J17" s="413">
        <f>'Balance Sheet'!J24</f>
      </c>
      <c r="K17" s="414">
        <f>'Balance Sheet'!K24</f>
      </c>
      <c r="L17" s="6" t="s">
        <v>287</v>
      </c>
    </row>
    <row r="18" spans="1:12">
      <c r="A18" s="79" t="s">
        <v>97</v>
      </c>
      <c r="B18" s="232">
        <f>'Balance Sheet'!B25</f>
      </c>
      <c r="C18" s="232">
        <f>'Balance Sheet'!C25</f>
      </c>
      <c r="D18" s="232">
        <f>'Balance Sheet'!D25</f>
      </c>
      <c r="E18" s="232">
        <f>'Balance Sheet'!E25</f>
      </c>
      <c r="F18" s="232">
        <f>'Balance Sheet'!F25</f>
      </c>
      <c r="G18" s="232">
        <f>'Balance Sheet'!G25</f>
      </c>
      <c r="H18" s="232">
        <f>'Balance Sheet'!H25</f>
      </c>
      <c r="I18" s="232">
        <f>'Balance Sheet'!I25</f>
      </c>
      <c r="J18" s="232">
        <f>'Balance Sheet'!J25</f>
      </c>
      <c r="K18" s="238">
        <f>'Balance Sheet'!K25</f>
      </c>
      <c r="L18" s="6" t="s">
        <v>289</v>
      </c>
    </row>
    <row r="19" spans="1:12">
      <c r="A19" s="408" t="s">
        <v>269</v>
      </c>
      <c r="B19" s="409">
        <f>'Balance Sheet'!B6/'Balance Sheet'!B14</f>
      </c>
      <c r="C19" s="409">
        <f>'Balance Sheet'!C6/'Balance Sheet'!C14</f>
      </c>
      <c r="D19" s="409">
        <f>'Balance Sheet'!D6/'Balance Sheet'!D14</f>
      </c>
      <c r="E19" s="409">
        <f>'Balance Sheet'!E6/'Balance Sheet'!E14</f>
      </c>
      <c r="F19" s="409">
        <f>'Balance Sheet'!F6/'Balance Sheet'!F14</f>
      </c>
      <c r="G19" s="409">
        <f>'Balance Sheet'!G6/'Balance Sheet'!G14</f>
      </c>
      <c r="H19" s="409">
        <f>'Balance Sheet'!H6/'Balance Sheet'!H14</f>
      </c>
      <c r="I19" s="409">
        <f>'Balance Sheet'!I6/'Balance Sheet'!I14</f>
      </c>
      <c r="J19" s="409">
        <f>'Balance Sheet'!J6/'Balance Sheet'!J14</f>
      </c>
      <c r="K19" s="410">
        <f>'Balance Sheet'!K6/'Balance Sheet'!K14</f>
      </c>
      <c r="L19" s="6" t="s">
        <v>290</v>
      </c>
    </row>
    <row r="20" spans="1:12">
      <c r="A20" s="79" t="s">
        <v>264</v>
      </c>
      <c r="B20" s="232">
        <f>'Profit &amp; Loss'!B18</f>
      </c>
      <c r="C20" s="232">
        <f>'Profit &amp; Loss'!C18</f>
      </c>
      <c r="D20" s="232">
        <f>'Profit &amp; Loss'!D18</f>
      </c>
      <c r="E20" s="232">
        <f>'Profit &amp; Loss'!E18</f>
      </c>
      <c r="F20" s="232">
        <f>'Profit &amp; Loss'!F18</f>
      </c>
      <c r="G20" s="232">
        <f>'Profit &amp; Loss'!G18</f>
      </c>
      <c r="H20" s="232">
        <f>'Profit &amp; Loss'!H18</f>
      </c>
      <c r="I20" s="232">
        <f>'Profit &amp; Loss'!I18</f>
      </c>
      <c r="J20" s="232">
        <f>'Profit &amp; Loss'!J18</f>
      </c>
      <c r="K20" s="238">
        <f>'Profit &amp; Loss'!K18</f>
      </c>
      <c r="L20" s="6" t="s">
        <v>291</v>
      </c>
    </row>
    <row r="21" spans="1:12">
      <c r="A21" s="408" t="str">
        <f>'Balance Sheet'!A26</f>
      </c>
      <c r="B21" s="409">
        <f>'Balance Sheet'!B26</f>
      </c>
      <c r="C21" s="409">
        <f>'Balance Sheet'!C26</f>
      </c>
      <c r="D21" s="409">
        <f>'Balance Sheet'!D26</f>
      </c>
      <c r="E21" s="409">
        <f>'Balance Sheet'!E26</f>
      </c>
      <c r="F21" s="409">
        <f>'Balance Sheet'!F26</f>
      </c>
      <c r="G21" s="409">
        <f>'Balance Sheet'!G26</f>
      </c>
      <c r="H21" s="409">
        <f>'Balance Sheet'!H26</f>
      </c>
      <c r="I21" s="409">
        <f>'Balance Sheet'!I26</f>
      </c>
      <c r="J21" s="409">
        <f>'Balance Sheet'!J26</f>
      </c>
      <c r="K21" s="410">
        <f>'Balance Sheet'!K26</f>
      </c>
      <c r="L21" s="6" t="s">
        <v>292</v>
      </c>
    </row>
    <row r="22" spans="1:12">
      <c r="A22" s="79" t="str">
        <f>'Balance Sheet'!A27</f>
      </c>
      <c r="B22" s="418">
        <f>'Balance Sheet'!B27</f>
      </c>
      <c r="C22" s="418">
        <f>'Balance Sheet'!C27</f>
      </c>
      <c r="D22" s="418">
        <f>'Balance Sheet'!D27</f>
      </c>
      <c r="E22" s="418">
        <f>'Balance Sheet'!E27</f>
      </c>
      <c r="F22" s="418">
        <f>'Balance Sheet'!F27</f>
      </c>
      <c r="G22" s="418">
        <f>'Balance Sheet'!G27</f>
      </c>
      <c r="H22" s="418">
        <f>'Balance Sheet'!H27</f>
      </c>
      <c r="I22" s="418">
        <f>'Balance Sheet'!I27</f>
      </c>
      <c r="J22" s="418">
        <f>'Balance Sheet'!J27</f>
      </c>
      <c r="K22" s="419">
        <f>'Balance Sheet'!K27</f>
      </c>
      <c r="L22" s="6" t="s">
        <v>292</v>
      </c>
    </row>
    <row r="23" spans="1:12" ht="13.5" thickBot="1">
      <c r="A23" s="415" t="s">
        <v>263</v>
      </c>
      <c r="B23" s="416">
        <f>'Cash Flow'!B12</f>
      </c>
      <c r="C23" s="416">
        <f ca="1">'Cash Flow'!C12</f>
      </c>
      <c r="D23" s="416">
        <f ca="1">'Cash Flow'!D12</f>
      </c>
      <c r="E23" s="416">
        <f ca="1">'Cash Flow'!E12</f>
      </c>
      <c r="F23" s="416">
        <f ca="1">'Cash Flow'!F12</f>
      </c>
      <c r="G23" s="416">
        <f ca="1">'Cash Flow'!G12</f>
      </c>
      <c r="H23" s="416">
        <f ca="1">'Cash Flow'!H12</f>
      </c>
      <c r="I23" s="416">
        <f ca="1">'Cash Flow'!I12</f>
      </c>
      <c r="J23" s="416">
        <f ca="1">'Cash Flow'!J12</f>
      </c>
      <c r="K23" s="417">
        <f ca="1">'Cash Flow'!K12</f>
      </c>
      <c r="L23" s="6" t="s">
        <v>293</v>
      </c>
    </row>
  </sheetData>
  <mergeCells count="2">
    <mergeCell ref="A1:K1"/>
    <mergeCell ref="A2:K2"/>
  </mergeCells>
  <conditionalFormatting sqref="B4:K23">
    <cfRule type="cellIs" dxfId="13" priority="1" operator="lessThan">
      <formula>0</formula>
    </cfRule>
  </conditionalFormatting>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6">
    <tabColor rgb="FF00B050"/>
  </sheetPr>
  <dimension ref="A1:K35"/>
  <sheetViews>
    <sheetView workbookViewId="0">
      <selection activeCell="B21" sqref="B21:K21"/>
    </sheetView>
  </sheetViews>
  <sheetFormatPr defaultColWidth="8.7109375" defaultRowHeight="12.75"/>
  <cols>
    <col min="1" max="1" width="21.140625" style="6" bestFit="1" customWidth="1"/>
    <col min="2" max="11" width="6.7109375" style="6" bestFit="1" customWidth="1"/>
    <col min="12" max="16384" width="8.7109375" style="6"/>
  </cols>
  <sheetData>
    <row r="1" spans="1:11" ht="15.75">
      <c r="A1" s="669" t="s">
        <v>167</v>
      </c>
      <c r="B1" s="670"/>
      <c r="C1" s="670"/>
      <c r="D1" s="670"/>
      <c r="E1" s="670"/>
      <c r="F1" s="670"/>
      <c r="G1" s="670"/>
      <c r="H1" s="670"/>
      <c r="I1" s="670"/>
      <c r="J1" s="670"/>
      <c r="K1" s="671"/>
    </row>
    <row r="2" spans="1:11">
      <c r="A2" s="192" t="s">
        <v>178</v>
      </c>
      <c r="B2" s="102">
        <f>'Data Sheet'!B16</f>
      </c>
      <c r="C2" s="102">
        <f>'Data Sheet'!C16</f>
      </c>
      <c r="D2" s="102">
        <f>'Data Sheet'!D16</f>
      </c>
      <c r="E2" s="102">
        <f>'Data Sheet'!E16</f>
      </c>
      <c r="F2" s="102">
        <f>'Data Sheet'!F16</f>
      </c>
      <c r="G2" s="102">
        <f>'Data Sheet'!G16</f>
      </c>
      <c r="H2" s="102">
        <f>'Data Sheet'!H16</f>
      </c>
      <c r="I2" s="102">
        <f>'Data Sheet'!I16</f>
      </c>
      <c r="J2" s="102">
        <f>'Data Sheet'!J16</f>
      </c>
      <c r="K2" s="102">
        <f>'Data Sheet'!K16</f>
      </c>
    </row>
    <row r="3" spans="1:11">
      <c r="A3" s="194" t="s">
        <v>4</v>
      </c>
      <c r="B3" s="104">
        <v>1</v>
      </c>
      <c r="C3" s="104">
        <v>1</v>
      </c>
      <c r="D3" s="104">
        <v>1</v>
      </c>
      <c r="E3" s="104">
        <v>1</v>
      </c>
      <c r="F3" s="104">
        <v>1</v>
      </c>
      <c r="G3" s="104">
        <v>1</v>
      </c>
      <c r="H3" s="104">
        <v>1</v>
      </c>
      <c r="I3" s="104">
        <v>1</v>
      </c>
      <c r="J3" s="104">
        <v>1</v>
      </c>
      <c r="K3" s="199">
        <v>1</v>
      </c>
    </row>
    <row r="4" spans="1:11">
      <c r="A4" s="420" t="s">
        <v>74</v>
      </c>
      <c r="B4" s="421">
        <f>'Data Sheet'!B18/'Data Sheet'!B$17</f>
      </c>
      <c r="C4" s="421">
        <f>'Data Sheet'!C18/'Data Sheet'!C$17</f>
      </c>
      <c r="D4" s="421">
        <f>'Data Sheet'!D18/'Data Sheet'!D$17</f>
      </c>
      <c r="E4" s="421">
        <f>'Data Sheet'!E18/'Data Sheet'!E$17</f>
      </c>
      <c r="F4" s="421">
        <f>'Data Sheet'!F18/'Data Sheet'!F$17</f>
      </c>
      <c r="G4" s="421">
        <f>'Data Sheet'!G18/'Data Sheet'!G$17</f>
      </c>
      <c r="H4" s="421">
        <f>'Data Sheet'!H18/'Data Sheet'!H$17</f>
      </c>
      <c r="I4" s="421">
        <f>'Data Sheet'!I18/'Data Sheet'!I$17</f>
      </c>
      <c r="J4" s="421">
        <f>'Data Sheet'!J18/'Data Sheet'!J$17</f>
      </c>
      <c r="K4" s="422">
        <f>'Data Sheet'!K18/'Data Sheet'!K$17</f>
      </c>
    </row>
    <row r="5" spans="1:11">
      <c r="A5" s="194" t="s">
        <v>75</v>
      </c>
      <c r="B5" s="31">
        <f>'Data Sheet'!B19/'Data Sheet'!B$17</f>
      </c>
      <c r="C5" s="31">
        <f>'Data Sheet'!C19/'Data Sheet'!C$17</f>
      </c>
      <c r="D5" s="31">
        <f>'Data Sheet'!D19/'Data Sheet'!D$17</f>
      </c>
      <c r="E5" s="31">
        <f>'Data Sheet'!E19/'Data Sheet'!E$17</f>
      </c>
      <c r="F5" s="31">
        <f>'Data Sheet'!F19/'Data Sheet'!F$17</f>
      </c>
      <c r="G5" s="31">
        <f>'Data Sheet'!G19/'Data Sheet'!G$17</f>
      </c>
      <c r="H5" s="31">
        <f>'Data Sheet'!H19/'Data Sheet'!H$17</f>
      </c>
      <c r="I5" s="31">
        <f>'Data Sheet'!I19/'Data Sheet'!I$17</f>
      </c>
      <c r="J5" s="31">
        <f>'Data Sheet'!J19/'Data Sheet'!J$17</f>
      </c>
      <c r="K5" s="195">
        <f>'Data Sheet'!K19/'Data Sheet'!K$17</f>
      </c>
    </row>
    <row r="6" spans="1:11">
      <c r="A6" s="420" t="s">
        <v>76</v>
      </c>
      <c r="B6" s="421">
        <f>'Data Sheet'!B20/'Data Sheet'!B$17</f>
      </c>
      <c r="C6" s="421">
        <f>'Data Sheet'!C20/'Data Sheet'!C$17</f>
      </c>
      <c r="D6" s="421">
        <f>'Data Sheet'!D20/'Data Sheet'!D$17</f>
      </c>
      <c r="E6" s="421">
        <f>'Data Sheet'!E20/'Data Sheet'!E$17</f>
      </c>
      <c r="F6" s="421">
        <f>'Data Sheet'!F20/'Data Sheet'!F$17</f>
      </c>
      <c r="G6" s="421">
        <f>'Data Sheet'!G20/'Data Sheet'!G$17</f>
      </c>
      <c r="H6" s="421">
        <f>'Data Sheet'!H20/'Data Sheet'!H$17</f>
      </c>
      <c r="I6" s="421">
        <f>'Data Sheet'!I20/'Data Sheet'!I$17</f>
      </c>
      <c r="J6" s="421">
        <f>'Data Sheet'!J20/'Data Sheet'!J$17</f>
      </c>
      <c r="K6" s="422">
        <f>'Data Sheet'!K20/'Data Sheet'!K$17</f>
      </c>
    </row>
    <row r="7" spans="1:11">
      <c r="A7" s="194" t="s">
        <v>77</v>
      </c>
      <c r="B7" s="31">
        <f>'Data Sheet'!B21/'Data Sheet'!B$17</f>
      </c>
      <c r="C7" s="31">
        <f>'Data Sheet'!C21/'Data Sheet'!C$17</f>
      </c>
      <c r="D7" s="31">
        <f>'Data Sheet'!D21/'Data Sheet'!D$17</f>
      </c>
      <c r="E7" s="31">
        <f>'Data Sheet'!E21/'Data Sheet'!E$17</f>
      </c>
      <c r="F7" s="31">
        <f>'Data Sheet'!F21/'Data Sheet'!F$17</f>
      </c>
      <c r="G7" s="31">
        <f>'Data Sheet'!G21/'Data Sheet'!G$17</f>
      </c>
      <c r="H7" s="31">
        <f>'Data Sheet'!H21/'Data Sheet'!H$17</f>
      </c>
      <c r="I7" s="31">
        <f>'Data Sheet'!I21/'Data Sheet'!I$17</f>
      </c>
      <c r="J7" s="31">
        <f>'Data Sheet'!J21/'Data Sheet'!J$17</f>
      </c>
      <c r="K7" s="195">
        <f>'Data Sheet'!K21/'Data Sheet'!K$17</f>
      </c>
    </row>
    <row r="8" spans="1:11">
      <c r="A8" s="420" t="s">
        <v>78</v>
      </c>
      <c r="B8" s="421">
        <f>'Data Sheet'!B22/'Data Sheet'!B$17</f>
      </c>
      <c r="C8" s="421">
        <f>'Data Sheet'!C22/'Data Sheet'!C$17</f>
      </c>
      <c r="D8" s="421">
        <f>'Data Sheet'!D22/'Data Sheet'!D$17</f>
      </c>
      <c r="E8" s="421">
        <f>'Data Sheet'!E22/'Data Sheet'!E$17</f>
      </c>
      <c r="F8" s="421">
        <f>'Data Sheet'!F22/'Data Sheet'!F$17</f>
      </c>
      <c r="G8" s="421">
        <f>'Data Sheet'!G22/'Data Sheet'!G$17</f>
      </c>
      <c r="H8" s="421">
        <f>'Data Sheet'!H22/'Data Sheet'!H$17</f>
      </c>
      <c r="I8" s="421">
        <f>'Data Sheet'!I22/'Data Sheet'!I$17</f>
      </c>
      <c r="J8" s="421">
        <f>'Data Sheet'!J22/'Data Sheet'!J$17</f>
      </c>
      <c r="K8" s="422">
        <f>'Data Sheet'!K22/'Data Sheet'!K$17</f>
      </c>
    </row>
    <row r="9" spans="1:11">
      <c r="A9" s="194" t="s">
        <v>100</v>
      </c>
      <c r="B9" s="31">
        <f>'Data Sheet'!B23/'Data Sheet'!B$17</f>
      </c>
      <c r="C9" s="31">
        <f>'Data Sheet'!C23/'Data Sheet'!C$17</f>
      </c>
      <c r="D9" s="31">
        <f>'Data Sheet'!D23/'Data Sheet'!D$17</f>
      </c>
      <c r="E9" s="31">
        <f>'Data Sheet'!E23/'Data Sheet'!E$17</f>
      </c>
      <c r="F9" s="31">
        <f>'Data Sheet'!F23/'Data Sheet'!F$17</f>
      </c>
      <c r="G9" s="31">
        <f>'Data Sheet'!G23/'Data Sheet'!G$17</f>
      </c>
      <c r="H9" s="31">
        <f>'Data Sheet'!H23/'Data Sheet'!H$17</f>
      </c>
      <c r="I9" s="31">
        <f>'Data Sheet'!I23/'Data Sheet'!I$17</f>
      </c>
      <c r="J9" s="31">
        <f>'Data Sheet'!J23/'Data Sheet'!J$17</f>
      </c>
      <c r="K9" s="195">
        <f>'Data Sheet'!K23/'Data Sheet'!K$17</f>
      </c>
    </row>
    <row r="10" spans="1:11">
      <c r="A10" s="420" t="s">
        <v>80</v>
      </c>
      <c r="B10" s="421">
        <f>'Data Sheet'!B24/'Data Sheet'!B$17</f>
      </c>
      <c r="C10" s="421">
        <f>'Data Sheet'!C24/'Data Sheet'!C$17</f>
      </c>
      <c r="D10" s="421">
        <f>'Data Sheet'!D24/'Data Sheet'!D$17</f>
      </c>
      <c r="E10" s="421">
        <f>'Data Sheet'!E24/'Data Sheet'!E$17</f>
      </c>
      <c r="F10" s="421">
        <f>'Data Sheet'!F24/'Data Sheet'!F$17</f>
      </c>
      <c r="G10" s="421">
        <f>'Data Sheet'!G24/'Data Sheet'!G$17</f>
      </c>
      <c r="H10" s="421">
        <f>'Data Sheet'!H24/'Data Sheet'!H$17</f>
      </c>
      <c r="I10" s="421">
        <f>'Data Sheet'!I24/'Data Sheet'!I$17</f>
      </c>
      <c r="J10" s="421">
        <f>'Data Sheet'!J24/'Data Sheet'!J$17</f>
      </c>
      <c r="K10" s="422">
        <f>'Data Sheet'!K24/'Data Sheet'!K$17</f>
      </c>
    </row>
    <row r="11" spans="1:11">
      <c r="A11" s="426" t="s">
        <v>6</v>
      </c>
      <c r="B11" s="427">
        <f>('Data Sheet'!B17-'Data Sheet'!B18-'Data Sheet'!B19-'Data Sheet'!B20-'Data Sheet'!B21-'Data Sheet'!B22-'Data Sheet'!B23-'Data Sheet'!B24)/'Data Sheet'!B$17</f>
      </c>
      <c r="C11" s="427">
        <f>('Data Sheet'!C17-'Data Sheet'!C18-'Data Sheet'!C19-'Data Sheet'!C20-'Data Sheet'!C21-'Data Sheet'!C22-'Data Sheet'!C23-'Data Sheet'!C24)/'Data Sheet'!C$17</f>
      </c>
      <c r="D11" s="427">
        <f>('Data Sheet'!D17-'Data Sheet'!D18-'Data Sheet'!D19-'Data Sheet'!D20-'Data Sheet'!D21-'Data Sheet'!D22-'Data Sheet'!D23-'Data Sheet'!D24)/'Data Sheet'!D$17</f>
      </c>
      <c r="E11" s="427">
        <f>('Data Sheet'!E17-'Data Sheet'!E18-'Data Sheet'!E19-'Data Sheet'!E20-'Data Sheet'!E21-'Data Sheet'!E22-'Data Sheet'!E23-'Data Sheet'!E24)/'Data Sheet'!E$17</f>
      </c>
      <c r="F11" s="427">
        <f>('Data Sheet'!F17-'Data Sheet'!F18-'Data Sheet'!F19-'Data Sheet'!F20-'Data Sheet'!F21-'Data Sheet'!F22-'Data Sheet'!F23-'Data Sheet'!F24)/'Data Sheet'!F$17</f>
      </c>
      <c r="G11" s="427">
        <f>('Data Sheet'!G17-'Data Sheet'!G18-'Data Sheet'!G19-'Data Sheet'!G20-'Data Sheet'!G21-'Data Sheet'!G22-'Data Sheet'!G23-'Data Sheet'!G24)/'Data Sheet'!G$17</f>
      </c>
      <c r="H11" s="427">
        <f>('Data Sheet'!H17-'Data Sheet'!H18-'Data Sheet'!H19-'Data Sheet'!H20-'Data Sheet'!H21-'Data Sheet'!H22-'Data Sheet'!H23-'Data Sheet'!H24)/'Data Sheet'!H$17</f>
      </c>
      <c r="I11" s="427">
        <f>('Data Sheet'!I17-'Data Sheet'!I18-'Data Sheet'!I19-'Data Sheet'!I20-'Data Sheet'!I21-'Data Sheet'!I22-'Data Sheet'!I23-'Data Sheet'!I24)/'Data Sheet'!I$17</f>
      </c>
      <c r="J11" s="427">
        <f>('Data Sheet'!J17-'Data Sheet'!J18-'Data Sheet'!J19-'Data Sheet'!J20-'Data Sheet'!J21-'Data Sheet'!J22-'Data Sheet'!J23-'Data Sheet'!J24)/'Data Sheet'!J$17</f>
      </c>
      <c r="K11" s="428">
        <f>('Data Sheet'!K17-'Data Sheet'!K18-'Data Sheet'!K19-'Data Sheet'!K20-'Data Sheet'!K21-'Data Sheet'!K22-'Data Sheet'!K23-'Data Sheet'!K24)/'Data Sheet'!K$17</f>
      </c>
    </row>
    <row r="12" spans="1:11">
      <c r="A12" s="420" t="s">
        <v>7</v>
      </c>
      <c r="B12" s="421">
        <f>'Data Sheet'!B25/'Data Sheet'!B$17</f>
      </c>
      <c r="C12" s="421">
        <f>'Data Sheet'!C25/'Data Sheet'!C$17</f>
      </c>
      <c r="D12" s="421">
        <f>'Data Sheet'!D25/'Data Sheet'!D$17</f>
      </c>
      <c r="E12" s="421">
        <f>'Data Sheet'!E25/'Data Sheet'!E$17</f>
      </c>
      <c r="F12" s="421">
        <f>'Data Sheet'!F25/'Data Sheet'!F$17</f>
      </c>
      <c r="G12" s="421">
        <f>'Data Sheet'!G25/'Data Sheet'!G$17</f>
      </c>
      <c r="H12" s="421">
        <f>'Data Sheet'!H25/'Data Sheet'!H$17</f>
      </c>
      <c r="I12" s="421">
        <f>'Data Sheet'!I25/'Data Sheet'!I$17</f>
      </c>
      <c r="J12" s="421">
        <f>'Data Sheet'!J25/'Data Sheet'!J$17</f>
      </c>
      <c r="K12" s="422">
        <f>'Data Sheet'!K25/'Data Sheet'!K$17</f>
      </c>
    </row>
    <row r="13" spans="1:11">
      <c r="A13" s="194" t="s">
        <v>8</v>
      </c>
      <c r="B13" s="31">
        <f>'Data Sheet'!B26/'Data Sheet'!B$17</f>
      </c>
      <c r="C13" s="31">
        <f>'Data Sheet'!C26/'Data Sheet'!C$17</f>
      </c>
      <c r="D13" s="31">
        <f>'Data Sheet'!D26/'Data Sheet'!D$17</f>
      </c>
      <c r="E13" s="31">
        <f>'Data Sheet'!E26/'Data Sheet'!E$17</f>
      </c>
      <c r="F13" s="31">
        <f>'Data Sheet'!F26/'Data Sheet'!F$17</f>
      </c>
      <c r="G13" s="31">
        <f>'Data Sheet'!G26/'Data Sheet'!G$17</f>
      </c>
      <c r="H13" s="31">
        <f>'Data Sheet'!H26/'Data Sheet'!H$17</f>
      </c>
      <c r="I13" s="31">
        <f>'Data Sheet'!I26/'Data Sheet'!I$17</f>
      </c>
      <c r="J13" s="31">
        <f>'Data Sheet'!J26/'Data Sheet'!J$17</f>
      </c>
      <c r="K13" s="195">
        <f>'Data Sheet'!K26/'Data Sheet'!K$17</f>
      </c>
    </row>
    <row r="14" spans="1:11">
      <c r="A14" s="420" t="s">
        <v>9</v>
      </c>
      <c r="B14" s="421">
        <f>'Data Sheet'!B27/'Data Sheet'!B$17</f>
      </c>
      <c r="C14" s="421">
        <f>'Data Sheet'!C27/'Data Sheet'!C$17</f>
      </c>
      <c r="D14" s="421">
        <f>'Data Sheet'!D27/'Data Sheet'!D$17</f>
      </c>
      <c r="E14" s="421">
        <f>'Data Sheet'!E27/'Data Sheet'!E$17</f>
      </c>
      <c r="F14" s="421">
        <f>'Data Sheet'!F27/'Data Sheet'!F$17</f>
      </c>
      <c r="G14" s="421">
        <f>'Data Sheet'!G27/'Data Sheet'!G$17</f>
      </c>
      <c r="H14" s="421">
        <f>'Data Sheet'!H27/'Data Sheet'!H$17</f>
      </c>
      <c r="I14" s="421">
        <f>'Data Sheet'!I27/'Data Sheet'!I$17</f>
      </c>
      <c r="J14" s="421">
        <f>'Data Sheet'!J27/'Data Sheet'!J$17</f>
      </c>
      <c r="K14" s="422">
        <f>'Data Sheet'!K27/'Data Sheet'!K$17</f>
      </c>
    </row>
    <row r="15" spans="1:11">
      <c r="A15" s="426" t="s">
        <v>171</v>
      </c>
      <c r="B15" s="427">
        <f>'Data Sheet'!B28/'Data Sheet'!B$17</f>
      </c>
      <c r="C15" s="427">
        <f>'Data Sheet'!C28/'Data Sheet'!C$17</f>
      </c>
      <c r="D15" s="427">
        <f>'Data Sheet'!D28/'Data Sheet'!D$17</f>
      </c>
      <c r="E15" s="427">
        <f>'Data Sheet'!E28/'Data Sheet'!E$17</f>
      </c>
      <c r="F15" s="427">
        <f>'Data Sheet'!F28/'Data Sheet'!F$17</f>
      </c>
      <c r="G15" s="427">
        <f>'Data Sheet'!G28/'Data Sheet'!G$17</f>
      </c>
      <c r="H15" s="427">
        <f>'Data Sheet'!H28/'Data Sheet'!H$17</f>
      </c>
      <c r="I15" s="427">
        <f>'Data Sheet'!I28/'Data Sheet'!I$17</f>
      </c>
      <c r="J15" s="427">
        <f>'Data Sheet'!J28/'Data Sheet'!J$17</f>
      </c>
      <c r="K15" s="428">
        <f>'Data Sheet'!K28/'Data Sheet'!K$17</f>
      </c>
    </row>
    <row r="16" spans="1:11">
      <c r="A16" s="420" t="s">
        <v>11</v>
      </c>
      <c r="B16" s="421">
        <f>'Data Sheet'!B29/'Data Sheet'!B$17</f>
      </c>
      <c r="C16" s="421">
        <f>'Data Sheet'!C29/'Data Sheet'!C$17</f>
      </c>
      <c r="D16" s="421">
        <f>'Data Sheet'!D29/'Data Sheet'!D$17</f>
      </c>
      <c r="E16" s="421">
        <f>'Data Sheet'!E29/'Data Sheet'!E$17</f>
      </c>
      <c r="F16" s="421">
        <f>'Data Sheet'!F29/'Data Sheet'!F$17</f>
      </c>
      <c r="G16" s="421">
        <f>'Data Sheet'!G29/'Data Sheet'!G$17</f>
      </c>
      <c r="H16" s="421">
        <f>'Data Sheet'!H29/'Data Sheet'!H$17</f>
      </c>
      <c r="I16" s="421">
        <f>'Data Sheet'!I29/'Data Sheet'!I$17</f>
      </c>
      <c r="J16" s="421">
        <f>'Data Sheet'!J29/'Data Sheet'!J$17</f>
      </c>
      <c r="K16" s="422">
        <f>'Data Sheet'!K29/'Data Sheet'!K$17</f>
      </c>
    </row>
    <row r="17" spans="1:11">
      <c r="A17" s="426" t="s">
        <v>172</v>
      </c>
      <c r="B17" s="427">
        <f>'Data Sheet'!B30/'Data Sheet'!B$17</f>
      </c>
      <c r="C17" s="427">
        <f>'Data Sheet'!C30/'Data Sheet'!C$17</f>
      </c>
      <c r="D17" s="427">
        <f>'Data Sheet'!D30/'Data Sheet'!D$17</f>
      </c>
      <c r="E17" s="427">
        <f>'Data Sheet'!E30/'Data Sheet'!E$17</f>
      </c>
      <c r="F17" s="427">
        <f>'Data Sheet'!F30/'Data Sheet'!F$17</f>
      </c>
      <c r="G17" s="427">
        <f>'Data Sheet'!G30/'Data Sheet'!G$17</f>
      </c>
      <c r="H17" s="427">
        <f>'Data Sheet'!H30/'Data Sheet'!H$17</f>
      </c>
      <c r="I17" s="427">
        <f>'Data Sheet'!I30/'Data Sheet'!I$17</f>
      </c>
      <c r="J17" s="427">
        <f>'Data Sheet'!J30/'Data Sheet'!J$17</f>
      </c>
      <c r="K17" s="428">
        <f>'Data Sheet'!K30/'Data Sheet'!K$17</f>
      </c>
    </row>
    <row r="18" spans="1:11" ht="13.5" thickBot="1">
      <c r="A18" s="423" t="s">
        <v>64</v>
      </c>
      <c r="B18" s="424">
        <f>'Data Sheet'!B31/'Data Sheet'!B$17</f>
      </c>
      <c r="C18" s="424">
        <f>'Data Sheet'!C31/'Data Sheet'!C$17</f>
      </c>
      <c r="D18" s="424">
        <f>'Data Sheet'!D31/'Data Sheet'!D$17</f>
      </c>
      <c r="E18" s="424">
        <f>'Data Sheet'!E31/'Data Sheet'!E$17</f>
      </c>
      <c r="F18" s="424">
        <f>'Data Sheet'!F31/'Data Sheet'!F$17</f>
      </c>
      <c r="G18" s="424">
        <f>'Data Sheet'!G31/'Data Sheet'!G$17</f>
      </c>
      <c r="H18" s="424">
        <f>'Data Sheet'!H31/'Data Sheet'!H$17</f>
      </c>
      <c r="I18" s="424">
        <f>'Data Sheet'!I31/'Data Sheet'!I$17</f>
      </c>
      <c r="J18" s="424">
        <f>'Data Sheet'!J31/'Data Sheet'!J$17</f>
      </c>
      <c r="K18" s="425">
        <f>'Data Sheet'!K31/'Data Sheet'!K$17</f>
      </c>
    </row>
    <row r="19" spans="1:11" ht="13.5" thickBot="1"/>
    <row r="20" spans="1:11" ht="15.75">
      <c r="A20" s="669" t="s">
        <v>168</v>
      </c>
      <c r="B20" s="670"/>
      <c r="C20" s="670"/>
      <c r="D20" s="670"/>
      <c r="E20" s="670"/>
      <c r="F20" s="670"/>
      <c r="G20" s="670"/>
      <c r="H20" s="670"/>
      <c r="I20" s="670"/>
      <c r="J20" s="670"/>
      <c r="K20" s="671"/>
    </row>
    <row r="21" spans="1:11">
      <c r="A21" s="192" t="s">
        <v>178</v>
      </c>
      <c r="B21" s="102">
        <f>'Data Sheet'!B16</f>
      </c>
      <c r="C21" s="102">
        <f>'Data Sheet'!C16</f>
      </c>
      <c r="D21" s="102">
        <f>'Data Sheet'!D16</f>
      </c>
      <c r="E21" s="102">
        <f>'Data Sheet'!E16</f>
      </c>
      <c r="F21" s="102">
        <f>'Data Sheet'!F16</f>
      </c>
      <c r="G21" s="102">
        <f>'Data Sheet'!G16</f>
      </c>
      <c r="H21" s="102">
        <f>'Data Sheet'!H16</f>
      </c>
      <c r="I21" s="102">
        <f>'Data Sheet'!I16</f>
      </c>
      <c r="J21" s="102">
        <f>'Data Sheet'!J16</f>
      </c>
      <c r="K21" s="102">
        <f>'Data Sheet'!K16</f>
      </c>
    </row>
    <row r="22" spans="1:11">
      <c r="A22" s="194" t="s">
        <v>19</v>
      </c>
      <c r="B22" s="31">
        <f>'Data Sheet'!B57/'Data Sheet'!B$61</f>
      </c>
      <c r="C22" s="31">
        <f>'Data Sheet'!C57/'Data Sheet'!C$61</f>
      </c>
      <c r="D22" s="31">
        <f>'Data Sheet'!D57/'Data Sheet'!D$61</f>
      </c>
      <c r="E22" s="31">
        <f>'Data Sheet'!E57/'Data Sheet'!E$61</f>
      </c>
      <c r="F22" s="31">
        <f>'Data Sheet'!F57/'Data Sheet'!F$61</f>
      </c>
      <c r="G22" s="31">
        <f>'Data Sheet'!G57/'Data Sheet'!G$61</f>
      </c>
      <c r="H22" s="31">
        <f>'Data Sheet'!H57/'Data Sheet'!H$61</f>
      </c>
      <c r="I22" s="31">
        <f>'Data Sheet'!I57/'Data Sheet'!I$61</f>
      </c>
      <c r="J22" s="31">
        <f>'Data Sheet'!J57/'Data Sheet'!J$61</f>
      </c>
      <c r="K22" s="195">
        <f>'Data Sheet'!K57/'Data Sheet'!K$61</f>
      </c>
    </row>
    <row r="23" spans="1:11">
      <c r="A23" s="420" t="s">
        <v>20</v>
      </c>
      <c r="B23" s="421">
        <f>'Data Sheet'!B58/'Data Sheet'!B$61</f>
      </c>
      <c r="C23" s="421">
        <f>'Data Sheet'!C58/'Data Sheet'!C$61</f>
      </c>
      <c r="D23" s="421">
        <f>'Data Sheet'!D58/'Data Sheet'!D$61</f>
      </c>
      <c r="E23" s="421">
        <f>'Data Sheet'!E58/'Data Sheet'!E$61</f>
      </c>
      <c r="F23" s="421">
        <f>'Data Sheet'!F58/'Data Sheet'!F$61</f>
      </c>
      <c r="G23" s="421">
        <f>'Data Sheet'!G58/'Data Sheet'!G$61</f>
      </c>
      <c r="H23" s="421">
        <f>'Data Sheet'!H58/'Data Sheet'!H$61</f>
      </c>
      <c r="I23" s="421">
        <f>'Data Sheet'!I58/'Data Sheet'!I$61</f>
      </c>
      <c r="J23" s="421">
        <f>'Data Sheet'!J58/'Data Sheet'!J$61</f>
      </c>
      <c r="K23" s="422">
        <f>'Data Sheet'!K58/'Data Sheet'!K$61</f>
      </c>
    </row>
    <row r="24" spans="1:11">
      <c r="A24" s="194" t="s">
        <v>65</v>
      </c>
      <c r="B24" s="31">
        <f>'Data Sheet'!B59/'Data Sheet'!B$61</f>
      </c>
      <c r="C24" s="31">
        <f>'Data Sheet'!C59/'Data Sheet'!C$61</f>
      </c>
      <c r="D24" s="31">
        <f>'Data Sheet'!D59/'Data Sheet'!D$61</f>
      </c>
      <c r="E24" s="31">
        <f>'Data Sheet'!E59/'Data Sheet'!E$61</f>
      </c>
      <c r="F24" s="31">
        <f>'Data Sheet'!F59/'Data Sheet'!F$61</f>
      </c>
      <c r="G24" s="31">
        <f>'Data Sheet'!G59/'Data Sheet'!G$61</f>
      </c>
      <c r="H24" s="31">
        <f>'Data Sheet'!H59/'Data Sheet'!H$61</f>
      </c>
      <c r="I24" s="31">
        <f>'Data Sheet'!I59/'Data Sheet'!I$61</f>
      </c>
      <c r="J24" s="31">
        <f>'Data Sheet'!J59/'Data Sheet'!J$61</f>
      </c>
      <c r="K24" s="195">
        <f>'Data Sheet'!K59/'Data Sheet'!K$61</f>
      </c>
    </row>
    <row r="25" spans="1:11">
      <c r="A25" s="420" t="s">
        <v>66</v>
      </c>
      <c r="B25" s="421">
        <f>'Data Sheet'!B60/'Data Sheet'!B$61</f>
      </c>
      <c r="C25" s="421">
        <f>'Data Sheet'!C60/'Data Sheet'!C$61</f>
      </c>
      <c r="D25" s="421">
        <f>'Data Sheet'!D60/'Data Sheet'!D$61</f>
      </c>
      <c r="E25" s="421">
        <f>'Data Sheet'!E60/'Data Sheet'!E$61</f>
      </c>
      <c r="F25" s="421">
        <f>'Data Sheet'!F60/'Data Sheet'!F$61</f>
      </c>
      <c r="G25" s="421">
        <f>'Data Sheet'!G60/'Data Sheet'!G$61</f>
      </c>
      <c r="H25" s="421">
        <f>'Data Sheet'!H60/'Data Sheet'!H$61</f>
      </c>
      <c r="I25" s="421">
        <f>'Data Sheet'!I60/'Data Sheet'!I$61</f>
      </c>
      <c r="J25" s="421">
        <f>'Data Sheet'!J60/'Data Sheet'!J$61</f>
      </c>
      <c r="K25" s="422">
        <f>'Data Sheet'!K60/'Data Sheet'!K$61</f>
      </c>
    </row>
    <row r="26" spans="1:11">
      <c r="A26" s="432" t="s">
        <v>169</v>
      </c>
      <c r="B26" s="433">
        <v>1</v>
      </c>
      <c r="C26" s="433">
        <v>1</v>
      </c>
      <c r="D26" s="433">
        <v>1</v>
      </c>
      <c r="E26" s="433">
        <v>1</v>
      </c>
      <c r="F26" s="433">
        <v>1</v>
      </c>
      <c r="G26" s="433">
        <v>1</v>
      </c>
      <c r="H26" s="433">
        <v>1</v>
      </c>
      <c r="I26" s="433">
        <v>1</v>
      </c>
      <c r="J26" s="433">
        <v>1</v>
      </c>
      <c r="K26" s="434">
        <v>1</v>
      </c>
    </row>
    <row r="27" spans="1:11">
      <c r="A27" s="420" t="s">
        <v>22</v>
      </c>
      <c r="B27" s="421">
        <f>'Data Sheet'!B62/'Data Sheet'!B$66</f>
      </c>
      <c r="C27" s="421">
        <f>'Data Sheet'!C62/'Data Sheet'!C$66</f>
      </c>
      <c r="D27" s="421">
        <f>'Data Sheet'!D62/'Data Sheet'!D$66</f>
      </c>
      <c r="E27" s="421">
        <f>'Data Sheet'!E62/'Data Sheet'!E$66</f>
      </c>
      <c r="F27" s="421">
        <f>'Data Sheet'!F62/'Data Sheet'!F$66</f>
      </c>
      <c r="G27" s="421">
        <f>'Data Sheet'!G62/'Data Sheet'!G$66</f>
      </c>
      <c r="H27" s="421">
        <f>'Data Sheet'!H62/'Data Sheet'!H$66</f>
      </c>
      <c r="I27" s="421">
        <f>'Data Sheet'!I62/'Data Sheet'!I$66</f>
      </c>
      <c r="J27" s="421">
        <f>'Data Sheet'!J62/'Data Sheet'!J$66</f>
      </c>
      <c r="K27" s="422">
        <f>'Data Sheet'!K62/'Data Sheet'!K$66</f>
      </c>
    </row>
    <row r="28" spans="1:11">
      <c r="A28" s="194" t="s">
        <v>23</v>
      </c>
      <c r="B28" s="31">
        <f>'Data Sheet'!B63/'Data Sheet'!B$66</f>
      </c>
      <c r="C28" s="31">
        <f>'Data Sheet'!C63/'Data Sheet'!C$66</f>
      </c>
      <c r="D28" s="31">
        <f>'Data Sheet'!D63/'Data Sheet'!D$66</f>
      </c>
      <c r="E28" s="31">
        <f>'Data Sheet'!E63/'Data Sheet'!E$66</f>
      </c>
      <c r="F28" s="31">
        <f>'Data Sheet'!F63/'Data Sheet'!F$66</f>
      </c>
      <c r="G28" s="31">
        <f>'Data Sheet'!G63/'Data Sheet'!G$66</f>
      </c>
      <c r="H28" s="31">
        <f>'Data Sheet'!H63/'Data Sheet'!H$66</f>
      </c>
      <c r="I28" s="31">
        <f>'Data Sheet'!I63/'Data Sheet'!I$66</f>
      </c>
      <c r="J28" s="31">
        <f>'Data Sheet'!J63/'Data Sheet'!J$66</f>
      </c>
      <c r="K28" s="195">
        <f>'Data Sheet'!K63/'Data Sheet'!K$66</f>
      </c>
    </row>
    <row r="29" spans="1:11">
      <c r="A29" s="420" t="s">
        <v>24</v>
      </c>
      <c r="B29" s="421">
        <f>'Data Sheet'!B64/'Data Sheet'!B$66</f>
      </c>
      <c r="C29" s="421">
        <f>'Data Sheet'!C64/'Data Sheet'!C$66</f>
      </c>
      <c r="D29" s="421">
        <f>'Data Sheet'!D64/'Data Sheet'!D$66</f>
      </c>
      <c r="E29" s="421">
        <f>'Data Sheet'!E64/'Data Sheet'!E$66</f>
      </c>
      <c r="F29" s="421">
        <f>'Data Sheet'!F64/'Data Sheet'!F$66</f>
      </c>
      <c r="G29" s="421">
        <f>'Data Sheet'!G64/'Data Sheet'!G$66</f>
      </c>
      <c r="H29" s="421">
        <f>'Data Sheet'!H64/'Data Sheet'!H$66</f>
      </c>
      <c r="I29" s="421">
        <f>'Data Sheet'!I64/'Data Sheet'!I$66</f>
      </c>
      <c r="J29" s="421">
        <f>'Data Sheet'!J64/'Data Sheet'!J$66</f>
      </c>
      <c r="K29" s="422">
        <f>'Data Sheet'!K64/'Data Sheet'!K$66</f>
      </c>
    </row>
    <row r="30" spans="1:11">
      <c r="A30" s="194" t="s">
        <v>67</v>
      </c>
      <c r="B30" s="31">
        <f>'Data Sheet'!B65/'Data Sheet'!B$66</f>
      </c>
      <c r="C30" s="31">
        <f>'Data Sheet'!C65/'Data Sheet'!C$66</f>
      </c>
      <c r="D30" s="31">
        <f>'Data Sheet'!D65/'Data Sheet'!D$66</f>
      </c>
      <c r="E30" s="31">
        <f>'Data Sheet'!E65/'Data Sheet'!E$66</f>
      </c>
      <c r="F30" s="31">
        <f>'Data Sheet'!F65/'Data Sheet'!F$66</f>
      </c>
      <c r="G30" s="31">
        <f>'Data Sheet'!G65/'Data Sheet'!G$66</f>
      </c>
      <c r="H30" s="31">
        <f>'Data Sheet'!H65/'Data Sheet'!H$66</f>
      </c>
      <c r="I30" s="31">
        <f>'Data Sheet'!I65/'Data Sheet'!I$66</f>
      </c>
      <c r="J30" s="31">
        <f>'Data Sheet'!J65/'Data Sheet'!J$66</f>
      </c>
      <c r="K30" s="195">
        <f>'Data Sheet'!K65/'Data Sheet'!K$66</f>
      </c>
    </row>
    <row r="31" spans="1:11">
      <c r="A31" s="429" t="s">
        <v>170</v>
      </c>
      <c r="B31" s="430">
        <v>1</v>
      </c>
      <c r="C31" s="430">
        <v>1</v>
      </c>
      <c r="D31" s="430">
        <v>1</v>
      </c>
      <c r="E31" s="430">
        <v>1</v>
      </c>
      <c r="F31" s="430">
        <v>1</v>
      </c>
      <c r="G31" s="430">
        <v>1</v>
      </c>
      <c r="H31" s="430">
        <v>1</v>
      </c>
      <c r="I31" s="430">
        <v>1</v>
      </c>
      <c r="J31" s="430">
        <v>1</v>
      </c>
      <c r="K31" s="431">
        <v>1</v>
      </c>
    </row>
    <row r="32" spans="1:11">
      <c r="A32" s="194" t="s">
        <v>72</v>
      </c>
      <c r="B32" s="31">
        <f>'Data Sheet'!B67/'Data Sheet'!B$66</f>
      </c>
      <c r="C32" s="31">
        <f>'Data Sheet'!C67/'Data Sheet'!C$66</f>
      </c>
      <c r="D32" s="31">
        <f>'Data Sheet'!D67/'Data Sheet'!D$66</f>
      </c>
      <c r="E32" s="31">
        <f>'Data Sheet'!E67/'Data Sheet'!E$66</f>
      </c>
      <c r="F32" s="31">
        <f>'Data Sheet'!F67/'Data Sheet'!F$66</f>
      </c>
      <c r="G32" s="31">
        <f>'Data Sheet'!G67/'Data Sheet'!G$66</f>
      </c>
      <c r="H32" s="31">
        <f>'Data Sheet'!H67/'Data Sheet'!H$66</f>
      </c>
      <c r="I32" s="31">
        <f>'Data Sheet'!I67/'Data Sheet'!I$66</f>
      </c>
      <c r="J32" s="31">
        <f>'Data Sheet'!J67/'Data Sheet'!J$66</f>
      </c>
      <c r="K32" s="195">
        <f>'Data Sheet'!K67/'Data Sheet'!K$66</f>
      </c>
    </row>
    <row r="33" spans="1:11">
      <c r="A33" s="420" t="s">
        <v>40</v>
      </c>
      <c r="B33" s="421">
        <f>'Data Sheet'!B68/'Data Sheet'!B$66</f>
      </c>
      <c r="C33" s="421">
        <f>'Data Sheet'!C68/'Data Sheet'!C$66</f>
      </c>
      <c r="D33" s="421">
        <f>'Data Sheet'!D68/'Data Sheet'!D$66</f>
      </c>
      <c r="E33" s="421">
        <f>'Data Sheet'!E68/'Data Sheet'!E$66</f>
      </c>
      <c r="F33" s="421">
        <f>'Data Sheet'!F68/'Data Sheet'!F$66</f>
      </c>
      <c r="G33" s="421">
        <f>'Data Sheet'!G68/'Data Sheet'!G$66</f>
      </c>
      <c r="H33" s="421">
        <f>'Data Sheet'!H68/'Data Sheet'!H$66</f>
      </c>
      <c r="I33" s="421">
        <f>'Data Sheet'!I68/'Data Sheet'!I$66</f>
      </c>
      <c r="J33" s="421">
        <f>'Data Sheet'!J68/'Data Sheet'!J$66</f>
      </c>
      <c r="K33" s="422">
        <f>'Data Sheet'!K68/'Data Sheet'!K$66</f>
      </c>
    </row>
    <row r="34" spans="1:11">
      <c r="A34" s="194" t="s">
        <v>81</v>
      </c>
      <c r="B34" s="31">
        <f>'Data Sheet'!B69/'Data Sheet'!B$66</f>
      </c>
      <c r="C34" s="31">
        <f>'Data Sheet'!C69/'Data Sheet'!C$66</f>
      </c>
      <c r="D34" s="31">
        <f>'Data Sheet'!D69/'Data Sheet'!D$66</f>
      </c>
      <c r="E34" s="31">
        <f>'Data Sheet'!E69/'Data Sheet'!E$66</f>
      </c>
      <c r="F34" s="31">
        <f>'Data Sheet'!F69/'Data Sheet'!F$66</f>
      </c>
      <c r="G34" s="31">
        <f>'Data Sheet'!G69/'Data Sheet'!G$66</f>
      </c>
      <c r="H34" s="31">
        <f>'Data Sheet'!H69/'Data Sheet'!H$66</f>
      </c>
      <c r="I34" s="31">
        <f>'Data Sheet'!I69/'Data Sheet'!I$66</f>
      </c>
      <c r="J34" s="31">
        <f>'Data Sheet'!J69/'Data Sheet'!J$66</f>
      </c>
      <c r="K34" s="195">
        <f>'Data Sheet'!K69/'Data Sheet'!K$66</f>
      </c>
    </row>
    <row r="35" spans="1:11" ht="13.5" thickBot="1">
      <c r="A35" s="196"/>
      <c r="B35" s="197"/>
      <c r="C35" s="197"/>
      <c r="D35" s="197"/>
      <c r="E35" s="197"/>
      <c r="F35" s="197"/>
      <c r="G35" s="197"/>
      <c r="H35" s="197"/>
      <c r="I35" s="197"/>
      <c r="J35" s="197"/>
      <c r="K35" s="198"/>
    </row>
  </sheetData>
  <mergeCells count="2">
    <mergeCell ref="A1:K1"/>
    <mergeCell ref="A20:K20"/>
  </mergeCells>
  <conditionalFormatting sqref="A3:K34">
    <cfRule type="cellIs" dxfId="12" priority="1" operator="lessThan">
      <formula>0</formula>
    </cfRule>
  </conditionalFormatting>
  <pageMargins left="0.7" right="0.7" top="0.75" bottom="0.75" header="0.3" footer="0.3"/>
  <legacyDrawing r:id="rId1"/>
  <extLst>
    <ext xmlns:x14="http://schemas.microsoft.com/office/spreadsheetml/2009/9/main" uri="{05C60535-1F16-4fd2-B633-F4F36F0B64E0}">
      <x14:sparklineGroups xmlns:xm="http://schemas.microsoft.com/office/excel/2006/main">
        <x14:sparklineGroup type="column" displayEmptyCellsAs="gap" xr2:uid="{00000000-0003-0000-0800-000002000000}">
          <x14:colorSeries rgb="FF376092"/>
          <x14:colorNegative rgb="FFD00000"/>
          <x14:colorAxis rgb="FF000000"/>
          <x14:colorMarkers rgb="FFD00000"/>
          <x14:colorFirst rgb="FFD00000"/>
          <x14:colorLast rgb="FFD00000"/>
          <x14:colorHigh rgb="FFD00000"/>
          <x14:colorLow rgb="FFD00000"/>
          <x14:sparklines>
            <x14:sparkline>
              <xm:f>'Common Size Analysis'!B23:K23</xm:f>
              <xm:sqref>L23</xm:sqref>
            </x14:sparkline>
          </x14:sparklines>
        </x14:sparklineGroup>
        <x14:sparklineGroup type="column" displayEmptyCellsAs="gap" xr2:uid="{00000000-0003-0000-0800-000003000000}">
          <x14:colorSeries rgb="FF376092"/>
          <x14:colorNegative rgb="FFD00000"/>
          <x14:colorAxis rgb="FF000000"/>
          <x14:colorMarkers rgb="FFD00000"/>
          <x14:colorFirst rgb="FFD00000"/>
          <x14:colorLast rgb="FFD00000"/>
          <x14:colorHigh rgb="FFD00000"/>
          <x14:colorLow rgb="FFD00000"/>
          <x14:sparklines>
            <x14:sparkline>
              <xm:f>'Common Size Analysis'!B8:K8</xm:f>
              <xm:sqref>L8</xm:sqref>
            </x14:sparkline>
          </x14:sparklines>
        </x14:sparklineGroup>
        <x14:sparklineGroup type="column" displayEmptyCellsAs="gap" xr2:uid="{00000000-0003-0000-0800-000004000000}">
          <x14:colorSeries rgb="FF376092"/>
          <x14:colorNegative rgb="FFD00000"/>
          <x14:colorAxis rgb="FF000000"/>
          <x14:colorMarkers rgb="FFD00000"/>
          <x14:colorFirst rgb="FFD00000"/>
          <x14:colorLast rgb="FFD00000"/>
          <x14:colorHigh rgb="FFD00000"/>
          <x14:colorLow rgb="FFD00000"/>
          <x14:sparklines>
            <x14:sparkline>
              <xm:f>'Common Size Analysis'!B18:K18</xm:f>
              <xm:sqref>L18</xm:sqref>
            </x14:sparkline>
          </x14:sparklines>
        </x14:sparklineGroup>
        <x14:sparklineGroup type="column" displayEmptyCellsAs="gap" xr2:uid="{00000000-0003-0000-0800-000005000000}">
          <x14:colorSeries rgb="FF376092"/>
          <x14:colorNegative rgb="FFD00000"/>
          <x14:colorAxis rgb="FF000000"/>
          <x14:colorMarkers rgb="FFD00000"/>
          <x14:colorFirst rgb="FFD00000"/>
          <x14:colorLast rgb="FFD00000"/>
          <x14:colorHigh rgb="FFD00000"/>
          <x14:colorLow rgb="FFD00000"/>
          <x14:sparklines>
            <x14:sparkline>
              <xm:f>'Common Size Analysis'!B17:K17</xm:f>
              <xm:sqref>L17</xm:sqref>
            </x14:sparkline>
          </x14:sparklines>
        </x14:sparklineGroup>
        <x14:sparklineGroup type="column" displayEmptyCellsAs="gap" xr2:uid="{00000000-0003-0000-0800-000006000000}">
          <x14:colorSeries rgb="FF376092"/>
          <x14:colorNegative rgb="FFD00000"/>
          <x14:colorAxis rgb="FF000000"/>
          <x14:colorMarkers rgb="FFD00000"/>
          <x14:colorFirst rgb="FFD00000"/>
          <x14:colorLast rgb="FFD00000"/>
          <x14:colorHigh rgb="FFD00000"/>
          <x14:colorLow rgb="FFD00000"/>
          <x14:sparklines>
            <x14:sparkline>
              <xm:f>'Common Size Analysis'!B15:K15</xm:f>
              <xm:sqref>L15</xm:sqref>
            </x14:sparkline>
          </x14:sparklines>
        </x14:sparklineGroup>
        <x14:sparklineGroup type="column" displayEmptyCellsAs="gap" low="1" xr2:uid="{00000000-0003-0000-0800-000007000000}">
          <x14:colorSeries rgb="FF376092"/>
          <x14:colorNegative rgb="FFD00000"/>
          <x14:colorAxis rgb="FF000000"/>
          <x14:colorMarkers rgb="FFD00000"/>
          <x14:colorFirst rgb="FFD00000"/>
          <x14:colorLast rgb="FFD00000"/>
          <x14:colorHigh rgb="FFD00000"/>
          <x14:colorLow rgb="FFD00000"/>
          <x14:sparklines>
            <x14:sparkline>
              <xm:f>'Common Size Analysis'!B4:K4</xm:f>
              <xm:sqref>L4</xm:sqref>
            </x14:sparkline>
          </x14:sparklines>
        </x14:sparklineGroup>
        <x14:sparklineGroup type="column" displayEmptyCellsAs="gap" low="1" xr2:uid="{00000000-0003-0000-0800-000008000000}">
          <x14:colorSeries rgb="FF376092"/>
          <x14:colorNegative rgb="FFD00000"/>
          <x14:colorAxis rgb="FF000000"/>
          <x14:colorMarkers rgb="FFD00000"/>
          <x14:colorFirst rgb="FFD00000"/>
          <x14:colorLast rgb="FFD00000"/>
          <x14:colorHigh rgb="FFD00000"/>
          <x14:colorLow rgb="FFD00000"/>
          <x14:sparklines>
            <x14:sparkline>
              <xm:f>'Common Size Analysis'!B11:K11</xm:f>
              <xm:sqref>L11</xm:sqref>
            </x14:sparkline>
          </x14:sparklines>
        </x14:sparklineGroup>
      </x14:sparklineGroup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
    <pageSetUpPr fitToPage="1"/>
  </sheetPr>
  <dimension ref="A1:R65"/>
  <sheetViews>
    <sheetView topLeftCell="A7" zoomScaleSheetLayoutView="100" workbookViewId="0">
      <selection activeCell="N25" sqref="N25"/>
    </sheetView>
  </sheetViews>
  <sheetFormatPr defaultColWidth="9.42578125" defaultRowHeight="12.75"/>
  <cols>
    <col min="1" max="1" width="27.42578125" style="138" bestFit="1" customWidth="1"/>
    <col min="2" max="2" width="9.7109375" style="138" bestFit="1" customWidth="1"/>
    <col min="3" max="3" width="10.140625" style="138" bestFit="1" customWidth="1"/>
    <col min="4" max="7" width="9.28515625" style="138" bestFit="1" customWidth="1"/>
    <col min="8" max="8" width="11.42578125" style="138" bestFit="1" customWidth="1"/>
    <col min="9" max="11" width="10.28515625" style="138" bestFit="1" customWidth="1"/>
    <col min="12" max="12" width="9.28515625" style="138" bestFit="1" customWidth="1"/>
    <col min="13" max="13" width="4.7109375" style="138" bestFit="1" customWidth="1"/>
    <col min="14" max="16" width="12" style="138" bestFit="1" customWidth="1"/>
    <col min="17" max="16384" width="9.42578125" style="138"/>
  </cols>
  <sheetData>
    <row r="1" spans="1:16" ht="19.5">
      <c r="A1" s="675" t="s">
        <v>235</v>
      </c>
      <c r="B1" s="676"/>
      <c r="C1" s="676"/>
      <c r="D1" s="676"/>
      <c r="E1" s="676"/>
      <c r="F1" s="676"/>
      <c r="G1" s="676"/>
      <c r="H1" s="676"/>
      <c r="I1" s="676"/>
      <c r="J1" s="676"/>
      <c r="K1" s="676"/>
      <c r="L1" s="677"/>
    </row>
    <row r="2" spans="1:16" s="139" customFormat="1" ht="13.5" thickBot="1">
      <c r="A2" s="678" t="str">
        <f>'Data Sheet'!B1</f>
      </c>
      <c r="B2" s="679"/>
      <c r="C2" s="679"/>
      <c r="D2" s="679"/>
      <c r="E2" s="679"/>
      <c r="F2" s="679"/>
      <c r="G2" s="679"/>
      <c r="H2" s="679"/>
      <c r="I2" s="679"/>
      <c r="J2" s="679"/>
      <c r="K2" s="679"/>
      <c r="L2" s="680"/>
    </row>
    <row r="3" spans="1:16" s="139" customFormat="1">
      <c r="A3" s="140" t="s">
        <v>178</v>
      </c>
      <c r="B3" s="141">
        <f>'Data Sheet'!B16</f>
      </c>
      <c r="C3" s="141">
        <f>'Data Sheet'!C16</f>
      </c>
      <c r="D3" s="141">
        <f>'Data Sheet'!D16</f>
      </c>
      <c r="E3" s="141">
        <f>'Data Sheet'!E16</f>
      </c>
      <c r="F3" s="141">
        <f>'Data Sheet'!F16</f>
      </c>
      <c r="G3" s="141">
        <f>'Data Sheet'!G16</f>
      </c>
      <c r="H3" s="141">
        <f>'Data Sheet'!H16</f>
      </c>
      <c r="I3" s="141">
        <f>'Data Sheet'!I16</f>
      </c>
      <c r="J3" s="141">
        <f>'Data Sheet'!J16</f>
      </c>
      <c r="K3" s="141">
        <f>'Data Sheet'!K16</f>
      </c>
      <c r="L3" s="142" t="s">
        <v>3</v>
      </c>
    </row>
    <row r="4" spans="1:16" s="139" customFormat="1">
      <c r="A4" s="143" t="s">
        <v>4</v>
      </c>
      <c r="B4" s="144">
        <f>'Data Sheet'!B17</f>
      </c>
      <c r="C4" s="144">
        <f>'Data Sheet'!C17</f>
      </c>
      <c r="D4" s="144">
        <f>'Data Sheet'!D17</f>
      </c>
      <c r="E4" s="144">
        <f>'Data Sheet'!E17</f>
      </c>
      <c r="F4" s="144">
        <f>'Data Sheet'!F17</f>
      </c>
      <c r="G4" s="144">
        <f>'Data Sheet'!G17</f>
      </c>
      <c r="H4" s="144">
        <f>'Data Sheet'!H17</f>
      </c>
      <c r="I4" s="144">
        <f>'Data Sheet'!I17</f>
      </c>
      <c r="J4" s="144">
        <f>'Data Sheet'!J17</f>
      </c>
      <c r="K4" s="144">
        <f>'Data Sheet'!K17</f>
      </c>
      <c r="L4" s="145">
        <f>SUM(Quarters!H4:K4)</f>
      </c>
    </row>
    <row r="5" spans="1:16" s="139" customFormat="1">
      <c r="A5" s="146" t="s">
        <v>91</v>
      </c>
      <c r="B5" s="147"/>
      <c r="C5" s="148">
        <f>C4/B4-1</f>
      </c>
      <c r="D5" s="148">
        <f t="shared" ref="D5:K5" si="0">D4/C4-1</f>
      </c>
      <c r="E5" s="148">
        <f t="shared" si="0"/>
      </c>
      <c r="F5" s="148">
        <f t="shared" si="0"/>
      </c>
      <c r="G5" s="148">
        <f t="shared" si="0"/>
      </c>
      <c r="H5" s="148">
        <f t="shared" si="0"/>
      </c>
      <c r="I5" s="148">
        <f t="shared" si="0"/>
      </c>
      <c r="J5" s="148">
        <f t="shared" si="0"/>
      </c>
      <c r="K5" s="148">
        <f t="shared" si="0"/>
      </c>
      <c r="L5" s="149"/>
    </row>
    <row r="6" spans="1:16">
      <c r="A6" s="150" t="s">
        <v>5</v>
      </c>
      <c r="B6" s="151">
        <f>SUM('Data Sheet'!B18,'Data Sheet'!B20:B24, -1*'Data Sheet'!B19)</f>
      </c>
      <c r="C6" s="151">
        <f>SUM('Data Sheet'!C18,'Data Sheet'!C20:C24, -1*'Data Sheet'!C19)</f>
      </c>
      <c r="D6" s="151">
        <f>SUM('Data Sheet'!D18,'Data Sheet'!D20:D24, -1*'Data Sheet'!D19)</f>
      </c>
      <c r="E6" s="151">
        <f>SUM('Data Sheet'!E18,'Data Sheet'!E20:E24, -1*'Data Sheet'!E19)</f>
      </c>
      <c r="F6" s="151">
        <f>SUM('Data Sheet'!F18,'Data Sheet'!F20:F24, -1*'Data Sheet'!F19)</f>
      </c>
      <c r="G6" s="151">
        <f>SUM('Data Sheet'!G18,'Data Sheet'!G20:G24, -1*'Data Sheet'!G19)</f>
      </c>
      <c r="H6" s="151">
        <f>SUM('Data Sheet'!H18,'Data Sheet'!H20:H24, -1*'Data Sheet'!H19)</f>
      </c>
      <c r="I6" s="151">
        <f>SUM('Data Sheet'!I18,'Data Sheet'!I20:I24, -1*'Data Sheet'!I19)</f>
      </c>
      <c r="J6" s="151">
        <f>SUM('Data Sheet'!J18,'Data Sheet'!J20:J24, -1*'Data Sheet'!J19)</f>
      </c>
      <c r="K6" s="151">
        <f>SUM('Data Sheet'!K18,'Data Sheet'!K20:K24, -1*'Data Sheet'!K19)</f>
      </c>
      <c r="L6" s="152">
        <f>SUM(Quarters!H6:K6)</f>
      </c>
      <c r="N6" s="672" t="s">
        <v>103</v>
      </c>
      <c r="O6" s="673"/>
      <c r="P6" s="673"/>
    </row>
    <row r="7" spans="1:16">
      <c r="A7" s="153" t="s">
        <v>101</v>
      </c>
      <c r="B7" s="154">
        <f>'Data Sheet'!B18/'Data Sheet'!B17</f>
      </c>
      <c r="C7" s="154">
        <f>'Data Sheet'!C18/'Data Sheet'!C17</f>
      </c>
      <c r="D7" s="154">
        <f>'Data Sheet'!D18/'Data Sheet'!D17</f>
      </c>
      <c r="E7" s="154">
        <f>'Data Sheet'!E18/'Data Sheet'!E17</f>
      </c>
      <c r="F7" s="154">
        <f>'Data Sheet'!F18/'Data Sheet'!F17</f>
      </c>
      <c r="G7" s="154">
        <f>'Data Sheet'!G18/'Data Sheet'!G17</f>
      </c>
      <c r="H7" s="154">
        <f>'Data Sheet'!H18/'Data Sheet'!H17</f>
      </c>
      <c r="I7" s="154">
        <f>'Data Sheet'!I18/'Data Sheet'!I17</f>
      </c>
      <c r="J7" s="154">
        <f>'Data Sheet'!J18/'Data Sheet'!J17</f>
      </c>
      <c r="K7" s="154">
        <f>'Data Sheet'!K18/'Data Sheet'!K17</f>
      </c>
      <c r="L7" s="155"/>
      <c r="N7" s="673"/>
      <c r="O7" s="673"/>
      <c r="P7" s="673"/>
    </row>
    <row r="8" spans="1:16">
      <c r="A8" s="153" t="s">
        <v>76</v>
      </c>
      <c r="B8" s="154">
        <f>'Data Sheet'!B20/'Data Sheet'!B17</f>
      </c>
      <c r="C8" s="154">
        <f>'Data Sheet'!C20/'Data Sheet'!C17</f>
      </c>
      <c r="D8" s="154">
        <f>'Data Sheet'!D20/'Data Sheet'!D17</f>
      </c>
      <c r="E8" s="154">
        <f>'Data Sheet'!E20/'Data Sheet'!E17</f>
      </c>
      <c r="F8" s="154">
        <f>'Data Sheet'!F20/'Data Sheet'!F17</f>
      </c>
      <c r="G8" s="154">
        <f>'Data Sheet'!G20/'Data Sheet'!G17</f>
      </c>
      <c r="H8" s="154">
        <f>'Data Sheet'!H20/'Data Sheet'!H17</f>
      </c>
      <c r="I8" s="154">
        <f>'Data Sheet'!I20/'Data Sheet'!I17</f>
      </c>
      <c r="J8" s="154">
        <f>'Data Sheet'!J20/'Data Sheet'!J17</f>
      </c>
      <c r="K8" s="154">
        <f>'Data Sheet'!K20/'Data Sheet'!K17</f>
      </c>
      <c r="L8" s="155"/>
      <c r="N8" s="673"/>
      <c r="O8" s="673"/>
      <c r="P8" s="673"/>
    </row>
    <row r="9" spans="1:16">
      <c r="A9" s="153" t="s">
        <v>77</v>
      </c>
      <c r="B9" s="154">
        <f>'Data Sheet'!B21/'Data Sheet'!B17</f>
      </c>
      <c r="C9" s="154">
        <f>'Data Sheet'!C21/'Data Sheet'!C17</f>
      </c>
      <c r="D9" s="154">
        <f>'Data Sheet'!D21/'Data Sheet'!D17</f>
      </c>
      <c r="E9" s="154">
        <f>'Data Sheet'!E21/'Data Sheet'!E17</f>
      </c>
      <c r="F9" s="154">
        <f>'Data Sheet'!F21/'Data Sheet'!F17</f>
      </c>
      <c r="G9" s="154">
        <f>'Data Sheet'!G21/'Data Sheet'!G17</f>
      </c>
      <c r="H9" s="154">
        <f>'Data Sheet'!H21/'Data Sheet'!H17</f>
      </c>
      <c r="I9" s="154">
        <f>'Data Sheet'!I21/'Data Sheet'!I17</f>
      </c>
      <c r="J9" s="154">
        <f>'Data Sheet'!J21/'Data Sheet'!J17</f>
      </c>
      <c r="K9" s="154">
        <f>'Data Sheet'!K21/'Data Sheet'!K17</f>
      </c>
      <c r="L9" s="155"/>
      <c r="N9" s="673"/>
      <c r="O9" s="673"/>
      <c r="P9" s="673"/>
    </row>
    <row r="10" spans="1:16">
      <c r="A10" s="153" t="s">
        <v>78</v>
      </c>
      <c r="B10" s="154">
        <f>'Data Sheet'!B22/'Data Sheet'!B17</f>
      </c>
      <c r="C10" s="154">
        <f>'Data Sheet'!C22/'Data Sheet'!C17</f>
      </c>
      <c r="D10" s="154">
        <f>'Data Sheet'!D22/'Data Sheet'!D17</f>
      </c>
      <c r="E10" s="154">
        <f>'Data Sheet'!E22/'Data Sheet'!E17</f>
      </c>
      <c r="F10" s="154">
        <f>'Data Sheet'!F22/'Data Sheet'!F17</f>
      </c>
      <c r="G10" s="154">
        <f>'Data Sheet'!G22/'Data Sheet'!G17</f>
      </c>
      <c r="H10" s="154">
        <f>'Data Sheet'!H22/'Data Sheet'!H17</f>
      </c>
      <c r="I10" s="154">
        <f>'Data Sheet'!I22/'Data Sheet'!I17</f>
      </c>
      <c r="J10" s="154">
        <f>'Data Sheet'!J22/'Data Sheet'!J17</f>
      </c>
      <c r="K10" s="154">
        <f>'Data Sheet'!K22/'Data Sheet'!K17</f>
      </c>
      <c r="L10" s="155"/>
      <c r="N10" s="673"/>
      <c r="O10" s="673"/>
      <c r="P10" s="673"/>
    </row>
    <row r="11" spans="1:16">
      <c r="A11" s="153" t="s">
        <v>100</v>
      </c>
      <c r="B11" s="154">
        <f>'Data Sheet'!B23/'Data Sheet'!B17</f>
      </c>
      <c r="C11" s="154">
        <f>'Data Sheet'!C23/'Data Sheet'!C17</f>
      </c>
      <c r="D11" s="154">
        <f>'Data Sheet'!D23/'Data Sheet'!D17</f>
      </c>
      <c r="E11" s="154">
        <f>'Data Sheet'!E23/'Data Sheet'!E17</f>
      </c>
      <c r="F11" s="154">
        <f>'Data Sheet'!F23/'Data Sheet'!F17</f>
      </c>
      <c r="G11" s="154">
        <f>'Data Sheet'!G23/'Data Sheet'!G17</f>
      </c>
      <c r="H11" s="154">
        <f>'Data Sheet'!H23/'Data Sheet'!H17</f>
      </c>
      <c r="I11" s="154">
        <f>'Data Sheet'!I23/'Data Sheet'!I17</f>
      </c>
      <c r="J11" s="154">
        <f>'Data Sheet'!J23/'Data Sheet'!J17</f>
      </c>
      <c r="K11" s="154">
        <f>'Data Sheet'!K23/'Data Sheet'!K17</f>
      </c>
      <c r="L11" s="155"/>
      <c r="N11" s="673"/>
      <c r="O11" s="673"/>
      <c r="P11" s="673"/>
    </row>
    <row r="12" spans="1:16" s="139" customFormat="1">
      <c r="A12" s="79" t="s">
        <v>6</v>
      </c>
      <c r="B12" s="23">
        <f>B4-B6</f>
      </c>
      <c r="C12" s="23">
        <f t="shared" ref="C12:L12" si="1">C4-C6</f>
      </c>
      <c r="D12" s="23">
        <f t="shared" si="1"/>
      </c>
      <c r="E12" s="23">
        <f t="shared" si="1"/>
      </c>
      <c r="F12" s="23">
        <f t="shared" si="1"/>
      </c>
      <c r="G12" s="23">
        <f t="shared" si="1"/>
      </c>
      <c r="H12" s="23">
        <f t="shared" si="1"/>
      </c>
      <c r="I12" s="23">
        <f t="shared" si="1"/>
      </c>
      <c r="J12" s="23">
        <f t="shared" si="1"/>
      </c>
      <c r="K12" s="23">
        <f t="shared" si="1"/>
      </c>
      <c r="L12" s="278">
        <f t="shared" si="1"/>
      </c>
    </row>
    <row r="13" spans="1:16" s="139" customFormat="1">
      <c r="A13" s="275" t="s">
        <v>89</v>
      </c>
      <c r="B13" s="276">
        <f t="shared" ref="B13:L13" si="2">B12/B4</f>
      </c>
      <c r="C13" s="276">
        <f t="shared" si="2"/>
      </c>
      <c r="D13" s="276">
        <f t="shared" si="2"/>
      </c>
      <c r="E13" s="276">
        <f t="shared" si="2"/>
      </c>
      <c r="F13" s="276">
        <f t="shared" si="2"/>
      </c>
      <c r="G13" s="276">
        <f t="shared" si="2"/>
      </c>
      <c r="H13" s="276">
        <f t="shared" si="2"/>
      </c>
      <c r="I13" s="276">
        <f t="shared" si="2"/>
      </c>
      <c r="J13" s="276">
        <f t="shared" si="2"/>
      </c>
      <c r="K13" s="276">
        <f t="shared" si="2"/>
      </c>
      <c r="L13" s="277">
        <f t="shared" si="2"/>
      </c>
    </row>
    <row r="14" spans="1:16">
      <c r="A14" s="150" t="s">
        <v>7</v>
      </c>
      <c r="B14" s="151">
        <f>'Data Sheet'!B25</f>
      </c>
      <c r="C14" s="151">
        <f>'Data Sheet'!C25</f>
      </c>
      <c r="D14" s="151">
        <f>'Data Sheet'!D25</f>
      </c>
      <c r="E14" s="151">
        <f>'Data Sheet'!E25</f>
      </c>
      <c r="F14" s="151">
        <f>'Data Sheet'!F25</f>
      </c>
      <c r="G14" s="151">
        <f>'Data Sheet'!G25</f>
      </c>
      <c r="H14" s="151">
        <f>'Data Sheet'!H25</f>
      </c>
      <c r="I14" s="151">
        <f>'Data Sheet'!I25</f>
      </c>
      <c r="J14" s="151">
        <f>'Data Sheet'!J25</f>
      </c>
      <c r="K14" s="151">
        <f>'Data Sheet'!K25</f>
      </c>
      <c r="L14" s="152">
        <f>SUM(Quarters!H8:K8)</f>
      </c>
    </row>
    <row r="15" spans="1:16">
      <c r="A15" s="146" t="s">
        <v>183</v>
      </c>
      <c r="B15" s="156">
        <f>B14/B4</f>
      </c>
      <c r="C15" s="156">
        <f t="shared" ref="C15:L15" si="3">C14/C4</f>
      </c>
      <c r="D15" s="156">
        <f t="shared" si="3"/>
      </c>
      <c r="E15" s="156">
        <f t="shared" si="3"/>
      </c>
      <c r="F15" s="156">
        <f t="shared" si="3"/>
      </c>
      <c r="G15" s="156">
        <f t="shared" si="3"/>
      </c>
      <c r="H15" s="156">
        <f t="shared" si="3"/>
      </c>
      <c r="I15" s="156">
        <f t="shared" si="3"/>
      </c>
      <c r="J15" s="156">
        <f t="shared" si="3"/>
      </c>
      <c r="K15" s="156">
        <f t="shared" si="3"/>
      </c>
      <c r="L15" s="157">
        <f t="shared" si="3"/>
      </c>
    </row>
    <row r="16" spans="1:16">
      <c r="A16" s="150" t="s">
        <v>8</v>
      </c>
      <c r="B16" s="151">
        <f>'Data Sheet'!B26</f>
      </c>
      <c r="C16" s="151">
        <f>'Data Sheet'!C26</f>
      </c>
      <c r="D16" s="151">
        <f>'Data Sheet'!D26</f>
      </c>
      <c r="E16" s="151">
        <f>'Data Sheet'!E26</f>
      </c>
      <c r="F16" s="151">
        <f>'Data Sheet'!F26</f>
      </c>
      <c r="G16" s="151">
        <f>'Data Sheet'!G26</f>
      </c>
      <c r="H16" s="151">
        <f>'Data Sheet'!H26</f>
      </c>
      <c r="I16" s="151">
        <f>'Data Sheet'!I26</f>
      </c>
      <c r="J16" s="151">
        <f>'Data Sheet'!J26</f>
      </c>
      <c r="K16" s="151">
        <f>'Data Sheet'!K26</f>
      </c>
      <c r="L16" s="152">
        <f>SUM(Quarters!H9:K9)</f>
      </c>
    </row>
    <row r="17" spans="1:16">
      <c r="A17" s="150" t="s">
        <v>9</v>
      </c>
      <c r="B17" s="151">
        <f>'Data Sheet'!B27</f>
      </c>
      <c r="C17" s="151">
        <f>'Data Sheet'!C27</f>
      </c>
      <c r="D17" s="151">
        <f>'Data Sheet'!D27</f>
      </c>
      <c r="E17" s="151">
        <f>'Data Sheet'!E27</f>
      </c>
      <c r="F17" s="151">
        <f>'Data Sheet'!F27</f>
      </c>
      <c r="G17" s="151">
        <f>'Data Sheet'!G27</f>
      </c>
      <c r="H17" s="151">
        <f>'Data Sheet'!H27</f>
      </c>
      <c r="I17" s="151">
        <f>'Data Sheet'!I27</f>
      </c>
      <c r="J17" s="151">
        <f>'Data Sheet'!J27</f>
      </c>
      <c r="K17" s="151">
        <f>'Data Sheet'!K27</f>
      </c>
      <c r="L17" s="152">
        <f>SUM(Quarters!H10:K10)</f>
      </c>
    </row>
    <row r="18" spans="1:16">
      <c r="A18" s="146" t="s">
        <v>98</v>
      </c>
      <c r="B18" s="158">
        <f>(B19+B17)/B17</f>
      </c>
      <c r="C18" s="158">
        <f t="shared" ref="C18:L18" si="4">(C19+C17)/C17</f>
      </c>
      <c r="D18" s="158">
        <f t="shared" si="4"/>
      </c>
      <c r="E18" s="158">
        <f t="shared" si="4"/>
      </c>
      <c r="F18" s="158">
        <f t="shared" si="4"/>
      </c>
      <c r="G18" s="158">
        <f t="shared" si="4"/>
      </c>
      <c r="H18" s="158">
        <f t="shared" si="4"/>
      </c>
      <c r="I18" s="158">
        <f t="shared" si="4"/>
      </c>
      <c r="J18" s="158">
        <f t="shared" si="4"/>
      </c>
      <c r="K18" s="158">
        <f t="shared" si="4"/>
      </c>
      <c r="L18" s="159">
        <f t="shared" si="4"/>
      </c>
    </row>
    <row r="19" spans="1:16">
      <c r="A19" s="150" t="s">
        <v>102</v>
      </c>
      <c r="B19" s="151">
        <f>B12+B14-B16-B17</f>
      </c>
      <c r="C19" s="151">
        <f t="shared" ref="C19:L19" si="5">C12+C14-C16-C17</f>
      </c>
      <c r="D19" s="151">
        <f t="shared" si="5"/>
      </c>
      <c r="E19" s="151">
        <f t="shared" si="5"/>
      </c>
      <c r="F19" s="151">
        <f t="shared" si="5"/>
      </c>
      <c r="G19" s="151">
        <f t="shared" si="5"/>
      </c>
      <c r="H19" s="151">
        <f t="shared" si="5"/>
      </c>
      <c r="I19" s="151">
        <f t="shared" si="5"/>
      </c>
      <c r="J19" s="151">
        <f t="shared" si="5"/>
      </c>
      <c r="K19" s="151">
        <f t="shared" si="5"/>
      </c>
      <c r="L19" s="152">
        <f t="shared" si="5"/>
      </c>
      <c r="M19" s="139"/>
    </row>
    <row r="20" spans="1:16" s="139" customFormat="1">
      <c r="A20" s="146" t="s">
        <v>91</v>
      </c>
      <c r="B20" s="147"/>
      <c r="C20" s="148">
        <f>C19/B19-1</f>
      </c>
      <c r="D20" s="148">
        <f t="shared" ref="D20" si="6">D19/C19-1</f>
      </c>
      <c r="E20" s="148">
        <f t="shared" ref="E20" si="7">E19/D19-1</f>
      </c>
      <c r="F20" s="148">
        <f t="shared" ref="F20" si="8">F19/E19-1</f>
      </c>
      <c r="G20" s="148">
        <f t="shared" ref="G20" si="9">G19/F19-1</f>
      </c>
      <c r="H20" s="148">
        <f t="shared" ref="H20" si="10">H19/G19-1</f>
      </c>
      <c r="I20" s="148">
        <f t="shared" ref="I20" si="11">I19/H19-1</f>
      </c>
      <c r="J20" s="148">
        <f t="shared" ref="J20" si="12">J19/I19-1</f>
      </c>
      <c r="K20" s="148">
        <f t="shared" ref="K20" si="13">K19/J19-1</f>
      </c>
      <c r="L20" s="149"/>
    </row>
    <row r="21" spans="1:16">
      <c r="A21" s="146" t="s">
        <v>99</v>
      </c>
      <c r="B21" s="148">
        <f t="shared" ref="B21:L21" si="14">B19/B4</f>
      </c>
      <c r="C21" s="148">
        <f t="shared" si="14"/>
      </c>
      <c r="D21" s="148">
        <f t="shared" si="14"/>
      </c>
      <c r="E21" s="148">
        <f t="shared" si="14"/>
      </c>
      <c r="F21" s="148">
        <f t="shared" si="14"/>
      </c>
      <c r="G21" s="148">
        <f t="shared" si="14"/>
      </c>
      <c r="H21" s="148">
        <f t="shared" si="14"/>
      </c>
      <c r="I21" s="148">
        <f t="shared" si="14"/>
      </c>
      <c r="J21" s="148">
        <f t="shared" si="14"/>
      </c>
      <c r="K21" s="148">
        <f t="shared" si="14"/>
      </c>
      <c r="L21" s="149">
        <f t="shared" si="14"/>
      </c>
    </row>
    <row r="22" spans="1:16">
      <c r="A22" s="150" t="s">
        <v>11</v>
      </c>
      <c r="B22" s="151">
        <f>'Data Sheet'!B29</f>
      </c>
      <c r="C22" s="151">
        <f>'Data Sheet'!C29</f>
      </c>
      <c r="D22" s="151">
        <f>'Data Sheet'!D29</f>
      </c>
      <c r="E22" s="151">
        <f>'Data Sheet'!E29</f>
      </c>
      <c r="F22" s="151">
        <f>'Data Sheet'!F29</f>
      </c>
      <c r="G22" s="151">
        <f>'Data Sheet'!G29</f>
      </c>
      <c r="H22" s="151">
        <f>'Data Sheet'!H29</f>
      </c>
      <c r="I22" s="151">
        <f>'Data Sheet'!I29</f>
      </c>
      <c r="J22" s="151">
        <f>'Data Sheet'!J29</f>
      </c>
      <c r="K22" s="151">
        <f>'Data Sheet'!K29</f>
      </c>
      <c r="L22" s="152">
        <f>SUM(Quarters!H14:K14)</f>
      </c>
    </row>
    <row r="23" spans="1:16">
      <c r="A23" s="79" t="s">
        <v>332</v>
      </c>
      <c r="B23" s="280">
        <f t="shared" ref="B23:C23" si="15">B22/B19</f>
      </c>
      <c r="C23" s="280">
        <f t="shared" si="15"/>
      </c>
      <c r="D23" s="280">
        <f>D22/D19</f>
      </c>
      <c r="E23" s="280">
        <f t="shared" ref="E23:G23" si="16">E22/E19</f>
      </c>
      <c r="F23" s="280">
        <f t="shared" si="16"/>
      </c>
      <c r="G23" s="280">
        <f t="shared" si="16"/>
      </c>
      <c r="H23" s="280">
        <f t="shared" ref="H23" si="17">H22/H19</f>
      </c>
      <c r="I23" s="280">
        <f t="shared" ref="I23" si="18">I22/I19</f>
      </c>
      <c r="J23" s="280">
        <f t="shared" ref="J23" si="19">J22/J19</f>
      </c>
      <c r="K23" s="280">
        <f t="shared" ref="K23" si="20">K22/K19</f>
      </c>
      <c r="L23" s="280">
        <f t="shared" ref="L23" si="21">L22/L19</f>
      </c>
    </row>
    <row r="24" spans="1:16" s="139" customFormat="1">
      <c r="A24" s="143" t="s">
        <v>12</v>
      </c>
      <c r="B24" s="144">
        <f>B19-B22</f>
      </c>
      <c r="C24" s="144">
        <f t="shared" ref="C24:L24" si="22">C19-C22</f>
      </c>
      <c r="D24" s="144">
        <f t="shared" si="22"/>
      </c>
      <c r="E24" s="144">
        <f t="shared" si="22"/>
      </c>
      <c r="F24" s="144">
        <f t="shared" si="22"/>
      </c>
      <c r="G24" s="144">
        <f t="shared" si="22"/>
      </c>
      <c r="H24" s="144">
        <f t="shared" si="22"/>
      </c>
      <c r="I24" s="144">
        <f t="shared" si="22"/>
      </c>
      <c r="J24" s="144">
        <f t="shared" si="22"/>
      </c>
      <c r="K24" s="251">
        <f t="shared" si="22"/>
      </c>
      <c r="L24" s="145">
        <f t="shared" si="22"/>
      </c>
      <c r="N24" s="778" t="s">
        <v>768</v>
      </c>
    </row>
    <row r="25" spans="1:16" s="139" customFormat="1">
      <c r="A25" s="146" t="s">
        <v>91</v>
      </c>
      <c r="B25" s="147"/>
      <c r="C25" s="148">
        <f>C24/B24-1</f>
      </c>
      <c r="D25" s="148">
        <f t="shared" ref="D25" si="23">D24/C24-1</f>
      </c>
      <c r="E25" s="148">
        <f t="shared" ref="E25" si="24">E24/D24-1</f>
      </c>
      <c r="F25" s="148">
        <f t="shared" ref="F25" si="25">F24/E24-1</f>
      </c>
      <c r="G25" s="148">
        <f t="shared" ref="G25" si="26">G24/F24-1</f>
      </c>
      <c r="H25" s="148">
        <f t="shared" ref="H25" si="27">H24/G24-1</f>
      </c>
      <c r="I25" s="148">
        <f t="shared" ref="I25" si="28">I24/H24-1</f>
      </c>
      <c r="J25" s="148">
        <f t="shared" ref="J25" si="29">J24/I24-1</f>
      </c>
      <c r="K25" s="148">
        <f t="shared" ref="K25" si="30">K24/J24-1</f>
      </c>
      <c r="L25" s="149"/>
      <c r="N25" s="779">
        <f>AVERAGE(Annual[[#This Row],[Column9]:[Column11]])</f>
      </c>
    </row>
    <row r="26" spans="1:16">
      <c r="A26" s="146" t="s">
        <v>90</v>
      </c>
      <c r="B26" s="148">
        <f t="shared" ref="B26:L26" si="31">B24/B4</f>
      </c>
      <c r="C26" s="148">
        <f t="shared" si="31"/>
      </c>
      <c r="D26" s="148">
        <f t="shared" si="31"/>
      </c>
      <c r="E26" s="148">
        <f t="shared" si="31"/>
      </c>
      <c r="F26" s="148">
        <f t="shared" si="31"/>
      </c>
      <c r="G26" s="148">
        <f t="shared" si="31"/>
      </c>
      <c r="H26" s="148">
        <f t="shared" si="31"/>
      </c>
      <c r="I26" s="148">
        <f t="shared" si="31"/>
      </c>
      <c r="J26" s="148">
        <f t="shared" si="31"/>
      </c>
      <c r="K26" s="148">
        <f t="shared" si="31"/>
      </c>
      <c r="L26" s="149">
        <f t="shared" si="31"/>
      </c>
      <c r="M26" s="139"/>
      <c r="N26" s="6" t="s">
        <v>513</v>
      </c>
      <c r="O26" s="6" t="s">
        <v>514</v>
      </c>
      <c r="P26" s="6" t="s">
        <v>517</v>
      </c>
    </row>
    <row r="27" spans="1:16">
      <c r="A27" s="150" t="s">
        <v>53</v>
      </c>
      <c r="B27" s="160">
        <f>IF('Data Sheet'!B93&gt;0,B24/'Data Sheet'!B93,0)</f>
      </c>
      <c r="C27" s="160">
        <f>IF('Data Sheet'!C93&gt;0,C24/'Data Sheet'!C93,0)</f>
      </c>
      <c r="D27" s="160">
        <f>IF('Data Sheet'!D93&gt;0,D24/'Data Sheet'!D93,0)</f>
      </c>
      <c r="E27" s="160">
        <f>IF('Data Sheet'!E93&gt;0,E24/'Data Sheet'!E93,0)</f>
      </c>
      <c r="F27" s="160">
        <f>IF('Data Sheet'!F93&gt;0,F24/'Data Sheet'!F93,0)</f>
      </c>
      <c r="G27" s="160">
        <f>IF('Data Sheet'!G93&gt;0,G24/'Data Sheet'!G93,0)</f>
      </c>
      <c r="H27" s="160">
        <f>IF('Data Sheet'!H93&gt;0,H24/'Data Sheet'!H93,0)</f>
      </c>
      <c r="I27" s="160">
        <f>IF('Data Sheet'!I93&gt;0,I24/'Data Sheet'!I93,0)</f>
      </c>
      <c r="J27" s="160">
        <f>IF('Data Sheet'!J93&gt;0,J24/'Data Sheet'!J93,0)</f>
      </c>
      <c r="K27" s="250">
        <f>IF('Data Sheet'!K93&gt;0,K24/'Data Sheet'!K93,0)</f>
      </c>
      <c r="L27" s="161">
        <f>IF('Data Sheet'!$B6&gt;0,'Profit &amp; Loss'!L24/'Data Sheet'!$B6,0)</f>
      </c>
      <c r="N27" s="138">
        <f>MIN(Annual[[#This Row],[Column7]:[Column11]])</f>
      </c>
      <c r="O27" s="138">
        <f>MAX(Annual[[#This Row],[Column7]:[Column11]])</f>
      </c>
      <c r="P27" s="138">
        <f>AVERAGE(N27:O27)</f>
      </c>
    </row>
    <row r="28" spans="1:16" s="139" customFormat="1">
      <c r="A28" s="146" t="s">
        <v>91</v>
      </c>
      <c r="B28" s="147"/>
      <c r="C28" s="148">
        <f>C27/B27-1</f>
      </c>
      <c r="D28" s="148">
        <f t="shared" ref="D28" si="32">D27/C27-1</f>
      </c>
      <c r="E28" s="148">
        <f t="shared" ref="E28" si="33">E27/D27-1</f>
      </c>
      <c r="F28" s="148">
        <f t="shared" ref="F28" si="34">F27/E27-1</f>
      </c>
      <c r="G28" s="148">
        <f t="shared" ref="G28" si="35">G27/F27-1</f>
      </c>
      <c r="H28" s="148">
        <f t="shared" ref="H28" si="36">H27/G27-1</f>
      </c>
      <c r="I28" s="148">
        <f t="shared" ref="I28" si="37">I27/H27-1</f>
      </c>
      <c r="J28" s="148">
        <f t="shared" ref="J28" si="38">J27/I27-1</f>
      </c>
      <c r="K28" s="148">
        <f t="shared" ref="K28" si="39">K27/J27-1</f>
      </c>
      <c r="L28" s="149"/>
      <c r="N28" s="5" t="s">
        <v>515</v>
      </c>
      <c r="O28" s="5" t="s">
        <v>512</v>
      </c>
      <c r="P28" s="5" t="s">
        <v>516</v>
      </c>
    </row>
    <row r="29" spans="1:16">
      <c r="A29" s="162" t="s">
        <v>13</v>
      </c>
      <c r="B29" s="163">
        <f t="shared" ref="B29:K29" si="40">IF(B30&gt;0,B30/B27,"")</f>
      </c>
      <c r="C29" s="163">
        <f t="shared" si="40"/>
      </c>
      <c r="D29" s="163">
        <f t="shared" si="40"/>
      </c>
      <c r="E29" s="163">
        <f t="shared" si="40"/>
      </c>
      <c r="F29" s="163">
        <f t="shared" si="40"/>
      </c>
      <c r="G29" s="163">
        <f t="shared" si="40"/>
      </c>
      <c r="H29" s="163">
        <f t="shared" si="40"/>
      </c>
      <c r="I29" s="163">
        <f t="shared" si="40"/>
      </c>
      <c r="J29" s="163">
        <f t="shared" si="40"/>
      </c>
      <c r="K29" s="163">
        <f t="shared" si="40"/>
      </c>
      <c r="L29" s="164">
        <f t="shared" ref="L29" si="41">IF(L27&gt;0,L30/L27,0)</f>
      </c>
      <c r="M29" s="139"/>
      <c r="N29" s="138">
        <f>MIN(Annual[[#This Row],[Column7]:[Column11]])</f>
      </c>
      <c r="O29" s="138">
        <f>MAX(Annual[[#This Row],[Column7]:[Column11]])</f>
      </c>
      <c r="P29" s="138">
        <f>AVERAGE(N29:O29)</f>
      </c>
    </row>
    <row r="30" spans="1:16" s="139" customFormat="1">
      <c r="A30" s="143" t="s">
        <v>54</v>
      </c>
      <c r="B30" s="144">
        <f>'Data Sheet'!B90</f>
      </c>
      <c r="C30" s="144">
        <f>'Data Sheet'!C90</f>
      </c>
      <c r="D30" s="144">
        <f>'Data Sheet'!D90</f>
      </c>
      <c r="E30" s="144">
        <f>'Data Sheet'!E90</f>
      </c>
      <c r="F30" s="144">
        <f>'Data Sheet'!F90</f>
      </c>
      <c r="G30" s="144">
        <f>'Data Sheet'!G90</f>
      </c>
      <c r="H30" s="144">
        <f>'Data Sheet'!H90</f>
      </c>
      <c r="I30" s="144">
        <f>'Data Sheet'!I90</f>
      </c>
      <c r="J30" s="144">
        <f>'Data Sheet'!J90</f>
      </c>
      <c r="K30" s="144">
        <f>'Data Sheet'!K90</f>
      </c>
      <c r="L30" s="145">
        <f>'Data Sheet'!B8</f>
      </c>
    </row>
    <row r="31" spans="1:16">
      <c r="A31" s="150" t="s">
        <v>14</v>
      </c>
      <c r="B31" s="165">
        <f>IF('Data Sheet'!B30&gt;0, 'Data Sheet'!B31/'Data Sheet'!B30, 0)</f>
      </c>
      <c r="C31" s="165">
        <f>IF('Data Sheet'!C30&gt;0, 'Data Sheet'!C31/'Data Sheet'!C30, 0)</f>
      </c>
      <c r="D31" s="165">
        <f>IF('Data Sheet'!D30&gt;0, 'Data Sheet'!D31/'Data Sheet'!D30, 0)</f>
      </c>
      <c r="E31" s="165">
        <f>IF('Data Sheet'!E30&gt;0, 'Data Sheet'!E31/'Data Sheet'!E30, 0)</f>
      </c>
      <c r="F31" s="165">
        <f>IF('Data Sheet'!F30&gt;0, 'Data Sheet'!F31/'Data Sheet'!F30, 0)</f>
      </c>
      <c r="G31" s="165">
        <f>IF('Data Sheet'!G30&gt;0, 'Data Sheet'!G31/'Data Sheet'!G30, 0)</f>
      </c>
      <c r="H31" s="165">
        <f>IF('Data Sheet'!H30&gt;0, 'Data Sheet'!H31/'Data Sheet'!H30, 0)</f>
      </c>
      <c r="I31" s="165">
        <f>IF('Data Sheet'!I30&gt;0, 'Data Sheet'!I31/'Data Sheet'!I30, 0)</f>
      </c>
      <c r="J31" s="165">
        <f>IF('Data Sheet'!J30&gt;0, 'Data Sheet'!J31/'Data Sheet'!J30, 0)</f>
      </c>
      <c r="K31" s="165">
        <f>IF('Data Sheet'!K30&gt;0, 'Data Sheet'!K31/'Data Sheet'!K30, 0)</f>
      </c>
      <c r="L31" s="166"/>
    </row>
    <row r="32" spans="1:16">
      <c r="A32" s="150" t="s">
        <v>180</v>
      </c>
      <c r="B32" s="151">
        <f>B30*'Data Sheet'!B93</f>
      </c>
      <c r="C32" s="151">
        <f>C30*'Data Sheet'!C93</f>
      </c>
      <c r="D32" s="151">
        <f>D30*'Data Sheet'!D93</f>
      </c>
      <c r="E32" s="151">
        <f>E30*'Data Sheet'!E93</f>
      </c>
      <c r="F32" s="151">
        <f>F30*'Data Sheet'!F93</f>
      </c>
      <c r="G32" s="151">
        <f>G30*'Data Sheet'!G93</f>
      </c>
      <c r="H32" s="151">
        <f>H30*'Data Sheet'!H93</f>
      </c>
      <c r="I32" s="151">
        <f>I30*'Data Sheet'!I93</f>
      </c>
      <c r="J32" s="151">
        <f>J30*'Data Sheet'!J93</f>
      </c>
      <c r="K32" s="151">
        <f>K30*'Data Sheet'!K93</f>
      </c>
      <c r="L32" s="152"/>
    </row>
    <row r="33" spans="1:18">
      <c r="A33" s="150" t="s">
        <v>181</v>
      </c>
      <c r="B33" s="151">
        <f>B24*(1-B31)</f>
      </c>
      <c r="C33" s="151">
        <f t="shared" ref="C33:K33" si="42">C24*(1-C31)</f>
      </c>
      <c r="D33" s="151">
        <f t="shared" si="42"/>
      </c>
      <c r="E33" s="151">
        <f t="shared" si="42"/>
      </c>
      <c r="F33" s="151">
        <f t="shared" si="42"/>
      </c>
      <c r="G33" s="151">
        <f t="shared" si="42"/>
      </c>
      <c r="H33" s="151">
        <f t="shared" si="42"/>
      </c>
      <c r="I33" s="151">
        <f t="shared" si="42"/>
      </c>
      <c r="J33" s="151">
        <f t="shared" si="42"/>
      </c>
      <c r="K33" s="151">
        <f t="shared" si="42"/>
      </c>
      <c r="L33" s="166"/>
    </row>
    <row r="34" spans="1:18" ht="13.5" thickBot="1">
      <c r="A34" s="167" t="s">
        <v>182</v>
      </c>
      <c r="B34" s="168">
        <f>(K32-B32)/SUM(B33:K33)</f>
      </c>
      <c r="C34" s="169"/>
      <c r="D34" s="169"/>
      <c r="E34" s="169"/>
      <c r="F34" s="169"/>
      <c r="G34" s="169"/>
      <c r="H34" s="169"/>
      <c r="I34" s="169"/>
      <c r="J34" s="169"/>
      <c r="K34" s="169"/>
      <c r="L34" s="170"/>
    </row>
    <row r="35" spans="1:18">
      <c r="A35" s="6"/>
      <c r="B35" s="279"/>
      <c r="C35" s="279"/>
      <c r="D35" s="279"/>
      <c r="E35" s="279"/>
      <c r="F35" s="279"/>
      <c r="G35" s="279"/>
      <c r="H35" s="279"/>
      <c r="I35" s="279"/>
      <c r="J35" s="279"/>
      <c r="K35" s="279"/>
      <c r="L35" s="279"/>
    </row>
    <row r="36" spans="1:18" ht="13.5" thickBot="1">
      <c r="B36" s="171"/>
      <c r="C36" s="171"/>
      <c r="D36" s="171"/>
      <c r="E36" s="171"/>
      <c r="F36" s="171"/>
      <c r="G36" s="171"/>
      <c r="H36" s="171"/>
      <c r="I36" s="171"/>
      <c r="J36" s="171"/>
      <c r="K36" s="171"/>
      <c r="L36" s="171"/>
    </row>
    <row r="37" spans="1:18" s="139" customFormat="1">
      <c r="A37" s="172" t="s">
        <v>16</v>
      </c>
      <c r="B37" s="172" t="s">
        <v>60</v>
      </c>
      <c r="C37" s="172" t="s">
        <v>61</v>
      </c>
      <c r="D37" s="172" t="s">
        <v>62</v>
      </c>
      <c r="E37" s="172" t="s">
        <v>63</v>
      </c>
      <c r="G37" s="252" t="s">
        <v>298</v>
      </c>
      <c r="H37" s="5" t="s">
        <v>330</v>
      </c>
      <c r="I37" s="5" t="s">
        <v>331</v>
      </c>
      <c r="Q37" s="5"/>
      <c r="R37" s="5"/>
    </row>
    <row r="38" spans="1:18" s="139" customFormat="1">
      <c r="A38" s="173" t="s">
        <v>17</v>
      </c>
      <c r="B38" s="174">
        <f>(K4/B4)^(1/9)-1</f>
      </c>
      <c r="C38" s="174">
        <f>(K4/D4)^(1/7)-1</f>
      </c>
      <c r="D38" s="174">
        <f>(K4/F4)^(1/5)-1</f>
      </c>
      <c r="E38" s="174">
        <f>(K4/H4)^(1/3)-1</f>
      </c>
      <c r="G38" s="254">
        <f>IFERROR(MIN(B38:E38),MIN(D38:E38))</f>
      </c>
      <c r="Q38" s="5"/>
      <c r="R38" s="5"/>
    </row>
    <row r="39" spans="1:18" s="139" customFormat="1">
      <c r="A39" s="173" t="s">
        <v>179</v>
      </c>
      <c r="B39" s="174">
        <f>(K19/B19)^(1/9)-1</f>
      </c>
      <c r="C39" s="174">
        <f>(K19/D19)^(1/7)-1</f>
      </c>
      <c r="D39" s="174">
        <f>(K19/F19)^(1/5)-1</f>
      </c>
      <c r="E39" s="174">
        <f>(K19/H19)^(1/3)-1</f>
      </c>
      <c r="G39" s="254"/>
    </row>
    <row r="40" spans="1:18">
      <c r="A40" s="173" t="s">
        <v>99</v>
      </c>
      <c r="B40" s="174">
        <f>AVERAGE(B21:K21)</f>
      </c>
      <c r="C40" s="174">
        <f>AVERAGE(E21:K21)</f>
      </c>
      <c r="D40" s="174">
        <f>AVERAGE(G21:K21)</f>
      </c>
      <c r="E40" s="174">
        <f>AVERAGE(I21:K21)</f>
      </c>
      <c r="F40" s="139"/>
      <c r="G40" s="254"/>
    </row>
    <row r="41" spans="1:18">
      <c r="A41" s="11" t="s">
        <v>300</v>
      </c>
      <c r="B41" s="174">
        <f>(K24/B24)^(1/9)-1</f>
      </c>
      <c r="C41" s="174">
        <f>(K24/D24)^(1/7)-1</f>
      </c>
      <c r="D41" s="174">
        <f>(K24/F24)^(1/5)-1</f>
      </c>
      <c r="E41" s="174">
        <f>(K24/H24)^(1/3)-1</f>
      </c>
      <c r="F41" s="139"/>
      <c r="G41" s="254">
        <f t="shared" ref="G41" si="43">IFERROR(MIN(B41:E41),MIN(D41:E41))</f>
      </c>
      <c r="K41" s="6" t="s">
        <v>524</v>
      </c>
    </row>
    <row r="42" spans="1:18">
      <c r="A42" s="173" t="s">
        <v>18</v>
      </c>
      <c r="B42" s="163">
        <f>AVERAGE(B29:K29)</f>
      </c>
      <c r="C42" s="163">
        <f>AVERAGE(E29:K29)</f>
      </c>
      <c r="D42" s="163">
        <f>AVERAGE(G29:K29)</f>
      </c>
      <c r="E42" s="163">
        <f>AVERAGE(I29:K29)</f>
      </c>
      <c r="F42" s="139"/>
      <c r="G42" s="363">
        <f>MIN(G29:K29)</f>
      </c>
      <c r="H42" s="364">
        <f>AVERAGE(G29:K29)</f>
      </c>
      <c r="I42" s="357">
        <f>MAX(G29:K29)</f>
      </c>
      <c r="J42" s="368">
        <f>K29</f>
      </c>
      <c r="K42" s="357">
        <f>L29</f>
      </c>
    </row>
    <row r="43" spans="1:18" ht="13.5" thickBot="1">
      <c r="A43" s="11" t="s">
        <v>53</v>
      </c>
      <c r="B43" s="163">
        <f>AVERAGE(B27:K27)</f>
      </c>
      <c r="C43" s="163">
        <f>AVERAGE(E27:K27)</f>
      </c>
      <c r="D43" s="163">
        <f>AVERAGE(G27:K27)</f>
      </c>
      <c r="E43" s="163">
        <f>AVERAGE(I27:K27)</f>
      </c>
      <c r="F43" s="139"/>
      <c r="G43" s="361">
        <f>MIN(G27:K27)</f>
      </c>
      <c r="H43" s="362">
        <f>AVERAGE(G27:K27)</f>
      </c>
      <c r="I43" s="357">
        <f>MAX(G27:K27)</f>
      </c>
      <c r="J43" s="369">
        <f>K27</f>
      </c>
      <c r="K43" s="358">
        <f>L27</f>
      </c>
    </row>
    <row r="44" spans="1:18">
      <c r="A44" s="674" t="s">
        <v>236</v>
      </c>
      <c r="B44" s="674"/>
      <c r="C44" s="674"/>
      <c r="D44" s="674"/>
      <c r="E44" s="674"/>
      <c r="G44" s="365" t="s">
        <v>519</v>
      </c>
      <c r="H44" s="366" t="s">
        <v>525</v>
      </c>
      <c r="I44" s="6" t="s">
        <v>520</v>
      </c>
      <c r="J44" s="367" t="s">
        <v>526</v>
      </c>
      <c r="K44" s="370" t="s">
        <v>524</v>
      </c>
    </row>
    <row r="45" spans="1:18">
      <c r="A45" s="674"/>
      <c r="B45" s="674"/>
      <c r="C45" s="674"/>
      <c r="D45" s="674"/>
      <c r="E45" s="674"/>
    </row>
    <row r="46" spans="1:18">
      <c r="A46" s="674"/>
      <c r="B46" s="674"/>
      <c r="C46" s="674"/>
      <c r="D46" s="674"/>
      <c r="E46" s="674"/>
    </row>
    <row r="47" spans="1:18">
      <c r="A47" s="674"/>
      <c r="B47" s="674"/>
      <c r="C47" s="674"/>
      <c r="D47" s="674"/>
      <c r="E47" s="674"/>
    </row>
    <row r="48" spans="1:18">
      <c r="B48" s="6" t="s">
        <v>302</v>
      </c>
      <c r="C48" s="6" t="s">
        <v>309</v>
      </c>
      <c r="D48" s="6" t="s">
        <v>310</v>
      </c>
      <c r="E48" s="6" t="s">
        <v>303</v>
      </c>
      <c r="F48" s="6" t="s">
        <v>304</v>
      </c>
      <c r="G48" s="6" t="s">
        <v>305</v>
      </c>
      <c r="H48" s="6" t="s">
        <v>306</v>
      </c>
      <c r="I48" s="6" t="s">
        <v>307</v>
      </c>
      <c r="J48" s="6" t="s">
        <v>308</v>
      </c>
      <c r="L48" s="5" t="s">
        <v>313</v>
      </c>
      <c r="M48" s="6" t="s">
        <v>315</v>
      </c>
      <c r="N48" s="6" t="s">
        <v>316</v>
      </c>
    </row>
    <row r="49" spans="1:14">
      <c r="A49" s="6" t="s">
        <v>311</v>
      </c>
      <c r="B49" s="256">
        <f>($K$4/B4)^(1/9)-1</f>
      </c>
      <c r="C49" s="256">
        <f>($K$4/C4)^(1/8)-1</f>
      </c>
      <c r="D49" s="256">
        <f>($K$4/C4)^(1/7)-1</f>
      </c>
      <c r="E49" s="256">
        <f>($K$4/E4)^(1/6)-1</f>
      </c>
      <c r="F49" s="256">
        <f>($K$4/F4)^(1/5)-1</f>
      </c>
      <c r="G49" s="256">
        <f>($K$4/G4)^(1/4)-1</f>
      </c>
      <c r="H49" s="256">
        <f>($K$4/H4)^(1/3)-1</f>
      </c>
      <c r="I49" s="256">
        <f>($K$4/I4)^(1/2)-1</f>
      </c>
      <c r="J49" s="256">
        <f>($K$4/J4)^(1/1)-1</f>
      </c>
      <c r="L49" s="257">
        <f>MIN(G5:K5)</f>
      </c>
      <c r="M49" s="258">
        <f>MAX(G5:K5)</f>
      </c>
      <c r="N49" s="258">
        <f>AVERAGE(L49:M49)</f>
      </c>
    </row>
    <row r="50" spans="1:14">
      <c r="A50" s="6" t="s">
        <v>312</v>
      </c>
      <c r="B50" s="256">
        <f>(K24/B24)^(1/9)-1</f>
      </c>
      <c r="C50" s="256">
        <f>($K$24/C24)^(1/8)-1</f>
      </c>
      <c r="D50" s="256">
        <f>($K$24/D24)^(1/7)-1</f>
      </c>
      <c r="E50" s="256">
        <f>($K$24/E24)^(1/6)-1</f>
      </c>
      <c r="F50" s="256">
        <f>($K$24/F24)^(1/5)-1</f>
      </c>
      <c r="G50" s="256">
        <f>($K$24/G24)^(1/4)-1</f>
      </c>
      <c r="H50" s="256">
        <f>($K$24/H24)^(1/3)-1</f>
      </c>
      <c r="I50" s="256">
        <f>($K$24/I24)^(1/2)-1</f>
      </c>
      <c r="J50" s="256">
        <f>($K$24/J24)^(1/1)-1</f>
      </c>
      <c r="L50" s="257">
        <f>MIN(G25:K25)</f>
      </c>
      <c r="M50" s="258">
        <f>MAX(G25:K25)</f>
      </c>
      <c r="N50" s="258">
        <f>AVERAGE(L50:M50)</f>
      </c>
    </row>
    <row r="51" spans="1:14">
      <c r="A51" s="6" t="s">
        <v>317</v>
      </c>
      <c r="B51" s="256">
        <f>($K$29/B29)^(1/9)-1</f>
      </c>
      <c r="C51" s="256">
        <f>($K$29/C29)^(1/8)-1</f>
      </c>
      <c r="D51" s="256">
        <f>($K$29/D29)^(1/7)-1</f>
      </c>
      <c r="E51" s="256">
        <f>($K$29/E29)^(1/6)-1</f>
      </c>
      <c r="F51" s="256">
        <f>($K$29/F29)^(1/5)-1</f>
      </c>
      <c r="G51" s="256">
        <f>($K$29/G29)^(1/4)-1</f>
      </c>
      <c r="H51" s="256">
        <f>($K$29/H29)^(1/3)-1</f>
      </c>
      <c r="I51" s="256">
        <f>($K$29/I29)^(1/2)-1</f>
      </c>
      <c r="J51" s="256">
        <f>($K$29/J29)^(1/1)-1</f>
      </c>
    </row>
    <row r="52" spans="1:14">
      <c r="A52" s="173"/>
      <c r="B52" s="11" t="s">
        <v>515</v>
      </c>
      <c r="C52" s="11" t="s">
        <v>523</v>
      </c>
      <c r="D52" s="11" t="s">
        <v>512</v>
      </c>
    </row>
    <row r="53" spans="1:14">
      <c r="A53" s="11" t="s">
        <v>522</v>
      </c>
      <c r="B53" s="371">
        <f>$G$43*G42</f>
      </c>
      <c r="C53" s="372">
        <f>$G$43*H42</f>
      </c>
      <c r="D53" s="372"/>
    </row>
    <row r="54" spans="1:14">
      <c r="A54" s="11" t="s">
        <v>521</v>
      </c>
      <c r="B54" s="372">
        <f>$H$43*G42</f>
      </c>
      <c r="C54" s="371">
        <f>$H$43*H42</f>
      </c>
      <c r="D54" s="372"/>
    </row>
    <row r="55" spans="1:14">
      <c r="A55" s="11" t="s">
        <v>528</v>
      </c>
      <c r="B55" s="372"/>
      <c r="C55" s="372"/>
      <c r="D55" s="371">
        <f>I43*I42</f>
      </c>
    </row>
    <row r="56" spans="1:14">
      <c r="A56" s="11" t="s">
        <v>527</v>
      </c>
      <c r="B56" s="372">
        <f>$K$43*G42</f>
      </c>
      <c r="C56" s="372">
        <f>$K$43*H42</f>
      </c>
      <c r="D56" s="372">
        <f>$K$43*I42</f>
      </c>
    </row>
    <row r="57" spans="1:14">
      <c r="A57" s="6"/>
      <c r="B57" s="360"/>
      <c r="C57" s="360"/>
    </row>
    <row r="58" spans="1:14">
      <c r="A58" s="6"/>
      <c r="B58" s="360"/>
      <c r="C58" s="360"/>
    </row>
    <row r="59" spans="1:14">
      <c r="A59" s="6" t="s">
        <v>529</v>
      </c>
      <c r="B59" s="57" t="s">
        <v>298</v>
      </c>
      <c r="C59" s="57" t="s">
        <v>316</v>
      </c>
      <c r="D59" s="57" t="s">
        <v>315</v>
      </c>
    </row>
    <row r="60" spans="1:14">
      <c r="A60" s="6" t="s">
        <v>531</v>
      </c>
      <c r="B60" s="359">
        <f>B53</f>
      </c>
      <c r="C60" s="359">
        <f>C54</f>
      </c>
      <c r="D60" s="359">
        <f>D55</f>
      </c>
      <c r="E60" s="359"/>
      <c r="F60" s="359"/>
      <c r="G60" s="359"/>
    </row>
    <row r="61" spans="1:14">
      <c r="A61" s="6" t="s">
        <v>530</v>
      </c>
      <c r="B61" s="359">
        <f>$L$27*G42</f>
      </c>
      <c r="C61" s="359">
        <f t="shared" ref="C61:D61" si="44">$L$27*H42</f>
      </c>
      <c r="D61" s="359">
        <f t="shared" si="44"/>
      </c>
    </row>
    <row r="62" spans="1:14">
      <c r="A62" s="6" t="s">
        <v>38</v>
      </c>
      <c r="B62" s="360">
        <f>AtGlance!B10</f>
      </c>
      <c r="C62" s="360">
        <f>AtGlance!B10</f>
      </c>
      <c r="D62" s="360">
        <f>AtGlance!B10</f>
      </c>
    </row>
    <row r="63" spans="1:14">
      <c r="A63" s="6"/>
      <c r="B63" s="359"/>
      <c r="C63" s="359"/>
      <c r="D63" s="359"/>
    </row>
    <row r="64" spans="1:14">
      <c r="A64" s="6"/>
      <c r="B64" s="359">
        <f>B60</f>
      </c>
      <c r="C64" s="359">
        <f>C60</f>
      </c>
      <c r="D64" s="359">
        <f>D60</f>
      </c>
      <c r="E64" s="359">
        <f>B61</f>
      </c>
      <c r="F64" s="359">
        <f>C61</f>
      </c>
      <c r="G64" s="359">
        <f>D61</f>
      </c>
    </row>
    <row r="65" spans="1:4">
      <c r="A65" s="6"/>
      <c r="B65" s="359"/>
      <c r="C65" s="359"/>
      <c r="D65" s="359"/>
    </row>
  </sheetData>
  <mergeCells count="4">
    <mergeCell ref="N6:P11"/>
    <mergeCell ref="A44:E47"/>
    <mergeCell ref="A1:L1"/>
    <mergeCell ref="A2:L2"/>
  </mergeCells>
  <conditionalFormatting sqref="B4:L34">
    <cfRule type="cellIs" dxfId="11" priority="1" operator="lessThan">
      <formula>0</formula>
    </cfRule>
  </conditionalFormatting>
  <printOptions gridLines="1"/>
  <pageMargins left="0.7" right="0.7" top="0.75" bottom="0.75" header="0.3" footer="0.3"/>
  <pageSetup paperSize="9" orientation="landscape" horizontalDpi="300" verticalDpi="300" r:id="rId1"/>
  <drawing r:id="rId2"/>
  <legacyDrawing r:id="rId3"/>
  <tableParts count="1">
    <tablePart r:id="rId4"/>
  </tableParts>
  <extLst>
    <ext xmlns:x14="http://schemas.microsoft.com/office/spreadsheetml/2009/9/main" uri="{05C60535-1F16-4fd2-B633-F4F36F0B64E0}">
      <x14:sparklineGroups xmlns:xm="http://schemas.microsoft.com/office/excel/2006/main">
        <x14:sparklineGroup type="column" displayEmptyCellsAs="gap" xr2:uid="{00000000-0003-0000-0900-000009000000}">
          <x14:colorSeries theme="5" tint="-0.499984740745262"/>
          <x14:colorNegative rgb="FFD00000"/>
          <x14:colorAxis rgb="FF000000"/>
          <x14:colorMarkers rgb="FFD00000"/>
          <x14:colorFirst rgb="FFD00000"/>
          <x14:colorLast rgb="FFD00000"/>
          <x14:colorHigh rgb="FFD00000"/>
          <x14:colorLow rgb="FFD00000"/>
          <x14:sparklines>
            <x14:sparkline>
              <xm:f>'Profit &amp; Loss'!B7:K7</xm:f>
              <xm:sqref>M7</xm:sqref>
            </x14:sparkline>
          </x14:sparklines>
        </x14:sparklineGroup>
        <x14:sparklineGroup type="column" displayEmptyCellsAs="gap" low="1" xr2:uid="{00000000-0003-0000-0900-00000A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Loss'!G4:L4</xm:f>
              <xm:sqref>M4</xm:sqref>
            </x14:sparkline>
          </x14:sparklines>
        </x14:sparklineGroup>
        <x14:sparklineGroup type="column" displayEmptyCellsAs="gap" low="1" xr2:uid="{00000000-0003-0000-0900-00000B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Loss'!G12:L12</xm:f>
              <xm:sqref>M12</xm:sqref>
            </x14:sparkline>
          </x14:sparklines>
        </x14:sparklineGroup>
        <x14:sparklineGroup type="column" displayEmptyCellsAs="gap" low="1" xr2:uid="{00000000-0003-0000-0900-00000C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Loss'!G19:L19</xm:f>
              <xm:sqref>M19</xm:sqref>
            </x14:sparkline>
          </x14:sparklines>
        </x14:sparklineGroup>
        <x14:sparklineGroup type="column" displayEmptyCellsAs="gap" low="1" xr2:uid="{00000000-0003-0000-0900-00000D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Loss'!G24:L24</xm:f>
              <xm:sqref>M24</xm:sqref>
            </x14:sparkline>
          </x14:sparklines>
        </x14:sparklineGroup>
        <x14:sparklineGroup type="column" displayEmptyCellsAs="gap" low="1" xr2:uid="{00000000-0003-0000-0900-00000E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Loss'!B38:E38</xm:f>
              <xm:sqref>F38</xm:sqref>
            </x14:sparkline>
            <x14:sparkline>
              <xm:f>'Profit &amp; Loss'!B39:E39</xm:f>
              <xm:sqref>F39</xm:sqref>
            </x14:sparkline>
            <x14:sparkline>
              <xm:f>'Profit &amp; Loss'!B40:E40</xm:f>
              <xm:sqref>F40</xm:sqref>
            </x14:sparkline>
            <x14:sparkline>
              <xm:f>'Profit &amp; Loss'!B41:E41</xm:f>
              <xm:sqref>F41</xm:sqref>
            </x14:sparkline>
            <x14:sparkline>
              <xm:f>'Profit &amp; Loss'!B42:E42</xm:f>
              <xm:sqref>F42</xm:sqref>
            </x14:sparkline>
            <x14:sparkline>
              <xm:f>'Profit &amp; Loss'!B43:E43</xm:f>
              <xm:sqref>F43</xm:sqref>
            </x14:sparkline>
          </x14:sparklines>
        </x14:sparklineGroup>
        <x14:sparklineGroup type="column" displayEmptyCellsAs="gap" low="1" xr2:uid="{00000000-0003-0000-0900-00000F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Loss'!G26:L26</xm:f>
              <xm:sqref>M26</xm:sqref>
            </x14:sparkline>
          </x14:sparklines>
        </x14:sparklineGroup>
        <x14:sparklineGroup type="column" displayEmptyCellsAs="gap" low="1" xr2:uid="{00000000-0003-0000-0900-00001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Loss'!G29:L29</xm:f>
              <xm:sqref>M29</xm:sqref>
            </x14:sparkline>
          </x14:sparklines>
        </x14:sparklineGroup>
        <x14:sparklineGroup type="column" displayEmptyCellsAs="gap" high="1" last="1" negative="1" xr2:uid="{00000000-0003-0000-0900-000011000000}">
          <x14:colorSeries theme="1" tint="0.499984740745262"/>
          <x14:colorNegative theme="5"/>
          <x14:colorAxis rgb="FF000000"/>
          <x14:colorMarkers theme="1" tint="0.249977111117893"/>
          <x14:colorFirst theme="1" tint="0.249977111117893"/>
          <x14:colorLast theme="7"/>
          <x14:colorHigh rgb="FF00B050"/>
          <x14:colorLow theme="1" tint="0.249977111117893"/>
          <x14:sparklines>
            <x14:sparkline>
              <xm:f>'Profit &amp; Loss'!B49:J49</xm:f>
              <xm:sqref>K49</xm:sqref>
            </x14:sparkline>
            <x14:sparkline>
              <xm:f>'Profit &amp; Loss'!B50:J50</xm:f>
              <xm:sqref>K50</xm:sqref>
            </x14:sparkline>
          </x14:sparklines>
        </x14:sparklineGroup>
      </x14:sparklineGroup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2">
    <pageSetUpPr fitToPage="1"/>
  </sheetPr>
  <dimension ref="A1:L29"/>
  <sheetViews>
    <sheetView workbookViewId="0">
      <selection activeCell="Q19" sqref="Q19"/>
    </sheetView>
  </sheetViews>
  <sheetFormatPr defaultColWidth="9.140625" defaultRowHeight="12.75"/>
  <cols>
    <col min="1" max="1" width="27.28515625" style="201" bestFit="1" customWidth="1"/>
    <col min="2" max="3" width="7.7109375" style="201" bestFit="1" customWidth="1"/>
    <col min="4" max="11" width="9.28515625" style="201" bestFit="1" customWidth="1"/>
    <col min="12" max="16384" width="9.140625" style="201"/>
  </cols>
  <sheetData>
    <row r="1" spans="1:12" ht="19.5">
      <c r="A1" s="681" t="s">
        <v>249</v>
      </c>
      <c r="B1" s="682"/>
      <c r="C1" s="682"/>
      <c r="D1" s="682"/>
      <c r="E1" s="682"/>
      <c r="F1" s="682"/>
      <c r="G1" s="682"/>
      <c r="H1" s="682"/>
      <c r="I1" s="682"/>
      <c r="J1" s="682"/>
      <c r="K1" s="683"/>
    </row>
    <row r="2" spans="1:12" s="200" customFormat="1" ht="13.5" thickBot="1">
      <c r="A2" s="684" t="str">
        <f>'Profit &amp; Loss'!A2</f>
      </c>
      <c r="B2" s="685"/>
      <c r="C2" s="685"/>
      <c r="D2" s="685"/>
      <c r="E2" s="685"/>
      <c r="F2" s="685"/>
      <c r="G2" s="685"/>
      <c r="H2" s="685"/>
      <c r="I2" s="685"/>
      <c r="J2" s="685"/>
      <c r="K2" s="686"/>
    </row>
    <row r="3" spans="1:12">
      <c r="A3" s="209" t="s">
        <v>178</v>
      </c>
      <c r="B3" s="208">
        <f>'Data Sheet'!B56</f>
      </c>
      <c r="C3" s="208">
        <f>'Data Sheet'!C56</f>
      </c>
      <c r="D3" s="208">
        <f>'Data Sheet'!D56</f>
      </c>
      <c r="E3" s="208">
        <f>'Data Sheet'!E56</f>
      </c>
      <c r="F3" s="208">
        <f>'Data Sheet'!F56</f>
      </c>
      <c r="G3" s="208">
        <f>'Data Sheet'!G56</f>
      </c>
      <c r="H3" s="208">
        <f>'Data Sheet'!H56</f>
      </c>
      <c r="I3" s="208">
        <f>'Data Sheet'!I56</f>
      </c>
      <c r="J3" s="208">
        <f>'Data Sheet'!J56</f>
      </c>
      <c r="K3" s="210">
        <f>'Data Sheet'!K56</f>
      </c>
    </row>
    <row r="4" spans="1:12">
      <c r="A4" s="211" t="s">
        <v>19</v>
      </c>
      <c r="B4" s="202">
        <f>'Data Sheet'!B57</f>
      </c>
      <c r="C4" s="202">
        <f>'Data Sheet'!C57</f>
      </c>
      <c r="D4" s="202">
        <f>'Data Sheet'!D57</f>
      </c>
      <c r="E4" s="202">
        <f>'Data Sheet'!E57</f>
      </c>
      <c r="F4" s="202">
        <f>'Data Sheet'!F57</f>
      </c>
      <c r="G4" s="202">
        <f>'Data Sheet'!G57</f>
      </c>
      <c r="H4" s="202">
        <f>'Data Sheet'!H57</f>
      </c>
      <c r="I4" s="202">
        <f>'Data Sheet'!I57</f>
      </c>
      <c r="J4" s="202">
        <f>'Data Sheet'!J57</f>
      </c>
      <c r="K4" s="212">
        <f>'Data Sheet'!K57</f>
      </c>
    </row>
    <row r="5" spans="1:12">
      <c r="A5" s="438" t="s">
        <v>20</v>
      </c>
      <c r="B5" s="439">
        <f>'Data Sheet'!B58</f>
      </c>
      <c r="C5" s="439">
        <f>'Data Sheet'!C58</f>
      </c>
      <c r="D5" s="439">
        <f>'Data Sheet'!D58</f>
      </c>
      <c r="E5" s="439">
        <f>'Data Sheet'!E58</f>
      </c>
      <c r="F5" s="439">
        <f>'Data Sheet'!F58</f>
      </c>
      <c r="G5" s="439">
        <f>'Data Sheet'!G58</f>
      </c>
      <c r="H5" s="439">
        <f>'Data Sheet'!H58</f>
      </c>
      <c r="I5" s="439">
        <f>'Data Sheet'!I58</f>
      </c>
      <c r="J5" s="439">
        <f>'Data Sheet'!J58</f>
      </c>
      <c r="K5" s="440">
        <f>'Data Sheet'!K58</f>
      </c>
    </row>
    <row r="6" spans="1:12">
      <c r="A6" s="211" t="s">
        <v>65</v>
      </c>
      <c r="B6" s="202">
        <f>'Data Sheet'!B59</f>
      </c>
      <c r="C6" s="202">
        <f>'Data Sheet'!C59</f>
      </c>
      <c r="D6" s="202">
        <f>'Data Sheet'!D59</f>
      </c>
      <c r="E6" s="202">
        <f>'Data Sheet'!E59</f>
      </c>
      <c r="F6" s="202">
        <f>'Data Sheet'!F59</f>
      </c>
      <c r="G6" s="202">
        <f>'Data Sheet'!G59</f>
      </c>
      <c r="H6" s="202">
        <f>'Data Sheet'!H59</f>
      </c>
      <c r="I6" s="202">
        <f>'Data Sheet'!I59</f>
      </c>
      <c r="J6" s="202">
        <f>'Data Sheet'!J59</f>
      </c>
      <c r="K6" s="212">
        <f>'Data Sheet'!K59</f>
      </c>
    </row>
    <row r="7" spans="1:12">
      <c r="A7" s="438" t="s">
        <v>66</v>
      </c>
      <c r="B7" s="439">
        <f>'Data Sheet'!B60</f>
      </c>
      <c r="C7" s="439">
        <f>'Data Sheet'!C60</f>
      </c>
      <c r="D7" s="439">
        <f>'Data Sheet'!D60</f>
      </c>
      <c r="E7" s="439">
        <f>'Data Sheet'!E60</f>
      </c>
      <c r="F7" s="439">
        <f>'Data Sheet'!F60</f>
      </c>
      <c r="G7" s="439">
        <f>'Data Sheet'!G60</f>
      </c>
      <c r="H7" s="439">
        <f>'Data Sheet'!H60</f>
      </c>
      <c r="I7" s="439">
        <f>'Data Sheet'!I60</f>
      </c>
      <c r="J7" s="439">
        <f>'Data Sheet'!J60</f>
      </c>
      <c r="K7" s="440">
        <f>'Data Sheet'!K60</f>
      </c>
    </row>
    <row r="8" spans="1:12" s="200" customFormat="1">
      <c r="A8" s="213" t="s">
        <v>21</v>
      </c>
      <c r="B8" s="203">
        <f>'Data Sheet'!B61</f>
      </c>
      <c r="C8" s="203">
        <f>'Data Sheet'!C61</f>
      </c>
      <c r="D8" s="203">
        <f>'Data Sheet'!D61</f>
      </c>
      <c r="E8" s="203">
        <f>'Data Sheet'!E61</f>
      </c>
      <c r="F8" s="203">
        <f>'Data Sheet'!F61</f>
      </c>
      <c r="G8" s="203">
        <f>'Data Sheet'!G61</f>
      </c>
      <c r="H8" s="203">
        <f>'Data Sheet'!H61</f>
      </c>
      <c r="I8" s="203">
        <f>'Data Sheet'!I61</f>
      </c>
      <c r="J8" s="203">
        <f>'Data Sheet'!J61</f>
      </c>
      <c r="K8" s="214">
        <f>'Data Sheet'!K61</f>
      </c>
      <c r="L8" s="201"/>
    </row>
    <row r="9" spans="1:12" s="200" customFormat="1">
      <c r="A9" s="213"/>
      <c r="B9" s="203"/>
      <c r="C9" s="203"/>
      <c r="D9" s="203"/>
      <c r="E9" s="203"/>
      <c r="F9" s="203"/>
      <c r="G9" s="203"/>
      <c r="H9" s="203"/>
      <c r="I9" s="203"/>
      <c r="J9" s="203"/>
      <c r="K9" s="214"/>
      <c r="L9" s="201"/>
    </row>
    <row r="10" spans="1:12">
      <c r="A10" s="438" t="s">
        <v>22</v>
      </c>
      <c r="B10" s="439">
        <f>'Data Sheet'!B62</f>
      </c>
      <c r="C10" s="439">
        <f>'Data Sheet'!C62</f>
      </c>
      <c r="D10" s="439">
        <f>'Data Sheet'!D62</f>
      </c>
      <c r="E10" s="439">
        <f>'Data Sheet'!E62</f>
      </c>
      <c r="F10" s="439">
        <f>'Data Sheet'!F62</f>
      </c>
      <c r="G10" s="439">
        <f>'Data Sheet'!G62</f>
      </c>
      <c r="H10" s="439">
        <f>'Data Sheet'!H62</f>
      </c>
      <c r="I10" s="439">
        <f>'Data Sheet'!I62</f>
      </c>
      <c r="J10" s="439">
        <f>'Data Sheet'!J62</f>
      </c>
      <c r="K10" s="440">
        <f>'Data Sheet'!K62</f>
      </c>
    </row>
    <row r="11" spans="1:12">
      <c r="A11" s="211" t="s">
        <v>23</v>
      </c>
      <c r="B11" s="202">
        <f>'Data Sheet'!B63</f>
      </c>
      <c r="C11" s="202">
        <f>'Data Sheet'!C63</f>
      </c>
      <c r="D11" s="202">
        <f>'Data Sheet'!D63</f>
      </c>
      <c r="E11" s="202">
        <f>'Data Sheet'!E63</f>
      </c>
      <c r="F11" s="202">
        <f>'Data Sheet'!F63</f>
      </c>
      <c r="G11" s="202">
        <f>'Data Sheet'!G63</f>
      </c>
      <c r="H11" s="202">
        <f>'Data Sheet'!H63</f>
      </c>
      <c r="I11" s="202">
        <f>'Data Sheet'!I63</f>
      </c>
      <c r="J11" s="202">
        <f>'Data Sheet'!J63</f>
      </c>
      <c r="K11" s="212">
        <f>'Data Sheet'!K63</f>
      </c>
    </row>
    <row r="12" spans="1:12">
      <c r="A12" s="438" t="s">
        <v>24</v>
      </c>
      <c r="B12" s="439">
        <f>'Data Sheet'!B64</f>
      </c>
      <c r="C12" s="439">
        <f>'Data Sheet'!C64</f>
      </c>
      <c r="D12" s="439">
        <f>'Data Sheet'!D64</f>
      </c>
      <c r="E12" s="439">
        <f>'Data Sheet'!E64</f>
      </c>
      <c r="F12" s="439">
        <f>'Data Sheet'!F64</f>
      </c>
      <c r="G12" s="439">
        <f>'Data Sheet'!G64</f>
      </c>
      <c r="H12" s="439">
        <f>'Data Sheet'!H64</f>
      </c>
      <c r="I12" s="439">
        <f>'Data Sheet'!I64</f>
      </c>
      <c r="J12" s="439">
        <f>'Data Sheet'!J64</f>
      </c>
      <c r="K12" s="440">
        <f>'Data Sheet'!K64</f>
      </c>
    </row>
    <row r="13" spans="1:12">
      <c r="A13" s="211" t="s">
        <v>67</v>
      </c>
      <c r="B13" s="202">
        <f>'Data Sheet'!B65</f>
      </c>
      <c r="C13" s="202">
        <f>'Data Sheet'!C65</f>
      </c>
      <c r="D13" s="202">
        <f>'Data Sheet'!D65</f>
      </c>
      <c r="E13" s="202">
        <f>'Data Sheet'!E65</f>
      </c>
      <c r="F13" s="202">
        <f>'Data Sheet'!F65</f>
      </c>
      <c r="G13" s="202">
        <f>'Data Sheet'!G65</f>
      </c>
      <c r="H13" s="202">
        <f>'Data Sheet'!H65</f>
      </c>
      <c r="I13" s="202">
        <f>'Data Sheet'!I65</f>
      </c>
      <c r="J13" s="202">
        <f>'Data Sheet'!J65</f>
      </c>
      <c r="K13" s="212">
        <f>'Data Sheet'!K65</f>
      </c>
    </row>
    <row r="14" spans="1:12" s="200" customFormat="1">
      <c r="A14" s="441" t="s">
        <v>21</v>
      </c>
      <c r="B14" s="442">
        <f>'Data Sheet'!B66</f>
      </c>
      <c r="C14" s="442">
        <f>'Data Sheet'!C66</f>
      </c>
      <c r="D14" s="442">
        <f>'Data Sheet'!D66</f>
      </c>
      <c r="E14" s="442">
        <f>'Data Sheet'!E66</f>
      </c>
      <c r="F14" s="442">
        <f>'Data Sheet'!F66</f>
      </c>
      <c r="G14" s="442">
        <f>'Data Sheet'!G66</f>
      </c>
      <c r="H14" s="442">
        <f>'Data Sheet'!H66</f>
      </c>
      <c r="I14" s="442">
        <f>'Data Sheet'!I66</f>
      </c>
      <c r="J14" s="442">
        <f>'Data Sheet'!J66</f>
      </c>
      <c r="K14" s="443">
        <f>'Data Sheet'!K66</f>
      </c>
      <c r="L14" s="201"/>
    </row>
    <row r="15" spans="1:12">
      <c r="A15" s="211"/>
      <c r="B15" s="204"/>
      <c r="C15" s="204"/>
      <c r="D15" s="204"/>
      <c r="E15" s="204"/>
      <c r="F15" s="204"/>
      <c r="G15" s="204"/>
      <c r="H15" s="204"/>
      <c r="I15" s="204"/>
      <c r="J15" s="204"/>
      <c r="K15" s="215"/>
    </row>
    <row r="16" spans="1:12">
      <c r="A16" s="438" t="s">
        <v>25</v>
      </c>
      <c r="B16" s="444">
        <f>B13-B7</f>
      </c>
      <c r="C16" s="444">
        <f t="shared" ref="C16:K16" si="0">C13-C7</f>
      </c>
      <c r="D16" s="444">
        <f t="shared" si="0"/>
      </c>
      <c r="E16" s="444">
        <f t="shared" si="0"/>
      </c>
      <c r="F16" s="444">
        <f t="shared" si="0"/>
      </c>
      <c r="G16" s="444">
        <f t="shared" si="0"/>
      </c>
      <c r="H16" s="444">
        <f t="shared" si="0"/>
      </c>
      <c r="I16" s="444">
        <f t="shared" si="0"/>
      </c>
      <c r="J16" s="444">
        <f t="shared" si="0"/>
      </c>
      <c r="K16" s="445">
        <f t="shared" si="0"/>
      </c>
    </row>
    <row r="17" spans="1:12">
      <c r="A17" s="211" t="s">
        <v>39</v>
      </c>
      <c r="B17" s="204">
        <f>'Data Sheet'!B67</f>
      </c>
      <c r="C17" s="204">
        <f>'Data Sheet'!C67</f>
      </c>
      <c r="D17" s="204">
        <f>'Data Sheet'!D67</f>
      </c>
      <c r="E17" s="204">
        <f>'Data Sheet'!E67</f>
      </c>
      <c r="F17" s="204">
        <f>'Data Sheet'!F67</f>
      </c>
      <c r="G17" s="204">
        <f>'Data Sheet'!G67</f>
      </c>
      <c r="H17" s="204">
        <f>'Data Sheet'!H67</f>
      </c>
      <c r="I17" s="204">
        <f>'Data Sheet'!I67</f>
      </c>
      <c r="J17" s="204">
        <f>'Data Sheet'!J67</f>
      </c>
      <c r="K17" s="215">
        <f>'Data Sheet'!K67</f>
      </c>
    </row>
    <row r="18" spans="1:12">
      <c r="A18" s="438" t="s">
        <v>40</v>
      </c>
      <c r="B18" s="444">
        <f>'Data Sheet'!B68</f>
      </c>
      <c r="C18" s="444">
        <f>'Data Sheet'!C68</f>
      </c>
      <c r="D18" s="444">
        <f>'Data Sheet'!D68</f>
      </c>
      <c r="E18" s="444">
        <f>'Data Sheet'!E68</f>
      </c>
      <c r="F18" s="444">
        <f>'Data Sheet'!F68</f>
      </c>
      <c r="G18" s="444">
        <f>'Data Sheet'!G68</f>
      </c>
      <c r="H18" s="444">
        <f>'Data Sheet'!H68</f>
      </c>
      <c r="I18" s="444">
        <f>'Data Sheet'!I68</f>
      </c>
      <c r="J18" s="444">
        <f>'Data Sheet'!J68</f>
      </c>
      <c r="K18" s="445">
        <f>'Data Sheet'!K68</f>
      </c>
    </row>
    <row r="19" spans="1:12" ht="13.5" thickBot="1">
      <c r="A19" s="435" t="s">
        <v>81</v>
      </c>
      <c r="B19" s="436"/>
      <c r="C19" s="436"/>
      <c r="D19" s="436">
        <f>71.52+4663.29</f>
      </c>
      <c r="E19" s="436">
        <f>76.82+3290.3</f>
      </c>
      <c r="F19" s="436">
        <f>181.04+3009.36</f>
      </c>
      <c r="G19" s="436">
        <f>117.5+3275.89</f>
      </c>
      <c r="H19" s="436">
        <f>127.22+2477.63</f>
      </c>
      <c r="I19" s="436">
        <f>74.68+3471.57</f>
      </c>
      <c r="J19" s="437">
        <f>74.06+4544.06+121.33</f>
      </c>
      <c r="K19" s="437">
        <f>106.96+130.61+5591.12</f>
      </c>
    </row>
    <row r="20" spans="1:12">
      <c r="A20" s="206"/>
      <c r="B20" s="205"/>
      <c r="C20" s="205"/>
      <c r="D20" s="205"/>
      <c r="E20" s="205"/>
      <c r="F20" s="205"/>
      <c r="G20" s="205"/>
      <c r="H20" s="205"/>
      <c r="I20" s="205"/>
      <c r="J20" s="205"/>
      <c r="K20" s="205"/>
    </row>
    <row r="21" spans="1:12" ht="13.5" thickBot="1">
      <c r="B21" s="205"/>
      <c r="C21" s="205"/>
      <c r="D21" s="205"/>
      <c r="E21" s="205"/>
      <c r="F21" s="205"/>
      <c r="G21" s="205"/>
      <c r="H21" s="205"/>
      <c r="I21" s="205"/>
      <c r="J21" s="205"/>
      <c r="K21" s="205"/>
    </row>
    <row r="22" spans="1:12">
      <c r="A22" s="446" t="s">
        <v>41</v>
      </c>
      <c r="B22" s="447">
        <f>IF('Profit &amp; Loss'!B4&gt;0,'Balance Sheet'!B17/('Profit &amp; Loss'!B4/365),0)</f>
      </c>
      <c r="C22" s="447">
        <f>IF('Profit &amp; Loss'!C4&gt;0,'Balance Sheet'!C17/('Profit &amp; Loss'!C4/365),0)</f>
      </c>
      <c r="D22" s="447">
        <f>IF('Profit &amp; Loss'!D4&gt;0,'Balance Sheet'!D17/('Profit &amp; Loss'!D4/365),0)</f>
      </c>
      <c r="E22" s="447">
        <f>IF('Profit &amp; Loss'!E4&gt;0,'Balance Sheet'!E17/('Profit &amp; Loss'!E4/365),0)</f>
      </c>
      <c r="F22" s="447">
        <f>IF('Profit &amp; Loss'!F4&gt;0,'Balance Sheet'!F17/('Profit &amp; Loss'!F4/365),0)</f>
      </c>
      <c r="G22" s="447">
        <f>IF('Profit &amp; Loss'!G4&gt;0,'Balance Sheet'!G17/('Profit &amp; Loss'!G4/365),0)</f>
      </c>
      <c r="H22" s="447">
        <f>IF('Profit &amp; Loss'!H4&gt;0,'Balance Sheet'!H17/('Profit &amp; Loss'!H4/365),0)</f>
      </c>
      <c r="I22" s="447">
        <f>IF('Profit &amp; Loss'!I4&gt;0,'Balance Sheet'!I17/('Profit &amp; Loss'!I4/365),0)</f>
      </c>
      <c r="J22" s="447">
        <f>IF('Profit &amp; Loss'!J4&gt;0,'Balance Sheet'!J17/('Profit &amp; Loss'!J4/365),0)</f>
      </c>
      <c r="K22" s="448">
        <f>IF('Profit &amp; Loss'!K4&gt;0,'Balance Sheet'!K17/('Profit &amp; Loss'!K4/365),0)</f>
      </c>
    </row>
    <row r="23" spans="1:12">
      <c r="A23" s="449" t="s">
        <v>42</v>
      </c>
      <c r="B23" s="450">
        <f>IF('Balance Sheet'!B18&gt;0,'Profit &amp; Loss'!B4/'Balance Sheet'!B18,0)</f>
      </c>
      <c r="C23" s="450">
        <f>IF('Balance Sheet'!C18&gt;0,'Profit &amp; Loss'!C4/'Balance Sheet'!C18,0)</f>
      </c>
      <c r="D23" s="450">
        <f>IF('Balance Sheet'!D18&gt;0,'Profit &amp; Loss'!D4/'Balance Sheet'!D18,0)</f>
      </c>
      <c r="E23" s="450">
        <f>IF('Balance Sheet'!E18&gt;0,'Profit &amp; Loss'!E4/'Balance Sheet'!E18,0)</f>
      </c>
      <c r="F23" s="450">
        <f>IF('Balance Sheet'!F18&gt;0,'Profit &amp; Loss'!F4/'Balance Sheet'!F18,0)</f>
      </c>
      <c r="G23" s="450">
        <f>IF('Balance Sheet'!G18&gt;0,'Profit &amp; Loss'!G4/'Balance Sheet'!G18,0)</f>
      </c>
      <c r="H23" s="450">
        <f>IF('Balance Sheet'!H18&gt;0,'Profit &amp; Loss'!H4/'Balance Sheet'!H18,0)</f>
      </c>
      <c r="I23" s="450">
        <f>IF('Balance Sheet'!I18&gt;0,'Profit &amp; Loss'!I4/'Balance Sheet'!I18,0)</f>
      </c>
      <c r="J23" s="450">
        <f>IF('Balance Sheet'!J18&gt;0,'Profit &amp; Loss'!J4/'Balance Sheet'!J18,0)</f>
      </c>
      <c r="K23" s="451">
        <f>IF('Balance Sheet'!K18&gt;0,'Profit &amp; Loss'!K4/'Balance Sheet'!K18,0)</f>
      </c>
    </row>
    <row r="24" spans="1:12">
      <c r="A24" s="449" t="s">
        <v>96</v>
      </c>
      <c r="B24" s="452">
        <f>'Profit &amp; Loss'!B4/'Balance Sheet'!B10</f>
      </c>
      <c r="C24" s="452">
        <f>'Profit &amp; Loss'!C4/'Balance Sheet'!C10</f>
      </c>
      <c r="D24" s="452">
        <f>'Profit &amp; Loss'!D4/'Balance Sheet'!D10</f>
      </c>
      <c r="E24" s="452">
        <f>'Profit &amp; Loss'!E4/'Balance Sheet'!E10</f>
      </c>
      <c r="F24" s="452">
        <f>'Profit &amp; Loss'!F4/'Balance Sheet'!F10</f>
      </c>
      <c r="G24" s="452">
        <f>'Profit &amp; Loss'!G4/'Balance Sheet'!G10</f>
      </c>
      <c r="H24" s="452">
        <f>'Profit &amp; Loss'!H4/'Balance Sheet'!H10</f>
      </c>
      <c r="I24" s="452">
        <f>'Profit &amp; Loss'!I4/'Balance Sheet'!I10</f>
      </c>
      <c r="J24" s="452">
        <f>'Profit &amp; Loss'!J4/'Balance Sheet'!J10</f>
      </c>
      <c r="K24" s="453">
        <f>'Profit &amp; Loss'!K4/'Balance Sheet'!K10</f>
      </c>
    </row>
    <row r="25" spans="1:12">
      <c r="A25" s="449" t="s">
        <v>97</v>
      </c>
      <c r="B25" s="452">
        <f>B6/(B4+B5)</f>
      </c>
      <c r="C25" s="452">
        <f t="shared" ref="C25:K25" si="1">C6/(C4+C5)</f>
      </c>
      <c r="D25" s="452">
        <f t="shared" si="1"/>
      </c>
      <c r="E25" s="452">
        <f t="shared" si="1"/>
      </c>
      <c r="F25" s="452">
        <f t="shared" si="1"/>
      </c>
      <c r="G25" s="452">
        <f t="shared" si="1"/>
      </c>
      <c r="H25" s="452">
        <f t="shared" si="1"/>
      </c>
      <c r="I25" s="452">
        <f t="shared" si="1"/>
      </c>
      <c r="J25" s="452">
        <f t="shared" si="1"/>
      </c>
      <c r="K25" s="453">
        <f t="shared" si="1"/>
      </c>
    </row>
    <row r="26" spans="1:12" s="200" customFormat="1">
      <c r="A26" s="449" t="s">
        <v>55</v>
      </c>
      <c r="B26" s="454">
        <f>IF(SUM('Balance Sheet'!B4:B5)&gt;0,'Profit &amp; Loss'!B24/SUM('Balance Sheet'!B4:B5),"")</f>
      </c>
      <c r="C26" s="454">
        <f>IF(SUM('Balance Sheet'!C4:C5)&gt;0,'Profit &amp; Loss'!C24/SUM('Balance Sheet'!C4:C5),"")</f>
      </c>
      <c r="D26" s="454">
        <f>IF(SUM('Balance Sheet'!D4:D5)&gt;0,'Profit &amp; Loss'!D24/SUM('Balance Sheet'!D4:D5),"")</f>
      </c>
      <c r="E26" s="454">
        <f>IF(SUM('Balance Sheet'!E4:E5)&gt;0,'Profit &amp; Loss'!E24/SUM('Balance Sheet'!E4:E5),"")</f>
      </c>
      <c r="F26" s="454">
        <f>IF(SUM('Balance Sheet'!F4:F5)&gt;0,'Profit &amp; Loss'!F24/SUM('Balance Sheet'!F4:F5),"")</f>
      </c>
      <c r="G26" s="454">
        <f>IF(SUM('Balance Sheet'!G4:G5)&gt;0,'Profit &amp; Loss'!G24/SUM('Balance Sheet'!G4:G5),"")</f>
      </c>
      <c r="H26" s="454">
        <f>IF(SUM('Balance Sheet'!H4:H5)&gt;0,'Profit &amp; Loss'!H24/SUM('Balance Sheet'!H4:H5),"")</f>
      </c>
      <c r="I26" s="454">
        <f>IF(SUM('Balance Sheet'!I4:I5)&gt;0,'Profit &amp; Loss'!I24/SUM('Balance Sheet'!I4:I5),"")</f>
      </c>
      <c r="J26" s="454">
        <f>IF(SUM('Balance Sheet'!J4:J5)&gt;0,'Profit &amp; Loss'!J24/SUM('Balance Sheet'!J4:J5),"")</f>
      </c>
      <c r="K26" s="455">
        <f>IF(SUM('Balance Sheet'!K4:K5)&gt;0,'Profit &amp; Loss'!K24/SUM('Balance Sheet'!K4:K5),"")</f>
      </c>
      <c r="L26" s="201"/>
    </row>
    <row r="27" spans="1:12" s="200" customFormat="1">
      <c r="A27" s="456" t="s">
        <v>95</v>
      </c>
      <c r="B27" s="457">
        <f>('Profit &amp; Loss'!B19+'Profit &amp; Loss'!B17)/(B4+B5+B6)</f>
      </c>
      <c r="C27" s="457">
        <f>('Profit &amp; Loss'!C19+'Profit &amp; Loss'!C17)/(C4+C5+C6)</f>
      </c>
      <c r="D27" s="457">
        <f>('Profit &amp; Loss'!D19+'Profit &amp; Loss'!D17)/(D4+D5+D6)</f>
      </c>
      <c r="E27" s="457">
        <f>('Profit &amp; Loss'!E19+'Profit &amp; Loss'!E17)/(E4+E5+E6)</f>
      </c>
      <c r="F27" s="457">
        <f>('Profit &amp; Loss'!F19+'Profit &amp; Loss'!F17)/(F4+F5+F6)</f>
      </c>
      <c r="G27" s="457">
        <f>('Profit &amp; Loss'!G19+'Profit &amp; Loss'!G17)/(G4+G5+G6)</f>
      </c>
      <c r="H27" s="457">
        <f>('Profit &amp; Loss'!H19+'Profit &amp; Loss'!H17)/(H4+H5+H6)</f>
      </c>
      <c r="I27" s="457">
        <f>('Profit &amp; Loss'!I19+'Profit &amp; Loss'!I17)/(I4+I5+I6)</f>
      </c>
      <c r="J27" s="457">
        <f>('Profit &amp; Loss'!J19+'Profit &amp; Loss'!J17)/(J4+J5+J6)</f>
      </c>
      <c r="K27" s="458">
        <f>('Profit &amp; Loss'!K19+'Profit &amp; Loss'!K17)/(K4+K5+K6)</f>
      </c>
      <c r="L27" s="201"/>
    </row>
    <row r="28" spans="1:12">
      <c r="A28" s="459" t="s">
        <v>621</v>
      </c>
      <c r="B28" s="459"/>
      <c r="C28" s="459"/>
      <c r="D28" s="460">
        <f>D14+D11</f>
      </c>
      <c r="E28" s="460">
        <f t="shared" ref="E28:K28" si="2">E14+E11</f>
      </c>
      <c r="F28" s="460">
        <f t="shared" si="2"/>
      </c>
      <c r="G28" s="460">
        <f t="shared" si="2"/>
      </c>
      <c r="H28" s="460">
        <f t="shared" si="2"/>
      </c>
      <c r="I28" s="460">
        <f t="shared" si="2"/>
      </c>
      <c r="J28" s="460">
        <f t="shared" si="2"/>
      </c>
      <c r="K28" s="460">
        <f t="shared" si="2"/>
      </c>
    </row>
    <row r="29" spans="1:12">
      <c r="A29" s="459" t="s">
        <v>622</v>
      </c>
      <c r="B29" s="459"/>
      <c r="C29" s="459"/>
      <c r="D29" s="459"/>
      <c r="E29" s="460">
        <f>E28-D28</f>
      </c>
      <c r="F29" s="460">
        <f t="shared" ref="F29:K29" si="3">F28-E28</f>
      </c>
      <c r="G29" s="460">
        <f t="shared" si="3"/>
      </c>
      <c r="H29" s="460">
        <f t="shared" si="3"/>
      </c>
      <c r="I29" s="460">
        <f t="shared" si="3"/>
      </c>
      <c r="J29" s="460">
        <f t="shared" si="3"/>
      </c>
      <c r="K29" s="460">
        <f t="shared" si="3"/>
      </c>
    </row>
  </sheetData>
  <mergeCells count="2">
    <mergeCell ref="A1:K1"/>
    <mergeCell ref="A2:K2"/>
  </mergeCells>
  <conditionalFormatting sqref="B4:K29">
    <cfRule type="cellIs" dxfId="10"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A00-000012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Sheet'!E29:K29</xm:f>
              <xm:sqref>L29</xm:sqref>
            </x14:sparkline>
          </x14:sparklines>
        </x14:sparklineGroup>
        <x14:sparklineGroup type="column" displayEmptyCellsAs="gap" low="1" xr2:uid="{00000000-0003-0000-0A00-000013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Sheet'!D28:K28</xm:f>
              <xm:sqref>L28</xm:sqref>
            </x14:sparkline>
          </x14:sparklines>
        </x14:sparklineGroup>
        <x14:sparklineGroup type="column" displayEmptyCellsAs="gap" low="1" xr2:uid="{00000000-0003-0000-0A00-000014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Sheet'!G5:K5</xm:f>
              <xm:sqref>L5</xm:sqref>
            </x14:sparkline>
            <x14:sparkline>
              <xm:f>'Balance Sheet'!G6:K6</xm:f>
              <xm:sqref>L6</xm:sqref>
            </x14:sparkline>
            <x14:sparkline>
              <xm:f>'Balance Sheet'!G7:K7</xm:f>
              <xm:sqref>L7</xm:sqref>
            </x14:sparkline>
            <x14:sparkline>
              <xm:f>'Balance Sheet'!G8:K8</xm:f>
              <xm:sqref>L8</xm:sqref>
            </x14:sparkline>
            <x14:sparkline>
              <xm:f>'Balance Sheet'!G9:K9</xm:f>
              <xm:sqref>L9</xm:sqref>
            </x14:sparkline>
            <x14:sparkline>
              <xm:f>'Balance Sheet'!G10:K10</xm:f>
              <xm:sqref>L10</xm:sqref>
            </x14:sparkline>
            <x14:sparkline>
              <xm:f>'Balance Sheet'!G11:K11</xm:f>
              <xm:sqref>L11</xm:sqref>
            </x14:sparkline>
            <x14:sparkline>
              <xm:f>'Balance Sheet'!G12:K12</xm:f>
              <xm:sqref>L12</xm:sqref>
            </x14:sparkline>
            <x14:sparkline>
              <xm:f>'Balance Sheet'!G13:K13</xm:f>
              <xm:sqref>L13</xm:sqref>
            </x14:sparkline>
            <x14:sparkline>
              <xm:f>'Balance Sheet'!G14:K14</xm:f>
              <xm:sqref>L14</xm:sqref>
            </x14:sparkline>
            <x14:sparkline>
              <xm:f>'Balance Sheet'!G15:K15</xm:f>
              <xm:sqref>L15</xm:sqref>
            </x14:sparkline>
            <x14:sparkline>
              <xm:f>'Balance Sheet'!G16:K16</xm:f>
              <xm:sqref>L16</xm:sqref>
            </x14:sparkline>
            <x14:sparkline>
              <xm:f>'Balance Sheet'!G17:K17</xm:f>
              <xm:sqref>L17</xm:sqref>
            </x14:sparkline>
            <x14:sparkline>
              <xm:f>'Balance Sheet'!G18:K18</xm:f>
              <xm:sqref>L18</xm:sqref>
            </x14:sparkline>
            <x14:sparkline>
              <xm:f>'Balance Sheet'!G19:K19</xm:f>
              <xm:sqref>L19</xm:sqref>
            </x14:sparkline>
          </x14:sparklines>
        </x14:sparklineGroup>
        <x14:sparklineGroup type="column" displayEmptyCellsAs="gap" low="1" xr2:uid="{00000000-0003-0000-0A00-000015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Sheet'!G22:K22</xm:f>
              <xm:sqref>L22</xm:sqref>
            </x14:sparkline>
            <x14:sparkline>
              <xm:f>'Balance Sheet'!G23:K23</xm:f>
              <xm:sqref>L23</xm:sqref>
            </x14:sparkline>
            <x14:sparkline>
              <xm:f>'Balance Sheet'!G24:K24</xm:f>
              <xm:sqref>L24</xm:sqref>
            </x14:sparkline>
            <x14:sparkline>
              <xm:f>'Balance Sheet'!G25:K25</xm:f>
              <xm:sqref>L25</xm:sqref>
            </x14:sparkline>
            <x14:sparkline>
              <xm:f>'Balance Sheet'!G26:K26</xm:f>
              <xm:sqref>L26</xm:sqref>
            </x14:sparkline>
            <x14:sparkline>
              <xm:f>'Balance Sheet'!G27:K27</xm:f>
              <xm:sqref>L27</xm:sqref>
            </x14:sparkline>
          </x14:sparklines>
        </x14:sparklineGroup>
      </x14:sparklineGroups>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3">
    <pageSetUpPr fitToPage="1"/>
  </sheetPr>
  <dimension ref="A1:M21"/>
  <sheetViews>
    <sheetView workbookViewId="0">
      <pane xSplit="1" ySplit="3" topLeftCell="B4" activePane="bottomRight" state="frozen"/>
      <selection activeCell="R9" sqref="R9"/>
      <selection pane="topRight" activeCell="R9" sqref="R9"/>
      <selection pane="bottomLeft" activeCell="R9" sqref="R9"/>
      <selection pane="bottomRight" activeCell="O25" sqref="O25"/>
    </sheetView>
  </sheetViews>
  <sheetFormatPr defaultColWidth="13.140625" defaultRowHeight="12.75"/>
  <cols>
    <col min="1" max="1" width="33.140625" style="6" bestFit="1" customWidth="1"/>
    <col min="2" max="11" width="8.28515625" style="6" bestFit="1" customWidth="1"/>
    <col min="12" max="12" width="9.85546875" style="6" bestFit="1" customWidth="1"/>
    <col min="13" max="16384" width="13.140625" style="6"/>
  </cols>
  <sheetData>
    <row r="1" spans="1:13" ht="19.5">
      <c r="A1" s="675" t="s">
        <v>250</v>
      </c>
      <c r="B1" s="676"/>
      <c r="C1" s="676"/>
      <c r="D1" s="676"/>
      <c r="E1" s="676"/>
      <c r="F1" s="676"/>
      <c r="G1" s="676"/>
      <c r="H1" s="676"/>
      <c r="I1" s="676"/>
      <c r="J1" s="676"/>
      <c r="K1" s="676"/>
      <c r="L1" s="677"/>
    </row>
    <row r="2" spans="1:13" s="5" customFormat="1">
      <c r="A2" s="687" t="str">
        <f>'Balance Sheet'!A2</f>
      </c>
      <c r="B2" s="688"/>
      <c r="C2" s="688"/>
      <c r="D2" s="688"/>
      <c r="E2" s="688"/>
      <c r="F2" s="688"/>
      <c r="G2" s="688"/>
      <c r="H2" s="688"/>
      <c r="I2" s="688"/>
      <c r="J2" s="688"/>
      <c r="K2" s="688"/>
      <c r="L2" s="689"/>
    </row>
    <row r="3" spans="1:13" s="5" customFormat="1">
      <c r="A3" s="216" t="s">
        <v>178</v>
      </c>
      <c r="B3" s="102">
        <f>'Data Sheet'!B81</f>
      </c>
      <c r="C3" s="102">
        <f>'Data Sheet'!C81</f>
      </c>
      <c r="D3" s="102">
        <f>'Data Sheet'!D81</f>
      </c>
      <c r="E3" s="102">
        <f>'Data Sheet'!E81</f>
      </c>
      <c r="F3" s="102">
        <f>'Data Sheet'!F81</f>
      </c>
      <c r="G3" s="102">
        <f>'Data Sheet'!G81</f>
      </c>
      <c r="H3" s="102">
        <f>'Data Sheet'!H81</f>
      </c>
      <c r="I3" s="102">
        <f>'Data Sheet'!I81</f>
      </c>
      <c r="J3" s="102">
        <f>'Data Sheet'!J81</f>
      </c>
      <c r="K3" s="102">
        <f>'Data Sheet'!K81</f>
      </c>
      <c r="L3" s="193" t="s">
        <v>21</v>
      </c>
    </row>
    <row r="4" spans="1:13" s="5" customFormat="1">
      <c r="A4" s="217" t="s">
        <v>92</v>
      </c>
      <c r="B4" s="106">
        <f>'Data Sheet'!B82</f>
      </c>
      <c r="C4" s="106">
        <f>'Data Sheet'!C82</f>
      </c>
      <c r="D4" s="106">
        <f>'Data Sheet'!D82</f>
      </c>
      <c r="E4" s="106">
        <f>'Data Sheet'!E82</f>
      </c>
      <c r="F4" s="106">
        <f>'Data Sheet'!F82</f>
      </c>
      <c r="G4" s="106">
        <f>'Data Sheet'!G82</f>
      </c>
      <c r="H4" s="106">
        <f>'Data Sheet'!H82</f>
      </c>
      <c r="I4" s="106">
        <f>'Data Sheet'!I82</f>
      </c>
      <c r="J4" s="106">
        <f>'Data Sheet'!J82</f>
      </c>
      <c r="K4" s="106">
        <f>'Data Sheet'!K82</f>
      </c>
      <c r="L4" s="218">
        <f>SUM(B4:K4)</f>
      </c>
      <c r="M4" s="6"/>
    </row>
    <row r="5" spans="1:13" s="389" customFormat="1">
      <c r="A5" s="377" t="s">
        <v>265</v>
      </c>
      <c r="B5" s="378"/>
      <c r="C5" s="379">
        <f>C4/B4-1</f>
      </c>
      <c r="D5" s="379">
        <f t="shared" ref="D5:K5" si="0">D4/C4-1</f>
      </c>
      <c r="E5" s="379">
        <f t="shared" si="0"/>
      </c>
      <c r="F5" s="379">
        <f t="shared" si="0"/>
      </c>
      <c r="G5" s="379">
        <f t="shared" si="0"/>
      </c>
      <c r="H5" s="379">
        <f t="shared" si="0"/>
      </c>
      <c r="I5" s="379">
        <f t="shared" si="0"/>
      </c>
      <c r="J5" s="379">
        <f t="shared" si="0"/>
      </c>
      <c r="K5" s="379">
        <f t="shared" si="0"/>
      </c>
      <c r="L5" s="380"/>
      <c r="M5" s="6"/>
    </row>
    <row r="6" spans="1:13">
      <c r="A6" s="79" t="s">
        <v>28</v>
      </c>
      <c r="B6" s="23">
        <f>'Data Sheet'!B83</f>
      </c>
      <c r="C6" s="23">
        <f>'Data Sheet'!C83</f>
      </c>
      <c r="D6" s="23">
        <f>'Data Sheet'!D83</f>
      </c>
      <c r="E6" s="23">
        <f>'Data Sheet'!E83</f>
      </c>
      <c r="F6" s="23">
        <f>'Data Sheet'!F83</f>
      </c>
      <c r="G6" s="23">
        <f>'Data Sheet'!G83</f>
      </c>
      <c r="H6" s="23">
        <f>'Data Sheet'!H83</f>
      </c>
      <c r="I6" s="23">
        <f>'Data Sheet'!I83</f>
      </c>
      <c r="J6" s="23">
        <f>'Data Sheet'!J83</f>
      </c>
      <c r="K6" s="23">
        <f>'Data Sheet'!K83</f>
      </c>
      <c r="L6" s="218">
        <f t="shared" ref="L6:L8" si="1">SUM(B6:K6)</f>
      </c>
    </row>
    <row r="7" spans="1:13">
      <c r="A7" s="381" t="s">
        <v>29</v>
      </c>
      <c r="B7" s="382">
        <f>'Data Sheet'!B84</f>
      </c>
      <c r="C7" s="382">
        <f>'Data Sheet'!C84</f>
      </c>
      <c r="D7" s="382">
        <f>'Data Sheet'!D84</f>
      </c>
      <c r="E7" s="382">
        <f>'Data Sheet'!E84</f>
      </c>
      <c r="F7" s="382">
        <f>'Data Sheet'!F84</f>
      </c>
      <c r="G7" s="382">
        <f>'Data Sheet'!G84</f>
      </c>
      <c r="H7" s="382">
        <f>'Data Sheet'!H84</f>
      </c>
      <c r="I7" s="382">
        <f>'Data Sheet'!I84</f>
      </c>
      <c r="J7" s="382">
        <f>'Data Sheet'!J84</f>
      </c>
      <c r="K7" s="382">
        <f>'Data Sheet'!K84</f>
      </c>
      <c r="L7" s="383">
        <f t="shared" si="1"/>
      </c>
    </row>
    <row r="8" spans="1:13" s="5" customFormat="1">
      <c r="A8" s="217" t="s">
        <v>30</v>
      </c>
      <c r="B8" s="106">
        <f>'Data Sheet'!B85</f>
      </c>
      <c r="C8" s="106">
        <f>'Data Sheet'!C85</f>
      </c>
      <c r="D8" s="106">
        <f>'Data Sheet'!D85</f>
      </c>
      <c r="E8" s="106">
        <f>'Data Sheet'!E85</f>
      </c>
      <c r="F8" s="106">
        <f>'Data Sheet'!F85</f>
      </c>
      <c r="G8" s="106">
        <f>'Data Sheet'!G85</f>
      </c>
      <c r="H8" s="106">
        <f>'Data Sheet'!H85</f>
      </c>
      <c r="I8" s="106">
        <f>'Data Sheet'!I85</f>
      </c>
      <c r="J8" s="106">
        <f>'Data Sheet'!J85</f>
      </c>
      <c r="K8" s="106">
        <f>'Data Sheet'!K85</f>
      </c>
      <c r="L8" s="218">
        <f t="shared" si="1"/>
      </c>
      <c r="M8" s="6"/>
    </row>
    <row r="9" spans="1:13" s="9" customFormat="1">
      <c r="A9" s="377" t="s">
        <v>93</v>
      </c>
      <c r="B9" s="379">
        <f>B4/'Profit &amp; Loss'!B4</f>
      </c>
      <c r="C9" s="379">
        <f>C4/'Profit &amp; Loss'!C4</f>
      </c>
      <c r="D9" s="379">
        <f>D4/'Profit &amp; Loss'!D4</f>
      </c>
      <c r="E9" s="379">
        <f>E4/'Profit &amp; Loss'!E4</f>
      </c>
      <c r="F9" s="379">
        <f>F4/'Profit &amp; Loss'!F4</f>
      </c>
      <c r="G9" s="379">
        <f>G4/'Profit &amp; Loss'!G4</f>
      </c>
      <c r="H9" s="379">
        <f>H4/'Profit &amp; Loss'!H4</f>
      </c>
      <c r="I9" s="379">
        <f>I4/'Profit &amp; Loss'!I4</f>
      </c>
      <c r="J9" s="379">
        <f>J4/'Profit &amp; Loss'!J4</f>
      </c>
      <c r="K9" s="379">
        <f>K4/'Profit &amp; Loss'!K4</f>
      </c>
      <c r="L9" s="384"/>
      <c r="M9" s="6"/>
    </row>
    <row r="10" spans="1:13" s="9" customFormat="1">
      <c r="A10" s="219" t="s">
        <v>94</v>
      </c>
      <c r="B10" s="105">
        <f>B4/'Profit &amp; Loss'!B24</f>
      </c>
      <c r="C10" s="105">
        <f>C4/'Profit &amp; Loss'!C24</f>
      </c>
      <c r="D10" s="105">
        <f>D4/'Profit &amp; Loss'!D24</f>
      </c>
      <c r="E10" s="105">
        <f>E4/'Profit &amp; Loss'!E24</f>
      </c>
      <c r="F10" s="105">
        <f>F4/'Profit &amp; Loss'!F24</f>
      </c>
      <c r="G10" s="105">
        <f>G4/'Profit &amp; Loss'!G24</f>
      </c>
      <c r="H10" s="105">
        <f>H4/'Profit &amp; Loss'!H24</f>
      </c>
      <c r="I10" s="105">
        <f>I4/'Profit &amp; Loss'!I24</f>
      </c>
      <c r="J10" s="105">
        <f>J4/'Profit &amp; Loss'!J24</f>
      </c>
      <c r="K10" s="105">
        <f>K4/'Profit &amp; Loss'!K24</f>
      </c>
      <c r="L10" s="220"/>
      <c r="M10" s="6"/>
    </row>
    <row r="11" spans="1:13">
      <c r="A11" s="390" t="s">
        <v>620</v>
      </c>
      <c r="B11" s="391"/>
      <c r="C11" s="391">
        <f ca="1">'Screener Output'!D75</f>
      </c>
      <c r="D11" s="391">
        <f ca="1">'Screener Output'!E75</f>
      </c>
      <c r="E11" s="391">
        <f ca="1">'Screener Output'!F75</f>
      </c>
      <c r="F11" s="391">
        <f ca="1">'Screener Output'!G75</f>
      </c>
      <c r="G11" s="391">
        <f ca="1">'Screener Output'!H75</f>
      </c>
      <c r="H11" s="391">
        <f ca="1">'Screener Output'!I75</f>
      </c>
      <c r="I11" s="391">
        <f ca="1">'Screener Output'!J75</f>
      </c>
      <c r="J11" s="391">
        <f ca="1">'Screener Output'!K75</f>
      </c>
      <c r="K11" s="391">
        <f ca="1">'Screener Output'!L75</f>
      </c>
      <c r="L11" s="392"/>
    </row>
    <row r="12" spans="1:13">
      <c r="A12" s="79" t="s">
        <v>129</v>
      </c>
      <c r="B12" s="107"/>
      <c r="C12" s="107">
        <f t="shared" ref="C12:K12" ca="1" si="2">C4-C11</f>
      </c>
      <c r="D12" s="107">
        <f t="shared" ca="1" si="2"/>
      </c>
      <c r="E12" s="107">
        <f t="shared" ca="1" si="2"/>
      </c>
      <c r="F12" s="107">
        <f t="shared" ca="1" si="2"/>
      </c>
      <c r="G12" s="107">
        <f t="shared" ca="1" si="2"/>
      </c>
      <c r="H12" s="107">
        <f t="shared" ca="1" si="2"/>
      </c>
      <c r="I12" s="107">
        <f t="shared" ca="1" si="2"/>
      </c>
      <c r="J12" s="107">
        <f t="shared" ca="1" si="2"/>
      </c>
      <c r="K12" s="107">
        <f t="shared" ca="1" si="2"/>
      </c>
      <c r="L12" s="221">
        <f t="shared" ref="L12" ca="1" si="3">SUM(B12:K12)</f>
      </c>
    </row>
    <row r="13" spans="1:13" ht="14.45" customHeight="1">
      <c r="A13" s="377" t="s">
        <v>130</v>
      </c>
      <c r="B13" s="385">
        <f ca="1">AVERAGE(I12:K12)</f>
      </c>
      <c r="C13" s="386"/>
      <c r="D13" s="386"/>
      <c r="E13" s="386"/>
      <c r="F13" s="386"/>
      <c r="G13" s="386"/>
      <c r="H13" s="386"/>
      <c r="I13" s="386"/>
      <c r="J13" s="386"/>
      <c r="K13" s="387"/>
      <c r="L13" s="388"/>
    </row>
    <row r="14" spans="1:13" ht="14.45" customHeight="1">
      <c r="A14" s="219" t="s">
        <v>268</v>
      </c>
      <c r="B14" s="375"/>
      <c r="C14" s="228" t="e">
        <f ca="1">C12/B12-1</f>
      </c>
      <c r="D14" s="228">
        <f t="shared" ref="D14:K14" ca="1" si="4">D12/C12-1</f>
      </c>
      <c r="E14" s="228">
        <f t="shared" ca="1" si="4"/>
      </c>
      <c r="F14" s="228">
        <f t="shared" ca="1" si="4"/>
      </c>
      <c r="G14" s="228">
        <f t="shared" ca="1" si="4"/>
      </c>
      <c r="H14" s="228">
        <f t="shared" ca="1" si="4"/>
      </c>
      <c r="I14" s="228">
        <f t="shared" ca="1" si="4"/>
      </c>
      <c r="J14" s="228">
        <f t="shared" ca="1" si="4"/>
      </c>
      <c r="K14" s="228">
        <f t="shared" ca="1" si="4"/>
      </c>
      <c r="L14" s="222"/>
    </row>
    <row r="15" spans="1:13">
      <c r="A15" s="377" t="s">
        <v>173</v>
      </c>
      <c r="B15" s="379">
        <f>B12/'Data Sheet'!B17</f>
      </c>
      <c r="C15" s="379">
        <f ca="1">C12/'Data Sheet'!C17</f>
      </c>
      <c r="D15" s="379">
        <f ca="1">D12/'Data Sheet'!D17</f>
      </c>
      <c r="E15" s="379">
        <f ca="1">E12/'Data Sheet'!E17</f>
      </c>
      <c r="F15" s="379">
        <f ca="1">F12/'Data Sheet'!F17</f>
      </c>
      <c r="G15" s="379">
        <f ca="1">G12/'Data Sheet'!G17</f>
      </c>
      <c r="H15" s="379">
        <f ca="1">H12/'Data Sheet'!H17</f>
      </c>
      <c r="I15" s="379">
        <f ca="1">I12/'Data Sheet'!I17</f>
      </c>
      <c r="J15" s="379">
        <f ca="1">J12/'Data Sheet'!J17</f>
      </c>
      <c r="K15" s="379">
        <f ca="1">K12/'Data Sheet'!K17</f>
      </c>
      <c r="L15" s="388"/>
    </row>
    <row r="16" spans="1:13" ht="13.5" thickBot="1">
      <c r="A16" s="223" t="s">
        <v>174</v>
      </c>
      <c r="B16" s="224">
        <f>B12/'Data Sheet'!B30</f>
      </c>
      <c r="C16" s="224">
        <f ca="1">C12/'Data Sheet'!C30</f>
      </c>
      <c r="D16" s="224">
        <f ca="1">D12/'Data Sheet'!D30</f>
      </c>
      <c r="E16" s="224">
        <f ca="1">E12/'Data Sheet'!E30</f>
      </c>
      <c r="F16" s="224">
        <f ca="1">F12/'Data Sheet'!F30</f>
      </c>
      <c r="G16" s="224">
        <f ca="1">G12/'Data Sheet'!G30</f>
      </c>
      <c r="H16" s="224">
        <f ca="1">H12/'Data Sheet'!H30</f>
      </c>
      <c r="I16" s="224">
        <f ca="1">I12/'Data Sheet'!I30</f>
      </c>
      <c r="J16" s="224">
        <f ca="1">J12/'Data Sheet'!J30</f>
      </c>
      <c r="K16" s="224">
        <f ca="1">K12/'Data Sheet'!K30</f>
      </c>
      <c r="L16" s="225"/>
    </row>
    <row r="17" spans="1:11">
      <c r="B17" s="281"/>
      <c r="C17" s="281"/>
      <c r="D17" s="281"/>
      <c r="E17" s="281"/>
      <c r="F17" s="281"/>
      <c r="G17" s="281"/>
      <c r="H17" s="281"/>
      <c r="I17" s="281"/>
      <c r="J17" s="281"/>
      <c r="K17" s="281"/>
    </row>
    <row r="18" spans="1:11">
      <c r="A18" s="207"/>
    </row>
    <row r="21" spans="1:11">
      <c r="C21" s="355"/>
      <c r="D21" s="355"/>
      <c r="E21" s="355"/>
      <c r="F21" s="355"/>
      <c r="G21" s="355"/>
      <c r="H21" s="355"/>
      <c r="I21" s="355"/>
      <c r="J21" s="355"/>
      <c r="K21" s="355"/>
    </row>
  </sheetData>
  <mergeCells count="2">
    <mergeCell ref="A1:L1"/>
    <mergeCell ref="A2:L2"/>
  </mergeCells>
  <conditionalFormatting sqref="B4:L16">
    <cfRule type="cellIs" dxfId="9"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B00-000016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'Cash Flow'!G4:K4</xm:f>
              <xm:sqref>M4</xm:sqref>
            </x14:sparkline>
            <x14:sparkline>
              <xm:f>'Cash Flow'!G5:K5</xm:f>
              <xm:sqref>M5</xm:sqref>
            </x14:sparkline>
            <x14:sparkline>
              <xm:f>'Cash Flow'!G6:K6</xm:f>
              <xm:sqref>M6</xm:sqref>
            </x14:sparkline>
            <x14:sparkline>
              <xm:f>'Cash Flow'!G7:K7</xm:f>
              <xm:sqref>M7</xm:sqref>
            </x14:sparkline>
            <x14:sparkline>
              <xm:f>'Cash Flow'!G8:K8</xm:f>
              <xm:sqref>M8</xm:sqref>
            </x14:sparkline>
            <x14:sparkline>
              <xm:f>'Cash Flow'!G9:K9</xm:f>
              <xm:sqref>M9</xm:sqref>
            </x14:sparkline>
            <x14:sparkline>
              <xm:f>'Cash Flow'!G10:K10</xm:f>
              <xm:sqref>M10</xm:sqref>
            </x14:sparkline>
            <x14:sparkline>
              <xm:f>'Cash Flow'!G11:K11</xm:f>
              <xm:sqref>M11</xm:sqref>
            </x14:sparkline>
            <x14:sparkline>
              <xm:f>'Cash Flow'!G12:K12</xm:f>
              <xm:sqref>M12</xm:sqref>
            </x14:sparkline>
            <x14:sparkline>
              <xm:f>'Cash Flow'!G13:K13</xm:f>
              <xm:sqref>M13</xm:sqref>
            </x14:sparkline>
            <x14:sparkline>
              <xm:f>'Cash Flow'!G14:K14</xm:f>
              <xm:sqref>M14</xm:sqref>
            </x14:sparkline>
            <x14:sparkline>
              <xm:f>'Cash Flow'!G15:K15</xm:f>
              <xm:sqref>M15</xm:sqref>
            </x14:sparkline>
            <x14:sparkline>
              <xm:f>'Cash Flow'!G16:K16</xm:f>
              <xm:sqref>M16</xm:sqref>
            </x14:sparkline>
          </x14:sparklines>
        </x14:sparklineGroup>
      </x14:sparklineGroup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7">
    <tabColor rgb="FF0070C0"/>
  </sheetPr>
  <dimension ref="A1:O111"/>
  <sheetViews>
    <sheetView topLeftCell="A4" workbookViewId="0">
      <pane xSplit="2" ySplit="1" topLeftCell="C77" activePane="bottomRight" state="frozen"/>
      <selection activeCell="R9" sqref="R9"/>
      <selection pane="topRight" activeCell="R9" sqref="R9"/>
      <selection pane="bottomLeft" activeCell="R9" sqref="R9"/>
      <selection pane="bottomRight" activeCell="L36" sqref="L36"/>
    </sheetView>
  </sheetViews>
  <sheetFormatPr defaultColWidth="9.140625" defaultRowHeight="15"/>
  <cols>
    <col min="1" max="1" width="30" bestFit="1" customWidth="1"/>
    <col min="2" max="2" width="9.140625" style="288"/>
    <col min="3" max="3" width="11.85546875" customWidth="1"/>
    <col min="4" max="11" width="11.140625" customWidth="1"/>
    <col min="12" max="12" width="16.7109375" customWidth="1"/>
    <col min="13" max="13" width="12" bestFit="1" customWidth="1"/>
  </cols>
  <sheetData>
    <row r="1" spans="1:14">
      <c r="A1" s="320" t="str">
        <f ca="1">INDIRECT(ADDRESS(1,2,,,"Data Sheet"))</f>
      </c>
      <c r="B1" s="291"/>
      <c r="C1" s="290"/>
      <c r="D1" s="290"/>
      <c r="E1" s="290"/>
      <c r="F1" s="290"/>
      <c r="G1" s="290"/>
      <c r="H1" s="290"/>
      <c r="I1" s="290"/>
      <c r="J1" s="290"/>
      <c r="K1" s="290"/>
      <c r="L1" s="290"/>
      <c r="M1" s="290"/>
      <c r="N1" s="290"/>
    </row>
    <row r="2" spans="1:14">
      <c r="B2" s="291"/>
      <c r="C2" s="290"/>
      <c r="D2" s="290"/>
      <c r="E2" s="290"/>
      <c r="F2" s="290"/>
      <c r="G2" s="290"/>
      <c r="H2" s="290"/>
      <c r="I2" s="290"/>
      <c r="J2" s="290"/>
      <c r="K2" s="290"/>
      <c r="L2" s="290"/>
      <c r="M2" s="290"/>
      <c r="N2" s="290"/>
    </row>
    <row r="3" spans="1:14" s="282" customFormat="1">
      <c r="A3" s="283" t="s">
        <v>32</v>
      </c>
      <c r="B3" s="295">
        <f ca="1">MATCH(A3,INDIRECT("'Data Sheet'!A:A"),0)</f>
      </c>
      <c r="C3" s="312" t="str">
        <f ca="1">"'Data Sheet'!A"&amp;B3&amp;":A999"</f>
      </c>
    </row>
    <row r="4" spans="1:14">
      <c r="A4" s="317"/>
      <c r="B4" s="311">
        <f ca="1">MATCH("Report Date",INDIRECT(C3),0)+B3-1</f>
      </c>
      <c r="C4" s="313">
        <f t="shared" ref="C4:L13" ca="1" si="0">INDIRECT(ADDRESS($B4,COLUMN()-1,,,"Data Sheet"))</f>
      </c>
      <c r="D4" s="313">
        <f t="shared" ca="1" si="0"/>
      </c>
      <c r="E4" s="313">
        <f t="shared" ca="1" si="0"/>
      </c>
      <c r="F4" s="313">
        <f t="shared" ca="1" si="0"/>
      </c>
      <c r="G4" s="313">
        <f t="shared" ca="1" si="0"/>
      </c>
      <c r="H4" s="313">
        <f t="shared" ca="1" si="0"/>
      </c>
      <c r="I4" s="313">
        <f t="shared" ca="1" si="0"/>
      </c>
      <c r="J4" s="313">
        <f t="shared" ca="1" si="0"/>
      </c>
      <c r="K4" s="313">
        <f t="shared" ca="1" si="0"/>
      </c>
      <c r="L4" s="313">
        <f t="shared" ca="1" si="0"/>
      </c>
      <c r="M4" t="s">
        <v>355</v>
      </c>
    </row>
    <row r="5" spans="1:14" s="284" customFormat="1">
      <c r="A5" s="284" t="s">
        <v>4</v>
      </c>
      <c r="B5" s="295">
        <f t="shared" ref="B5:B19" ca="1" si="1">MATCH(A5,INDIRECT($C$3),0)+$B$3-1</f>
      </c>
      <c r="C5" s="297">
        <f t="shared" ca="1" si="0"/>
      </c>
      <c r="D5" s="297">
        <f t="shared" ca="1" si="0"/>
      </c>
      <c r="E5" s="297">
        <f t="shared" ca="1" si="0"/>
      </c>
      <c r="F5" s="297">
        <f t="shared" ca="1" si="0"/>
      </c>
      <c r="G5" s="297">
        <f t="shared" ca="1" si="0"/>
      </c>
      <c r="H5" s="297">
        <f t="shared" ca="1" si="0"/>
      </c>
      <c r="I5" s="297">
        <f t="shared" ca="1" si="0"/>
      </c>
      <c r="J5" s="297">
        <f t="shared" ca="1" si="0"/>
      </c>
      <c r="K5" s="297">
        <f t="shared" ca="1" si="0"/>
      </c>
      <c r="L5" s="297">
        <f t="shared" ca="1" si="0"/>
      </c>
      <c r="M5" s="319">
        <f ca="1">SUM(I23:L23)</f>
      </c>
    </row>
    <row r="6" spans="1:14" s="284" customFormat="1">
      <c r="A6" s="282" t="s">
        <v>74</v>
      </c>
      <c r="B6" s="295">
        <f t="shared" ca="1" si="1"/>
      </c>
      <c r="C6" s="297">
        <f t="shared" ca="1" si="0"/>
      </c>
      <c r="D6" s="297">
        <f t="shared" ca="1" si="0"/>
      </c>
      <c r="E6" s="297">
        <f t="shared" ca="1" si="0"/>
      </c>
      <c r="F6" s="297">
        <f t="shared" ca="1" si="0"/>
      </c>
      <c r="G6" s="297">
        <f t="shared" ca="1" si="0"/>
      </c>
      <c r="H6" s="297">
        <f t="shared" ca="1" si="0"/>
      </c>
      <c r="I6" s="297">
        <f t="shared" ca="1" si="0"/>
      </c>
      <c r="J6" s="297">
        <f t="shared" ca="1" si="0"/>
      </c>
      <c r="K6" s="297">
        <f t="shared" ca="1" si="0"/>
      </c>
      <c r="L6" s="297">
        <f t="shared" ca="1" si="0"/>
      </c>
    </row>
    <row r="7" spans="1:14" s="284" customFormat="1">
      <c r="A7" s="282" t="s">
        <v>75</v>
      </c>
      <c r="B7" s="295">
        <f t="shared" ca="1" si="1"/>
      </c>
      <c r="C7" s="297">
        <f t="shared" ca="1" si="0"/>
      </c>
      <c r="D7" s="297">
        <f t="shared" ca="1" si="0"/>
      </c>
      <c r="E7" s="297">
        <f t="shared" ca="1" si="0"/>
      </c>
      <c r="F7" s="297">
        <f t="shared" ca="1" si="0"/>
      </c>
      <c r="G7" s="297">
        <f t="shared" ca="1" si="0"/>
      </c>
      <c r="H7" s="297">
        <f t="shared" ca="1" si="0"/>
      </c>
      <c r="I7" s="297">
        <f t="shared" ca="1" si="0"/>
      </c>
      <c r="J7" s="297">
        <f t="shared" ca="1" si="0"/>
      </c>
      <c r="K7" s="297">
        <f t="shared" ca="1" si="0"/>
      </c>
      <c r="L7" s="297">
        <f t="shared" ca="1" si="0"/>
      </c>
    </row>
    <row r="8" spans="1:14" s="284" customFormat="1">
      <c r="A8" s="282" t="s">
        <v>76</v>
      </c>
      <c r="B8" s="295">
        <f t="shared" ca="1" si="1"/>
      </c>
      <c r="C8" s="297">
        <f t="shared" ca="1" si="0"/>
      </c>
      <c r="D8" s="297">
        <f t="shared" ca="1" si="0"/>
      </c>
      <c r="E8" s="297">
        <f t="shared" ca="1" si="0"/>
      </c>
      <c r="F8" s="297">
        <f t="shared" ca="1" si="0"/>
      </c>
      <c r="G8" s="297">
        <f t="shared" ca="1" si="0"/>
      </c>
      <c r="H8" s="297">
        <f t="shared" ca="1" si="0"/>
      </c>
      <c r="I8" s="297">
        <f t="shared" ca="1" si="0"/>
      </c>
      <c r="J8" s="297">
        <f t="shared" ca="1" si="0"/>
      </c>
      <c r="K8" s="297">
        <f t="shared" ca="1" si="0"/>
      </c>
      <c r="L8" s="297">
        <f t="shared" ca="1" si="0"/>
      </c>
    </row>
    <row r="9" spans="1:14" s="284" customFormat="1">
      <c r="A9" s="282" t="s">
        <v>77</v>
      </c>
      <c r="B9" s="295">
        <f t="shared" ca="1" si="1"/>
      </c>
      <c r="C9" s="297">
        <f t="shared" ca="1" si="0"/>
      </c>
      <c r="D9" s="297">
        <f t="shared" ca="1" si="0"/>
      </c>
      <c r="E9" s="297">
        <f t="shared" ca="1" si="0"/>
      </c>
      <c r="F9" s="297">
        <f t="shared" ca="1" si="0"/>
      </c>
      <c r="G9" s="297">
        <f t="shared" ca="1" si="0"/>
      </c>
      <c r="H9" s="297">
        <f t="shared" ca="1" si="0"/>
      </c>
      <c r="I9" s="297">
        <f t="shared" ca="1" si="0"/>
      </c>
      <c r="J9" s="297">
        <f t="shared" ca="1" si="0"/>
      </c>
      <c r="K9" s="297">
        <f t="shared" ca="1" si="0"/>
      </c>
      <c r="L9" s="297">
        <f t="shared" ca="1" si="0"/>
      </c>
    </row>
    <row r="10" spans="1:14" s="284" customFormat="1">
      <c r="A10" s="282" t="s">
        <v>78</v>
      </c>
      <c r="B10" s="295">
        <f t="shared" ca="1" si="1"/>
      </c>
      <c r="C10" s="297">
        <f t="shared" ca="1" si="0"/>
      </c>
      <c r="D10" s="297">
        <f t="shared" ca="1" si="0"/>
      </c>
      <c r="E10" s="297">
        <f t="shared" ca="1" si="0"/>
      </c>
      <c r="F10" s="297">
        <f t="shared" ca="1" si="0"/>
      </c>
      <c r="G10" s="297">
        <f t="shared" ca="1" si="0"/>
      </c>
      <c r="H10" s="297">
        <f t="shared" ca="1" si="0"/>
      </c>
      <c r="I10" s="297">
        <f t="shared" ca="1" si="0"/>
      </c>
      <c r="J10" s="297">
        <f t="shared" ca="1" si="0"/>
      </c>
      <c r="K10" s="297">
        <f t="shared" ca="1" si="0"/>
      </c>
      <c r="L10" s="297">
        <f t="shared" ca="1" si="0"/>
      </c>
    </row>
    <row r="11" spans="1:14" s="284" customFormat="1">
      <c r="A11" s="282" t="s">
        <v>79</v>
      </c>
      <c r="B11" s="295">
        <f t="shared" ca="1" si="1"/>
      </c>
      <c r="C11" s="297">
        <f t="shared" ca="1" si="0"/>
      </c>
      <c r="D11" s="297">
        <f t="shared" ca="1" si="0"/>
      </c>
      <c r="E11" s="297">
        <f t="shared" ca="1" si="0"/>
      </c>
      <c r="F11" s="297">
        <f t="shared" ca="1" si="0"/>
      </c>
      <c r="G11" s="297">
        <f t="shared" ca="1" si="0"/>
      </c>
      <c r="H11" s="297">
        <f t="shared" ca="1" si="0"/>
      </c>
      <c r="I11" s="297">
        <f t="shared" ca="1" si="0"/>
      </c>
      <c r="J11" s="297">
        <f t="shared" ca="1" si="0"/>
      </c>
      <c r="K11" s="297">
        <f t="shared" ca="1" si="0"/>
      </c>
      <c r="L11" s="297">
        <f t="shared" ca="1" si="0"/>
      </c>
    </row>
    <row r="12" spans="1:14" s="284" customFormat="1">
      <c r="A12" s="282" t="s">
        <v>80</v>
      </c>
      <c r="B12" s="295">
        <f t="shared" ca="1" si="1"/>
      </c>
      <c r="C12" s="297">
        <f t="shared" ca="1" si="0"/>
      </c>
      <c r="D12" s="297">
        <f t="shared" ca="1" si="0"/>
      </c>
      <c r="E12" s="297">
        <f t="shared" ca="1" si="0"/>
      </c>
      <c r="F12" s="297">
        <f t="shared" ca="1" si="0"/>
      </c>
      <c r="G12" s="297">
        <f t="shared" ca="1" si="0"/>
      </c>
      <c r="H12" s="297">
        <f t="shared" ca="1" si="0"/>
      </c>
      <c r="I12" s="297">
        <f t="shared" ca="1" si="0"/>
      </c>
      <c r="J12" s="297">
        <f t="shared" ca="1" si="0"/>
      </c>
      <c r="K12" s="297">
        <f t="shared" ca="1" si="0"/>
      </c>
      <c r="L12" s="297">
        <f t="shared" ca="1" si="0"/>
      </c>
      <c r="M12" s="319"/>
    </row>
    <row r="13" spans="1:14" s="284" customFormat="1">
      <c r="A13" s="284" t="s">
        <v>7</v>
      </c>
      <c r="B13" s="295">
        <f t="shared" ca="1" si="1"/>
      </c>
      <c r="C13" s="297">
        <f t="shared" ca="1" si="0"/>
      </c>
      <c r="D13" s="297">
        <f t="shared" ca="1" si="0"/>
      </c>
      <c r="E13" s="297">
        <f t="shared" ca="1" si="0"/>
      </c>
      <c r="F13" s="297">
        <f t="shared" ca="1" si="0"/>
      </c>
      <c r="G13" s="297">
        <f t="shared" ca="1" si="0"/>
      </c>
      <c r="H13" s="297">
        <f t="shared" ca="1" si="0"/>
      </c>
      <c r="I13" s="297">
        <f t="shared" ca="1" si="0"/>
      </c>
      <c r="J13" s="297">
        <f t="shared" ca="1" si="0"/>
      </c>
      <c r="K13" s="297">
        <f t="shared" ca="1" si="0"/>
      </c>
      <c r="L13" s="297">
        <f t="shared" ca="1" si="0"/>
      </c>
      <c r="M13" s="319">
        <f t="shared" ref="M13:M18" ca="1" si="2">SUM(I25:L25)</f>
      </c>
    </row>
    <row r="14" spans="1:14" s="284" customFormat="1">
      <c r="A14" s="284" t="s">
        <v>8</v>
      </c>
      <c r="B14" s="295">
        <f t="shared" ca="1" si="1"/>
      </c>
      <c r="C14" s="297">
        <f t="shared" ref="C14:L19" ca="1" si="3">INDIRECT(ADDRESS($B14,COLUMN()-1,,,"Data Sheet"))</f>
      </c>
      <c r="D14" s="297">
        <f t="shared" ca="1" si="3"/>
      </c>
      <c r="E14" s="297">
        <f t="shared" ca="1" si="3"/>
      </c>
      <c r="F14" s="297">
        <f t="shared" ca="1" si="3"/>
      </c>
      <c r="G14" s="297">
        <f t="shared" ca="1" si="3"/>
      </c>
      <c r="H14" s="297">
        <f t="shared" ca="1" si="3"/>
      </c>
      <c r="I14" s="297">
        <f t="shared" ca="1" si="3"/>
      </c>
      <c r="J14" s="297">
        <f t="shared" ca="1" si="3"/>
      </c>
      <c r="K14" s="297">
        <f t="shared" ca="1" si="3"/>
      </c>
      <c r="L14" s="297">
        <f t="shared" ca="1" si="3"/>
      </c>
      <c r="M14" s="319">
        <f t="shared" ca="1" si="2"/>
      </c>
    </row>
    <row r="15" spans="1:14" s="284" customFormat="1">
      <c r="A15" s="284" t="s">
        <v>9</v>
      </c>
      <c r="B15" s="295">
        <f t="shared" ca="1" si="1"/>
      </c>
      <c r="C15" s="297">
        <f t="shared" ca="1" si="3"/>
      </c>
      <c r="D15" s="297">
        <f t="shared" ca="1" si="3"/>
      </c>
      <c r="E15" s="297">
        <f t="shared" ca="1" si="3"/>
      </c>
      <c r="F15" s="297">
        <f t="shared" ca="1" si="3"/>
      </c>
      <c r="G15" s="297">
        <f t="shared" ca="1" si="3"/>
      </c>
      <c r="H15" s="297">
        <f t="shared" ca="1" si="3"/>
      </c>
      <c r="I15" s="297">
        <f t="shared" ca="1" si="3"/>
      </c>
      <c r="J15" s="297">
        <f t="shared" ca="1" si="3"/>
      </c>
      <c r="K15" s="297">
        <f t="shared" ca="1" si="3"/>
      </c>
      <c r="L15" s="297">
        <f t="shared" ca="1" si="3"/>
      </c>
      <c r="M15" s="319">
        <f t="shared" ca="1" si="2"/>
      </c>
    </row>
    <row r="16" spans="1:14" s="284" customFormat="1">
      <c r="A16" s="284" t="s">
        <v>10</v>
      </c>
      <c r="B16" s="295">
        <f t="shared" ca="1" si="1"/>
      </c>
      <c r="C16" s="297">
        <f t="shared" ca="1" si="3"/>
      </c>
      <c r="D16" s="297">
        <f t="shared" ca="1" si="3"/>
      </c>
      <c r="E16" s="297">
        <f t="shared" ca="1" si="3"/>
      </c>
      <c r="F16" s="297">
        <f t="shared" ca="1" si="3"/>
      </c>
      <c r="G16" s="297">
        <f t="shared" ca="1" si="3"/>
      </c>
      <c r="H16" s="297">
        <f t="shared" ca="1" si="3"/>
      </c>
      <c r="I16" s="297">
        <f t="shared" ca="1" si="3"/>
      </c>
      <c r="J16" s="297">
        <f t="shared" ca="1" si="3"/>
      </c>
      <c r="K16" s="297">
        <f t="shared" ca="1" si="3"/>
      </c>
      <c r="L16" s="297">
        <f t="shared" ca="1" si="3"/>
      </c>
      <c r="M16" s="319">
        <f t="shared" ca="1" si="2"/>
      </c>
    </row>
    <row r="17" spans="1:13" s="284" customFormat="1">
      <c r="A17" s="284" t="s">
        <v>11</v>
      </c>
      <c r="B17" s="295">
        <f t="shared" ca="1" si="1"/>
      </c>
      <c r="C17" s="297">
        <f t="shared" ca="1" si="3"/>
      </c>
      <c r="D17" s="297">
        <f t="shared" ca="1" si="3"/>
      </c>
      <c r="E17" s="297">
        <f t="shared" ca="1" si="3"/>
      </c>
      <c r="F17" s="297">
        <f t="shared" ca="1" si="3"/>
      </c>
      <c r="G17" s="297">
        <f t="shared" ca="1" si="3"/>
      </c>
      <c r="H17" s="297">
        <f t="shared" ca="1" si="3"/>
      </c>
      <c r="I17" s="297">
        <f t="shared" ca="1" si="3"/>
      </c>
      <c r="J17" s="297">
        <f t="shared" ca="1" si="3"/>
      </c>
      <c r="K17" s="297">
        <f t="shared" ca="1" si="3"/>
      </c>
      <c r="L17" s="297">
        <f t="shared" ca="1" si="3"/>
      </c>
      <c r="M17" s="319">
        <f t="shared" ca="1" si="2"/>
      </c>
    </row>
    <row r="18" spans="1:13" s="284" customFormat="1">
      <c r="A18" s="284" t="s">
        <v>12</v>
      </c>
      <c r="B18" s="295">
        <f t="shared" ca="1" si="1"/>
      </c>
      <c r="C18" s="297">
        <f t="shared" ca="1" si="3"/>
      </c>
      <c r="D18" s="297">
        <f t="shared" ca="1" si="3"/>
      </c>
      <c r="E18" s="297">
        <f t="shared" ca="1" si="3"/>
      </c>
      <c r="F18" s="297">
        <f t="shared" ca="1" si="3"/>
      </c>
      <c r="G18" s="297">
        <f t="shared" ca="1" si="3"/>
      </c>
      <c r="H18" s="297">
        <f t="shared" ca="1" si="3"/>
      </c>
      <c r="I18" s="297">
        <f t="shared" ca="1" si="3"/>
      </c>
      <c r="J18" s="297">
        <f t="shared" ca="1" si="3"/>
      </c>
      <c r="K18" s="297">
        <f t="shared" ca="1" si="3"/>
      </c>
      <c r="L18" s="297">
        <f t="shared" ca="1" si="3"/>
      </c>
      <c r="M18" s="319">
        <f t="shared" ca="1" si="2"/>
      </c>
    </row>
    <row r="19" spans="1:13" s="284" customFormat="1">
      <c r="A19" s="284" t="s">
        <v>64</v>
      </c>
      <c r="B19" s="295">
        <f t="shared" ca="1" si="1"/>
      </c>
      <c r="C19" s="297">
        <f t="shared" ca="1" si="3"/>
      </c>
      <c r="D19" s="297">
        <f t="shared" ca="1" si="3"/>
      </c>
      <c r="E19" s="297">
        <f t="shared" ca="1" si="3"/>
      </c>
      <c r="F19" s="297">
        <f t="shared" ca="1" si="3"/>
      </c>
      <c r="G19" s="297">
        <f t="shared" ca="1" si="3"/>
      </c>
      <c r="H19" s="297">
        <f t="shared" ca="1" si="3"/>
      </c>
      <c r="I19" s="297">
        <f t="shared" ca="1" si="3"/>
      </c>
      <c r="J19" s="297">
        <f t="shared" ca="1" si="3"/>
      </c>
      <c r="K19" s="297">
        <f t="shared" ca="1" si="3"/>
      </c>
      <c r="L19" s="297">
        <f t="shared" ca="1" si="3"/>
      </c>
      <c r="M19" s="319"/>
    </row>
    <row r="20" spans="1:13" s="284" customFormat="1"/>
    <row r="21" spans="1:13">
      <c r="A21" s="318" t="s">
        <v>34</v>
      </c>
      <c r="B21" s="295">
        <f ca="1">MATCH(A21,INDIRECT("'Data Sheet'!A:A"),0)</f>
      </c>
      <c r="C21" s="312" t="str">
        <f ca="1">"'Data Sheet'!A"&amp;B21&amp;":A999"</f>
      </c>
    </row>
    <row r="22" spans="1:13">
      <c r="A22" s="317"/>
      <c r="B22" s="311">
        <f ca="1">MATCH("Report Date",INDIRECT(C21),0)+B21-1</f>
      </c>
      <c r="C22" s="313">
        <f t="shared" ref="C22:L31" ca="1" si="4">INDIRECT(ADDRESS($B22,COLUMN()-1,,,"Data Sheet"))</f>
      </c>
      <c r="D22" s="313">
        <f t="shared" ca="1" si="4"/>
      </c>
      <c r="E22" s="313">
        <f t="shared" ca="1" si="4"/>
      </c>
      <c r="F22" s="313">
        <f t="shared" ca="1" si="4"/>
      </c>
      <c r="G22" s="313">
        <f t="shared" ca="1" si="4"/>
      </c>
      <c r="H22" s="313">
        <f t="shared" ca="1" si="4"/>
      </c>
      <c r="I22" s="313">
        <f t="shared" ca="1" si="4"/>
      </c>
      <c r="J22" s="313">
        <f t="shared" ca="1" si="4"/>
      </c>
      <c r="K22" s="313">
        <f t="shared" ca="1" si="4"/>
      </c>
      <c r="L22" s="313">
        <f t="shared" ca="1" si="4"/>
      </c>
    </row>
    <row r="23" spans="1:13">
      <c r="A23" s="316" t="s">
        <v>4</v>
      </c>
      <c r="B23" s="315">
        <f t="shared" ref="B23:B31" ca="1" si="5">MATCH(A23,INDIRECT($C$21),0)+$B$21-1</f>
      </c>
      <c r="C23" s="314">
        <f t="shared" ca="1" si="4"/>
      </c>
      <c r="D23" s="314">
        <f t="shared" ca="1" si="4"/>
      </c>
      <c r="E23" s="314">
        <f t="shared" ca="1" si="4"/>
      </c>
      <c r="F23" s="314">
        <f t="shared" ca="1" si="4"/>
      </c>
      <c r="G23" s="314">
        <f t="shared" ca="1" si="4"/>
      </c>
      <c r="H23" s="314">
        <f t="shared" ca="1" si="4"/>
      </c>
      <c r="I23" s="314">
        <f t="shared" ca="1" si="4"/>
      </c>
      <c r="J23" s="314">
        <f t="shared" ca="1" si="4"/>
      </c>
      <c r="K23" s="314">
        <f t="shared" ca="1" si="4"/>
      </c>
      <c r="L23" s="314">
        <f t="shared" ca="1" si="4"/>
      </c>
    </row>
    <row r="24" spans="1:13">
      <c r="A24" s="316" t="s">
        <v>5</v>
      </c>
      <c r="B24" s="315">
        <f t="shared" ca="1" si="5"/>
      </c>
      <c r="C24" s="314">
        <f t="shared" ca="1" si="4"/>
      </c>
      <c r="D24" s="314">
        <f t="shared" ca="1" si="4"/>
      </c>
      <c r="E24" s="314">
        <f t="shared" ca="1" si="4"/>
      </c>
      <c r="F24" s="314">
        <f t="shared" ca="1" si="4"/>
      </c>
      <c r="G24" s="314">
        <f t="shared" ca="1" si="4"/>
      </c>
      <c r="H24" s="314">
        <f t="shared" ca="1" si="4"/>
      </c>
      <c r="I24" s="314">
        <f t="shared" ca="1" si="4"/>
      </c>
      <c r="J24" s="314">
        <f t="shared" ca="1" si="4"/>
      </c>
      <c r="K24" s="314">
        <f t="shared" ca="1" si="4"/>
      </c>
      <c r="L24" s="314">
        <f t="shared" ca="1" si="4"/>
      </c>
    </row>
    <row r="25" spans="1:13">
      <c r="A25" s="316" t="s">
        <v>7</v>
      </c>
      <c r="B25" s="315">
        <f t="shared" ca="1" si="5"/>
      </c>
      <c r="C25" s="314">
        <f t="shared" ca="1" si="4"/>
      </c>
      <c r="D25" s="314">
        <f t="shared" ca="1" si="4"/>
      </c>
      <c r="E25" s="314">
        <f t="shared" ca="1" si="4"/>
      </c>
      <c r="F25" s="314">
        <f t="shared" ca="1" si="4"/>
      </c>
      <c r="G25" s="314">
        <f t="shared" ca="1" si="4"/>
      </c>
      <c r="H25" s="314">
        <f t="shared" ca="1" si="4"/>
      </c>
      <c r="I25" s="314">
        <f t="shared" ca="1" si="4"/>
      </c>
      <c r="J25" s="314">
        <f t="shared" ca="1" si="4"/>
      </c>
      <c r="K25" s="314">
        <f t="shared" ca="1" si="4"/>
      </c>
      <c r="L25" s="314">
        <f t="shared" ca="1" si="4"/>
      </c>
    </row>
    <row r="26" spans="1:13">
      <c r="A26" s="316" t="s">
        <v>8</v>
      </c>
      <c r="B26" s="315">
        <f t="shared" ca="1" si="5"/>
      </c>
      <c r="C26" s="314">
        <f t="shared" ca="1" si="4"/>
      </c>
      <c r="D26" s="314">
        <f t="shared" ca="1" si="4"/>
      </c>
      <c r="E26" s="314">
        <f t="shared" ca="1" si="4"/>
      </c>
      <c r="F26" s="314">
        <f t="shared" ca="1" si="4"/>
      </c>
      <c r="G26" s="314">
        <f t="shared" ca="1" si="4"/>
      </c>
      <c r="H26" s="314">
        <f t="shared" ca="1" si="4"/>
      </c>
      <c r="I26" s="314">
        <f t="shared" ca="1" si="4"/>
      </c>
      <c r="J26" s="314">
        <f t="shared" ca="1" si="4"/>
      </c>
      <c r="K26" s="314">
        <f t="shared" ca="1" si="4"/>
      </c>
      <c r="L26" s="314">
        <f t="shared" ca="1" si="4"/>
      </c>
    </row>
    <row r="27" spans="1:13">
      <c r="A27" s="316" t="s">
        <v>9</v>
      </c>
      <c r="B27" s="315">
        <f t="shared" ca="1" si="5"/>
      </c>
      <c r="C27" s="314">
        <f t="shared" ca="1" si="4"/>
      </c>
      <c r="D27" s="314">
        <f t="shared" ca="1" si="4"/>
      </c>
      <c r="E27" s="314">
        <f t="shared" ca="1" si="4"/>
      </c>
      <c r="F27" s="314">
        <f t="shared" ca="1" si="4"/>
      </c>
      <c r="G27" s="314">
        <f t="shared" ca="1" si="4"/>
      </c>
      <c r="H27" s="314">
        <f t="shared" ca="1" si="4"/>
      </c>
      <c r="I27" s="314">
        <f t="shared" ca="1" si="4"/>
      </c>
      <c r="J27" s="314">
        <f t="shared" ca="1" si="4"/>
      </c>
      <c r="K27" s="314">
        <f t="shared" ca="1" si="4"/>
      </c>
      <c r="L27" s="314">
        <f t="shared" ca="1" si="4"/>
      </c>
    </row>
    <row r="28" spans="1:13">
      <c r="A28" s="316" t="s">
        <v>10</v>
      </c>
      <c r="B28" s="315">
        <f t="shared" ca="1" si="5"/>
      </c>
      <c r="C28" s="314">
        <f t="shared" ca="1" si="4"/>
      </c>
      <c r="D28" s="314">
        <f t="shared" ca="1" si="4"/>
      </c>
      <c r="E28" s="314">
        <f t="shared" ca="1" si="4"/>
      </c>
      <c r="F28" s="314">
        <f t="shared" ca="1" si="4"/>
      </c>
      <c r="G28" s="314">
        <f t="shared" ca="1" si="4"/>
      </c>
      <c r="H28" s="314">
        <f t="shared" ca="1" si="4"/>
      </c>
      <c r="I28" s="314">
        <f t="shared" ca="1" si="4"/>
      </c>
      <c r="J28" s="314">
        <f t="shared" ca="1" si="4"/>
      </c>
      <c r="K28" s="314">
        <f t="shared" ca="1" si="4"/>
      </c>
      <c r="L28" s="314">
        <f t="shared" ca="1" si="4"/>
      </c>
    </row>
    <row r="29" spans="1:13">
      <c r="A29" s="316" t="s">
        <v>11</v>
      </c>
      <c r="B29" s="315">
        <f t="shared" ca="1" si="5"/>
      </c>
      <c r="C29" s="314">
        <f t="shared" ca="1" si="4"/>
      </c>
      <c r="D29" s="314">
        <f t="shared" ca="1" si="4"/>
      </c>
      <c r="E29" s="314">
        <f t="shared" ca="1" si="4"/>
      </c>
      <c r="F29" s="314">
        <f t="shared" ca="1" si="4"/>
      </c>
      <c r="G29" s="314">
        <f t="shared" ca="1" si="4"/>
      </c>
      <c r="H29" s="314">
        <f t="shared" ca="1" si="4"/>
      </c>
      <c r="I29" s="314">
        <f t="shared" ca="1" si="4"/>
      </c>
      <c r="J29" s="314">
        <f t="shared" ca="1" si="4"/>
      </c>
      <c r="K29" s="314">
        <f t="shared" ca="1" si="4"/>
      </c>
      <c r="L29" s="314">
        <f t="shared" ca="1" si="4"/>
      </c>
    </row>
    <row r="30" spans="1:13">
      <c r="A30" s="316" t="s">
        <v>12</v>
      </c>
      <c r="B30" s="315">
        <f t="shared" ca="1" si="5"/>
      </c>
      <c r="C30" s="314">
        <f t="shared" ca="1" si="4"/>
      </c>
      <c r="D30" s="314">
        <f t="shared" ca="1" si="4"/>
      </c>
      <c r="E30" s="314">
        <f t="shared" ca="1" si="4"/>
      </c>
      <c r="F30" s="314">
        <f t="shared" ca="1" si="4"/>
      </c>
      <c r="G30" s="314">
        <f t="shared" ca="1" si="4"/>
      </c>
      <c r="H30" s="314">
        <f t="shared" ca="1" si="4"/>
      </c>
      <c r="I30" s="314">
        <f t="shared" ca="1" si="4"/>
      </c>
      <c r="J30" s="314">
        <f t="shared" ca="1" si="4"/>
      </c>
      <c r="K30" s="314">
        <f t="shared" ca="1" si="4"/>
      </c>
      <c r="L30" s="314">
        <f t="shared" ca="1" si="4"/>
      </c>
    </row>
    <row r="31" spans="1:13">
      <c r="A31" s="316" t="s">
        <v>6</v>
      </c>
      <c r="B31" s="315">
        <f t="shared" ca="1" si="5"/>
      </c>
      <c r="C31" s="314">
        <f t="shared" ca="1" si="4"/>
      </c>
      <c r="D31" s="314">
        <f t="shared" ca="1" si="4"/>
      </c>
      <c r="E31" s="314">
        <f t="shared" ca="1" si="4"/>
      </c>
      <c r="F31" s="314">
        <f t="shared" ca="1" si="4"/>
      </c>
      <c r="G31" s="314">
        <f t="shared" ca="1" si="4"/>
      </c>
      <c r="H31" s="314">
        <f t="shared" ca="1" si="4"/>
      </c>
      <c r="I31" s="314">
        <f t="shared" ca="1" si="4"/>
      </c>
      <c r="J31" s="314">
        <f t="shared" ca="1" si="4"/>
      </c>
      <c r="K31" s="314">
        <f t="shared" ca="1" si="4"/>
      </c>
      <c r="L31" s="314">
        <f t="shared" ca="1" si="4"/>
      </c>
    </row>
    <row r="32" spans="1:13" s="282" customFormat="1">
      <c r="A32" s="284"/>
    </row>
    <row r="33" spans="1:12" s="282" customFormat="1">
      <c r="A33" s="283" t="s">
        <v>35</v>
      </c>
      <c r="B33" s="295">
        <f ca="1">MATCH(A33,INDIRECT("'Data Sheet'!A:A"),0)</f>
      </c>
      <c r="C33" s="312" t="str">
        <f ca="1">"'Data Sheet'!A"&amp;B33&amp;":A999"</f>
      </c>
    </row>
    <row r="34" spans="1:12" s="285" customFormat="1">
      <c r="A34" s="287" t="s">
        <v>33</v>
      </c>
      <c r="B34" s="311">
        <f ca="1">MATCH("Report Date",INDIRECT(C33),0)+B33-1</f>
      </c>
      <c r="C34" s="313">
        <f t="shared" ref="C34:L43" ca="1" si="6">INDIRECT(ADDRESS($B34,COLUMN()-1,,,"Data Sheet"))</f>
      </c>
      <c r="D34" s="313">
        <f t="shared" ca="1" si="6"/>
      </c>
      <c r="E34" s="313">
        <f t="shared" ca="1" si="6"/>
      </c>
      <c r="F34" s="313">
        <f t="shared" ca="1" si="6"/>
      </c>
      <c r="G34" s="313">
        <f t="shared" ca="1" si="6"/>
      </c>
      <c r="H34" s="313">
        <f t="shared" ca="1" si="6"/>
      </c>
      <c r="I34" s="313">
        <f t="shared" ca="1" si="6"/>
      </c>
      <c r="J34" s="313">
        <f t="shared" ca="1" si="6"/>
      </c>
      <c r="K34" s="313">
        <f t="shared" ca="1" si="6"/>
      </c>
      <c r="L34" s="313">
        <f t="shared" ca="1" si="6"/>
      </c>
    </row>
    <row r="35" spans="1:12" s="282" customFormat="1">
      <c r="A35" s="284" t="s">
        <v>19</v>
      </c>
      <c r="B35" s="295">
        <f t="shared" ref="B35:B50" ca="1" si="7">MATCH(A35,INDIRECT("'Data Sheet'!A:A"),0)</f>
      </c>
      <c r="C35" s="297">
        <f t="shared" ca="1" si="6"/>
      </c>
      <c r="D35" s="297">
        <f t="shared" ca="1" si="6"/>
      </c>
      <c r="E35" s="297">
        <f t="shared" ca="1" si="6"/>
      </c>
      <c r="F35" s="297">
        <f t="shared" ca="1" si="6"/>
      </c>
      <c r="G35" s="297">
        <f t="shared" ca="1" si="6"/>
      </c>
      <c r="H35" s="297">
        <f t="shared" ca="1" si="6"/>
      </c>
      <c r="I35" s="297">
        <f t="shared" ca="1" si="6"/>
      </c>
      <c r="J35" s="297">
        <f t="shared" ca="1" si="6"/>
      </c>
      <c r="K35" s="297">
        <f t="shared" ca="1" si="6"/>
      </c>
      <c r="L35" s="297">
        <f t="shared" ca="1" si="6"/>
      </c>
    </row>
    <row r="36" spans="1:12" s="282" customFormat="1">
      <c r="A36" s="284" t="s">
        <v>20</v>
      </c>
      <c r="B36" s="295">
        <f t="shared" ca="1" si="7"/>
      </c>
      <c r="C36" s="297">
        <f t="shared" ca="1" si="6"/>
      </c>
      <c r="D36" s="297">
        <f t="shared" ca="1" si="6"/>
      </c>
      <c r="E36" s="297">
        <f t="shared" ca="1" si="6"/>
      </c>
      <c r="F36" s="297">
        <f t="shared" ca="1" si="6"/>
      </c>
      <c r="G36" s="297">
        <f t="shared" ca="1" si="6"/>
      </c>
      <c r="H36" s="297">
        <f t="shared" ca="1" si="6"/>
      </c>
      <c r="I36" s="297">
        <f t="shared" ca="1" si="6"/>
      </c>
      <c r="J36" s="297">
        <f t="shared" ca="1" si="6"/>
      </c>
      <c r="K36" s="297">
        <f t="shared" ca="1" si="6"/>
      </c>
      <c r="L36" s="297">
        <f t="shared" ca="1" si="6"/>
      </c>
    </row>
    <row r="37" spans="1:12" s="282" customFormat="1">
      <c r="A37" s="284" t="s">
        <v>65</v>
      </c>
      <c r="B37" s="295">
        <f t="shared" ca="1" si="7"/>
      </c>
      <c r="C37" s="297">
        <f t="shared" ca="1" si="6"/>
      </c>
      <c r="D37" s="297">
        <f t="shared" ca="1" si="6"/>
      </c>
      <c r="E37" s="297">
        <f t="shared" ca="1" si="6"/>
      </c>
      <c r="F37" s="297">
        <f t="shared" ca="1" si="6"/>
      </c>
      <c r="G37" s="297">
        <f t="shared" ca="1" si="6"/>
      </c>
      <c r="H37" s="297">
        <f t="shared" ca="1" si="6"/>
      </c>
      <c r="I37" s="297">
        <f t="shared" ca="1" si="6"/>
      </c>
      <c r="J37" s="297">
        <f t="shared" ca="1" si="6"/>
      </c>
      <c r="K37" s="297">
        <f t="shared" ca="1" si="6"/>
      </c>
      <c r="L37" s="297">
        <f t="shared" ca="1" si="6"/>
      </c>
    </row>
    <row r="38" spans="1:12" s="282" customFormat="1">
      <c r="A38" s="284" t="s">
        <v>66</v>
      </c>
      <c r="B38" s="295">
        <f t="shared" ca="1" si="7"/>
      </c>
      <c r="C38" s="297">
        <f t="shared" ca="1" si="6"/>
      </c>
      <c r="D38" s="297">
        <f t="shared" ca="1" si="6"/>
      </c>
      <c r="E38" s="297">
        <f t="shared" ca="1" si="6"/>
      </c>
      <c r="F38" s="297">
        <f t="shared" ca="1" si="6"/>
      </c>
      <c r="G38" s="297">
        <f t="shared" ca="1" si="6"/>
      </c>
      <c r="H38" s="297">
        <f t="shared" ca="1" si="6"/>
      </c>
      <c r="I38" s="297">
        <f t="shared" ca="1" si="6"/>
      </c>
      <c r="J38" s="297">
        <f t="shared" ca="1" si="6"/>
      </c>
      <c r="K38" s="297">
        <f t="shared" ca="1" si="6"/>
      </c>
      <c r="L38" s="297">
        <f t="shared" ca="1" si="6"/>
      </c>
    </row>
    <row r="39" spans="1:12" s="283" customFormat="1">
      <c r="A39" s="283" t="s">
        <v>21</v>
      </c>
      <c r="B39" s="295">
        <f t="shared" ca="1" si="7"/>
      </c>
      <c r="C39" s="297">
        <f t="shared" ca="1" si="6"/>
      </c>
      <c r="D39" s="297">
        <f t="shared" ca="1" si="6"/>
      </c>
      <c r="E39" s="297">
        <f t="shared" ca="1" si="6"/>
      </c>
      <c r="F39" s="297">
        <f t="shared" ca="1" si="6"/>
      </c>
      <c r="G39" s="297">
        <f t="shared" ca="1" si="6"/>
      </c>
      <c r="H39" s="297">
        <f t="shared" ca="1" si="6"/>
      </c>
      <c r="I39" s="297">
        <f t="shared" ca="1" si="6"/>
      </c>
      <c r="J39" s="297">
        <f t="shared" ca="1" si="6"/>
      </c>
      <c r="K39" s="297">
        <f t="shared" ca="1" si="6"/>
      </c>
      <c r="L39" s="297">
        <f t="shared" ca="1" si="6"/>
      </c>
    </row>
    <row r="40" spans="1:12" s="282" customFormat="1">
      <c r="A40" s="284" t="s">
        <v>22</v>
      </c>
      <c r="B40" s="295">
        <f t="shared" ca="1" si="7"/>
      </c>
      <c r="C40" s="297">
        <f t="shared" ca="1" si="6"/>
      </c>
      <c r="D40" s="297">
        <f t="shared" ca="1" si="6"/>
      </c>
      <c r="E40" s="297">
        <f t="shared" ca="1" si="6"/>
      </c>
      <c r="F40" s="297">
        <f t="shared" ca="1" si="6"/>
      </c>
      <c r="G40" s="297">
        <f t="shared" ca="1" si="6"/>
      </c>
      <c r="H40" s="297">
        <f t="shared" ca="1" si="6"/>
      </c>
      <c r="I40" s="297">
        <f t="shared" ca="1" si="6"/>
      </c>
      <c r="J40" s="297">
        <f t="shared" ca="1" si="6"/>
      </c>
      <c r="K40" s="297">
        <f t="shared" ca="1" si="6"/>
      </c>
      <c r="L40" s="297">
        <f t="shared" ca="1" si="6"/>
      </c>
    </row>
    <row r="41" spans="1:12" s="282" customFormat="1">
      <c r="A41" s="284" t="s">
        <v>23</v>
      </c>
      <c r="B41" s="295">
        <f t="shared" ca="1" si="7"/>
      </c>
      <c r="C41" s="297">
        <f t="shared" ca="1" si="6"/>
      </c>
      <c r="D41" s="297">
        <f t="shared" ca="1" si="6"/>
      </c>
      <c r="E41" s="297">
        <f t="shared" ca="1" si="6"/>
      </c>
      <c r="F41" s="297">
        <f t="shared" ca="1" si="6"/>
      </c>
      <c r="G41" s="297">
        <f t="shared" ca="1" si="6"/>
      </c>
      <c r="H41" s="297">
        <f t="shared" ca="1" si="6"/>
      </c>
      <c r="I41" s="297">
        <f t="shared" ca="1" si="6"/>
      </c>
      <c r="J41" s="297">
        <f t="shared" ca="1" si="6"/>
      </c>
      <c r="K41" s="297">
        <f t="shared" ca="1" si="6"/>
      </c>
      <c r="L41" s="297">
        <f t="shared" ca="1" si="6"/>
      </c>
    </row>
    <row r="42" spans="1:12" s="282" customFormat="1">
      <c r="A42" s="284" t="s">
        <v>24</v>
      </c>
      <c r="B42" s="295">
        <f t="shared" ca="1" si="7"/>
      </c>
      <c r="C42" s="297">
        <f t="shared" ca="1" si="6"/>
      </c>
      <c r="D42" s="297">
        <f t="shared" ca="1" si="6"/>
      </c>
      <c r="E42" s="297">
        <f t="shared" ca="1" si="6"/>
      </c>
      <c r="F42" s="297">
        <f t="shared" ca="1" si="6"/>
      </c>
      <c r="G42" s="297">
        <f t="shared" ca="1" si="6"/>
      </c>
      <c r="H42" s="297">
        <f t="shared" ca="1" si="6"/>
      </c>
      <c r="I42" s="297">
        <f t="shared" ca="1" si="6"/>
      </c>
      <c r="J42" s="297">
        <f t="shared" ca="1" si="6"/>
      </c>
      <c r="K42" s="297">
        <f t="shared" ca="1" si="6"/>
      </c>
      <c r="L42" s="297">
        <f t="shared" ca="1" si="6"/>
      </c>
    </row>
    <row r="43" spans="1:12" s="282" customFormat="1">
      <c r="A43" s="284" t="s">
        <v>67</v>
      </c>
      <c r="B43" s="295">
        <f t="shared" ca="1" si="7"/>
      </c>
      <c r="C43" s="297">
        <f t="shared" ca="1" si="6"/>
      </c>
      <c r="D43" s="297">
        <f t="shared" ca="1" si="6"/>
      </c>
      <c r="E43" s="297">
        <f t="shared" ca="1" si="6"/>
      </c>
      <c r="F43" s="297">
        <f t="shared" ca="1" si="6"/>
      </c>
      <c r="G43" s="297">
        <f t="shared" ca="1" si="6"/>
      </c>
      <c r="H43" s="297">
        <f t="shared" ca="1" si="6"/>
      </c>
      <c r="I43" s="297">
        <f t="shared" ca="1" si="6"/>
      </c>
      <c r="J43" s="297">
        <f t="shared" ca="1" si="6"/>
      </c>
      <c r="K43" s="297">
        <f t="shared" ca="1" si="6"/>
      </c>
      <c r="L43" s="297">
        <f t="shared" ca="1" si="6"/>
      </c>
    </row>
    <row r="44" spans="1:12" s="283" customFormat="1">
      <c r="A44" s="283" t="s">
        <v>21</v>
      </c>
      <c r="B44" s="295">
        <f t="shared" ca="1" si="7"/>
      </c>
      <c r="C44" s="297">
        <f t="shared" ref="C44:L50" ca="1" si="8">INDIRECT(ADDRESS($B44,COLUMN()-1,,,"Data Sheet"))</f>
      </c>
      <c r="D44" s="297">
        <f t="shared" ca="1" si="8"/>
      </c>
      <c r="E44" s="297">
        <f t="shared" ca="1" si="8"/>
      </c>
      <c r="F44" s="297">
        <f t="shared" ca="1" si="8"/>
      </c>
      <c r="G44" s="297">
        <f t="shared" ca="1" si="8"/>
      </c>
      <c r="H44" s="297">
        <f t="shared" ca="1" si="8"/>
      </c>
      <c r="I44" s="297">
        <f t="shared" ca="1" si="8"/>
      </c>
      <c r="J44" s="297">
        <f t="shared" ca="1" si="8"/>
      </c>
      <c r="K44" s="297">
        <f t="shared" ca="1" si="8"/>
      </c>
      <c r="L44" s="297">
        <f t="shared" ca="1" si="8"/>
      </c>
    </row>
    <row r="45" spans="1:12" s="284" customFormat="1">
      <c r="A45" s="284" t="s">
        <v>72</v>
      </c>
      <c r="B45" s="295">
        <f t="shared" ca="1" si="7"/>
      </c>
      <c r="C45" s="297">
        <f t="shared" ca="1" si="8"/>
      </c>
      <c r="D45" s="297">
        <f t="shared" ca="1" si="8"/>
      </c>
      <c r="E45" s="297">
        <f t="shared" ca="1" si="8"/>
      </c>
      <c r="F45" s="297">
        <f t="shared" ca="1" si="8"/>
      </c>
      <c r="G45" s="297">
        <f t="shared" ca="1" si="8"/>
      </c>
      <c r="H45" s="297">
        <f t="shared" ca="1" si="8"/>
      </c>
      <c r="I45" s="297">
        <f t="shared" ca="1" si="8"/>
      </c>
      <c r="J45" s="297">
        <f t="shared" ca="1" si="8"/>
      </c>
      <c r="K45" s="297">
        <f t="shared" ca="1" si="8"/>
      </c>
      <c r="L45" s="297">
        <f t="shared" ca="1" si="8"/>
      </c>
    </row>
    <row r="46" spans="1:12" s="282" customFormat="1">
      <c r="A46" s="284" t="s">
        <v>40</v>
      </c>
      <c r="B46" s="295">
        <f t="shared" ca="1" si="7"/>
      </c>
      <c r="C46" s="297">
        <f t="shared" ca="1" si="8"/>
      </c>
      <c r="D46" s="297">
        <f t="shared" ca="1" si="8"/>
      </c>
      <c r="E46" s="297">
        <f t="shared" ca="1" si="8"/>
      </c>
      <c r="F46" s="297">
        <f t="shared" ca="1" si="8"/>
      </c>
      <c r="G46" s="297">
        <f t="shared" ca="1" si="8"/>
      </c>
      <c r="H46" s="297">
        <f t="shared" ca="1" si="8"/>
      </c>
      <c r="I46" s="297">
        <f t="shared" ca="1" si="8"/>
      </c>
      <c r="J46" s="297">
        <f t="shared" ca="1" si="8"/>
      </c>
      <c r="K46" s="297">
        <f t="shared" ca="1" si="8"/>
      </c>
      <c r="L46" s="297">
        <f t="shared" ca="1" si="8"/>
      </c>
    </row>
    <row r="47" spans="1:12" s="282" customFormat="1">
      <c r="A47" s="282" t="s">
        <v>81</v>
      </c>
      <c r="B47" s="295">
        <f t="shared" ca="1" si="7"/>
      </c>
      <c r="C47" s="297">
        <f t="shared" ca="1" si="8"/>
      </c>
      <c r="D47" s="297">
        <f t="shared" ca="1" si="8"/>
      </c>
      <c r="E47" s="297">
        <f t="shared" ca="1" si="8"/>
      </c>
      <c r="F47" s="297">
        <f t="shared" ca="1" si="8"/>
      </c>
      <c r="G47" s="297">
        <f t="shared" ca="1" si="8"/>
      </c>
      <c r="H47" s="297">
        <f t="shared" ca="1" si="8"/>
      </c>
      <c r="I47" s="297">
        <f t="shared" ca="1" si="8"/>
      </c>
      <c r="J47" s="297">
        <f t="shared" ca="1" si="8"/>
      </c>
      <c r="K47" s="297">
        <f t="shared" ca="1" si="8"/>
      </c>
      <c r="L47" s="297">
        <f t="shared" ca="1" si="8"/>
      </c>
    </row>
    <row r="48" spans="1:12" s="282" customFormat="1">
      <c r="A48" s="282" t="s">
        <v>68</v>
      </c>
      <c r="B48" s="295">
        <f t="shared" ca="1" si="7"/>
      </c>
      <c r="C48" s="298">
        <f t="shared" ca="1" si="8"/>
      </c>
      <c r="D48" s="298">
        <f t="shared" ca="1" si="8"/>
      </c>
      <c r="E48" s="298">
        <f t="shared" ca="1" si="8"/>
      </c>
      <c r="F48" s="298">
        <f t="shared" ca="1" si="8"/>
      </c>
      <c r="G48" s="298">
        <f t="shared" ca="1" si="8"/>
      </c>
      <c r="H48" s="298">
        <f t="shared" ca="1" si="8"/>
      </c>
      <c r="I48" s="298">
        <f t="shared" ca="1" si="8"/>
      </c>
      <c r="J48" s="298">
        <f t="shared" ca="1" si="8"/>
      </c>
      <c r="K48" s="298">
        <f t="shared" ca="1" si="8"/>
      </c>
      <c r="L48" s="298">
        <f t="shared" ca="1" si="8"/>
      </c>
    </row>
    <row r="49" spans="1:15" s="282" customFormat="1">
      <c r="A49" s="282" t="s">
        <v>69</v>
      </c>
      <c r="B49" s="295">
        <f t="shared" ca="1" si="7"/>
      </c>
      <c r="C49" s="297">
        <f t="shared" ca="1" si="8"/>
      </c>
      <c r="D49" s="297">
        <f t="shared" ca="1" si="8"/>
      </c>
      <c r="E49" s="297">
        <f t="shared" ca="1" si="8"/>
      </c>
      <c r="F49" s="297">
        <f t="shared" ca="1" si="8"/>
      </c>
      <c r="G49" s="297">
        <f t="shared" ca="1" si="8"/>
      </c>
      <c r="H49" s="297">
        <f t="shared" ca="1" si="8"/>
      </c>
      <c r="I49" s="297">
        <f t="shared" ca="1" si="8"/>
      </c>
      <c r="J49" s="297">
        <f t="shared" ca="1" si="8"/>
      </c>
      <c r="K49" s="297">
        <f t="shared" ca="1" si="8"/>
      </c>
      <c r="L49" s="297">
        <f t="shared" ca="1" si="8"/>
      </c>
    </row>
    <row r="50" spans="1:15" s="282" customFormat="1">
      <c r="A50" s="282" t="s">
        <v>82</v>
      </c>
      <c r="B50" s="295">
        <f t="shared" ca="1" si="7"/>
      </c>
      <c r="C50" s="297">
        <f t="shared" ca="1" si="8"/>
      </c>
      <c r="D50" s="297">
        <f t="shared" ca="1" si="8"/>
      </c>
      <c r="E50" s="297">
        <f t="shared" ca="1" si="8"/>
      </c>
      <c r="F50" s="297">
        <f t="shared" ca="1" si="8"/>
      </c>
      <c r="G50" s="297">
        <f t="shared" ca="1" si="8"/>
      </c>
      <c r="H50" s="297">
        <f t="shared" ca="1" si="8"/>
      </c>
      <c r="I50" s="297">
        <f t="shared" ca="1" si="8"/>
      </c>
      <c r="J50" s="297">
        <f t="shared" ca="1" si="8"/>
      </c>
      <c r="K50" s="297">
        <f t="shared" ca="1" si="8"/>
      </c>
      <c r="L50" s="297">
        <f t="shared" ca="1" si="8"/>
      </c>
    </row>
    <row r="51" spans="1:15" s="282" customFormat="1"/>
    <row r="52" spans="1:15" s="282" customFormat="1">
      <c r="A52" s="283" t="s">
        <v>36</v>
      </c>
      <c r="B52" s="295">
        <f ca="1">MATCH(A52,INDIRECT("'Data Sheet'!A:A"),0)</f>
      </c>
      <c r="C52" s="312" t="str">
        <f ca="1">"'Data Sheet'!A"&amp;B52&amp;":A999"</f>
      </c>
    </row>
    <row r="53" spans="1:15" s="285" customFormat="1">
      <c r="A53" s="287" t="s">
        <v>33</v>
      </c>
      <c r="B53" s="311">
        <f ca="1">MATCH("Report Date",INDIRECT(C52),0)+B52-1</f>
      </c>
      <c r="C53" s="286">
        <f ca="1">INDIRECT(ADDRESS($B4,COLUMN()-1,,,"Data Sheet"))</f>
      </c>
      <c r="D53" s="286">
        <f t="shared" ref="D53:L53" ca="1" si="9">INDIRECT(ADDRESS($B4,COLUMN()-1,,,"Data Sheet"))</f>
      </c>
      <c r="E53" s="286">
        <f t="shared" ca="1" si="9"/>
      </c>
      <c r="F53" s="286">
        <f t="shared" ca="1" si="9"/>
      </c>
      <c r="G53" s="286">
        <f t="shared" ca="1" si="9"/>
      </c>
      <c r="H53" s="286">
        <f t="shared" ca="1" si="9"/>
      </c>
      <c r="I53" s="286">
        <f t="shared" ca="1" si="9"/>
      </c>
      <c r="J53" s="286">
        <f t="shared" ca="1" si="9"/>
      </c>
      <c r="K53" s="286">
        <f t="shared" ca="1" si="9"/>
      </c>
      <c r="L53" s="286">
        <f t="shared" ca="1" si="9"/>
      </c>
    </row>
    <row r="54" spans="1:15" s="283" customFormat="1">
      <c r="A54" s="284" t="s">
        <v>27</v>
      </c>
      <c r="B54" s="295">
        <f ca="1">MATCH(A54,INDIRECT("'Data Sheet'!A:A"),0)</f>
      </c>
      <c r="C54" s="297">
        <f t="shared" ref="C54:L57" ca="1" si="10">INDIRECT(ADDRESS($B54,COLUMN()-1,,,"Data Sheet"))</f>
      </c>
      <c r="D54" s="297">
        <f t="shared" ca="1" si="10"/>
      </c>
      <c r="E54" s="297">
        <f t="shared" ca="1" si="10"/>
      </c>
      <c r="F54" s="297">
        <f t="shared" ca="1" si="10"/>
      </c>
      <c r="G54" s="297">
        <f t="shared" ca="1" si="10"/>
      </c>
      <c r="H54" s="297">
        <f t="shared" ca="1" si="10"/>
      </c>
      <c r="I54" s="297">
        <f t="shared" ca="1" si="10"/>
      </c>
      <c r="J54" s="297">
        <f t="shared" ca="1" si="10"/>
      </c>
      <c r="K54" s="297">
        <f t="shared" ca="1" si="10"/>
      </c>
      <c r="L54" s="297">
        <f t="shared" ca="1" si="10"/>
      </c>
    </row>
    <row r="55" spans="1:15" s="284" customFormat="1">
      <c r="A55" s="284" t="s">
        <v>28</v>
      </c>
      <c r="B55" s="295">
        <f ca="1">MATCH(A55,INDIRECT("'Data Sheet'!A:A"),0)</f>
      </c>
      <c r="C55" s="297">
        <f t="shared" ca="1" si="10"/>
      </c>
      <c r="D55" s="297">
        <f t="shared" ca="1" si="10"/>
      </c>
      <c r="E55" s="297">
        <f t="shared" ca="1" si="10"/>
      </c>
      <c r="F55" s="297">
        <f t="shared" ca="1" si="10"/>
      </c>
      <c r="G55" s="297">
        <f t="shared" ca="1" si="10"/>
      </c>
      <c r="H55" s="297">
        <f t="shared" ca="1" si="10"/>
      </c>
      <c r="I55" s="297">
        <f t="shared" ca="1" si="10"/>
      </c>
      <c r="J55" s="297">
        <f t="shared" ca="1" si="10"/>
      </c>
      <c r="K55" s="297">
        <f t="shared" ca="1" si="10"/>
      </c>
      <c r="L55" s="297">
        <f t="shared" ca="1" si="10"/>
      </c>
    </row>
    <row r="56" spans="1:15" s="284" customFormat="1">
      <c r="A56" s="284" t="s">
        <v>29</v>
      </c>
      <c r="B56" s="295">
        <f ca="1">MATCH(A56,INDIRECT("'Data Sheet'!A:A"),0)</f>
      </c>
      <c r="C56" s="297">
        <f t="shared" ca="1" si="10"/>
      </c>
      <c r="D56" s="297">
        <f t="shared" ca="1" si="10"/>
      </c>
      <c r="E56" s="297">
        <f t="shared" ca="1" si="10"/>
      </c>
      <c r="F56" s="297">
        <f t="shared" ca="1" si="10"/>
      </c>
      <c r="G56" s="297">
        <f t="shared" ca="1" si="10"/>
      </c>
      <c r="H56" s="297">
        <f t="shared" ca="1" si="10"/>
      </c>
      <c r="I56" s="297">
        <f t="shared" ca="1" si="10"/>
      </c>
      <c r="J56" s="297">
        <f t="shared" ca="1" si="10"/>
      </c>
      <c r="K56" s="297">
        <f t="shared" ca="1" si="10"/>
      </c>
      <c r="L56" s="297">
        <f t="shared" ca="1" si="10"/>
      </c>
    </row>
    <row r="57" spans="1:15" s="283" customFormat="1">
      <c r="A57" s="284" t="s">
        <v>30</v>
      </c>
      <c r="B57" s="295">
        <f ca="1">MATCH(A57,INDIRECT("'Data Sheet'!A:A"),0)</f>
      </c>
      <c r="C57" s="297">
        <f t="shared" ca="1" si="10"/>
      </c>
      <c r="D57" s="297">
        <f t="shared" ca="1" si="10"/>
      </c>
      <c r="E57" s="297">
        <f t="shared" ca="1" si="10"/>
      </c>
      <c r="F57" s="297">
        <f t="shared" ca="1" si="10"/>
      </c>
      <c r="G57" s="297">
        <f t="shared" ca="1" si="10"/>
      </c>
      <c r="H57" s="297">
        <f t="shared" ca="1" si="10"/>
      </c>
      <c r="I57" s="297">
        <f t="shared" ca="1" si="10"/>
      </c>
      <c r="J57" s="297">
        <f t="shared" ca="1" si="10"/>
      </c>
      <c r="K57" s="297">
        <f t="shared" ca="1" si="10"/>
      </c>
      <c r="L57" s="297">
        <f t="shared" ca="1" si="10"/>
      </c>
    </row>
    <row r="58" spans="1:15" s="282" customFormat="1">
      <c r="A58" s="284"/>
      <c r="B58" s="284"/>
    </row>
    <row r="59" spans="1:15" s="283" customFormat="1">
      <c r="A59" s="283" t="s">
        <v>71</v>
      </c>
      <c r="B59" s="295">
        <f ca="1">MATCH(A59,INDIRECT("'Data Sheet'!A:A"),0)</f>
      </c>
      <c r="C59" s="297">
        <f t="shared" ref="C59:L59" ca="1" si="11">INDIRECT(ADDRESS($B59,COLUMN()-1,,,"Data Sheet"))</f>
      </c>
      <c r="D59" s="297">
        <f t="shared" ca="1" si="11"/>
      </c>
      <c r="E59" s="297">
        <f t="shared" ca="1" si="11"/>
      </c>
      <c r="F59" s="297">
        <f t="shared" ca="1" si="11"/>
      </c>
      <c r="G59" s="297">
        <f t="shared" ca="1" si="11"/>
      </c>
      <c r="H59" s="297">
        <f t="shared" ca="1" si="11"/>
      </c>
      <c r="I59" s="297">
        <f t="shared" ca="1" si="11"/>
      </c>
      <c r="J59" s="297">
        <f t="shared" ca="1" si="11"/>
      </c>
      <c r="K59" s="297">
        <f t="shared" ca="1" si="11"/>
      </c>
      <c r="L59" s="297">
        <f t="shared" ca="1" si="11"/>
      </c>
    </row>
    <row r="60" spans="1:15" s="282" customFormat="1"/>
    <row r="61" spans="1:15" s="283" customFormat="1">
      <c r="A61" s="283" t="s">
        <v>70</v>
      </c>
    </row>
    <row r="62" spans="1:15" s="282" customFormat="1">
      <c r="A62" s="282" t="s">
        <v>83</v>
      </c>
      <c r="B62" s="295">
        <f ca="1">MATCH(A62,INDIRECT("'Data Sheet'!A:A"),0)</f>
      </c>
      <c r="C62" s="297">
        <f t="shared" ref="C62:L62" ca="1" si="12">INDIRECT(ADDRESS($B62,COLUMN()-1,,,"Data Sheet"))</f>
      </c>
      <c r="D62" s="297">
        <f t="shared" ca="1" si="12"/>
      </c>
      <c r="E62" s="297">
        <f t="shared" ca="1" si="12"/>
      </c>
      <c r="F62" s="297">
        <f t="shared" ca="1" si="12"/>
      </c>
      <c r="G62" s="297">
        <f t="shared" ca="1" si="12"/>
      </c>
      <c r="H62" s="297">
        <f t="shared" ca="1" si="12"/>
      </c>
      <c r="I62" s="297">
        <f t="shared" ca="1" si="12"/>
      </c>
      <c r="J62" s="297">
        <f t="shared" ca="1" si="12"/>
      </c>
      <c r="K62" s="297">
        <f t="shared" ca="1" si="12"/>
      </c>
      <c r="L62" s="297">
        <f t="shared" ca="1" si="12"/>
      </c>
    </row>
    <row r="63" spans="1:15" s="282" customFormat="1"/>
    <row r="64" spans="1:15">
      <c r="B64"/>
      <c r="C64" s="291"/>
      <c r="D64" s="290"/>
      <c r="E64" s="290"/>
      <c r="F64" s="290"/>
      <c r="G64" s="290"/>
      <c r="H64" s="290"/>
      <c r="I64" s="290"/>
      <c r="J64" s="290"/>
      <c r="K64" s="290"/>
      <c r="L64" s="290"/>
      <c r="M64" s="290"/>
      <c r="N64" s="290"/>
      <c r="O64" s="290"/>
    </row>
    <row r="65" spans="1:15">
      <c r="A65" s="310" t="s">
        <v>354</v>
      </c>
      <c r="B65"/>
      <c r="C65" s="291"/>
      <c r="D65" s="290"/>
      <c r="E65" s="290"/>
      <c r="F65" s="290"/>
      <c r="G65" s="290"/>
      <c r="H65" s="290"/>
      <c r="I65" s="290"/>
      <c r="J65" s="290"/>
      <c r="K65" s="290"/>
      <c r="L65" s="290"/>
      <c r="M65" s="290"/>
      <c r="N65" s="290"/>
      <c r="O65" s="290"/>
    </row>
    <row r="66" spans="1:15">
      <c r="A66" s="309" t="s">
        <v>353</v>
      </c>
      <c r="B66" s="300"/>
      <c r="C66" s="308">
        <f t="shared" ref="C66:L66" ca="1" si="13">C53</f>
      </c>
      <c r="D66" s="308">
        <f t="shared" ca="1" si="13"/>
      </c>
      <c r="E66" s="308">
        <f t="shared" ca="1" si="13"/>
      </c>
      <c r="F66" s="308">
        <f t="shared" ca="1" si="13"/>
      </c>
      <c r="G66" s="308">
        <f t="shared" ca="1" si="13"/>
      </c>
      <c r="H66" s="308">
        <f t="shared" ca="1" si="13"/>
      </c>
      <c r="I66" s="308">
        <f t="shared" ca="1" si="13"/>
      </c>
      <c r="J66" s="308">
        <f t="shared" ca="1" si="13"/>
      </c>
      <c r="K66" s="308">
        <f t="shared" ca="1" si="13"/>
      </c>
      <c r="L66" s="308">
        <f t="shared" ca="1" si="13"/>
      </c>
      <c r="M66" s="308"/>
      <c r="N66" s="308"/>
    </row>
    <row r="67" spans="1:15">
      <c r="A67" s="300" t="s">
        <v>4</v>
      </c>
      <c r="B67" s="300"/>
      <c r="C67" s="307">
        <f t="shared" ref="C67:L67" ca="1" si="14">C5+C13</f>
      </c>
      <c r="D67" s="307">
        <f t="shared" ca="1" si="14"/>
      </c>
      <c r="E67" s="307">
        <f t="shared" ca="1" si="14"/>
      </c>
      <c r="F67" s="307">
        <f t="shared" ca="1" si="14"/>
      </c>
      <c r="G67" s="307">
        <f t="shared" ca="1" si="14"/>
      </c>
      <c r="H67" s="307">
        <f t="shared" ca="1" si="14"/>
      </c>
      <c r="I67" s="307">
        <f t="shared" ca="1" si="14"/>
      </c>
      <c r="J67" s="307">
        <f t="shared" ca="1" si="14"/>
      </c>
      <c r="K67" s="307">
        <f t="shared" ca="1" si="14"/>
      </c>
      <c r="L67" s="307">
        <f t="shared" ca="1" si="14"/>
      </c>
      <c r="M67" s="307"/>
      <c r="N67" s="307"/>
    </row>
    <row r="68" spans="1:15">
      <c r="A68" s="300" t="s">
        <v>352</v>
      </c>
      <c r="B68" s="300"/>
      <c r="C68" s="304"/>
      <c r="D68" s="305">
        <f t="shared" ref="D68:L68" ca="1" si="15">(D67-C67)/C67</f>
      </c>
      <c r="E68" s="305">
        <f t="shared" ca="1" si="15"/>
      </c>
      <c r="F68" s="305">
        <f t="shared" ca="1" si="15"/>
      </c>
      <c r="G68" s="305">
        <f t="shared" ca="1" si="15"/>
      </c>
      <c r="H68" s="305">
        <f t="shared" ca="1" si="15"/>
      </c>
      <c r="I68" s="305">
        <f t="shared" ca="1" si="15"/>
      </c>
      <c r="J68" s="305">
        <f t="shared" ca="1" si="15"/>
      </c>
      <c r="K68" s="305">
        <f t="shared" ca="1" si="15"/>
      </c>
      <c r="L68" s="305">
        <f t="shared" ca="1" si="15"/>
      </c>
      <c r="M68" s="304"/>
      <c r="N68" s="304"/>
    </row>
    <row r="69" spans="1:15">
      <c r="A69" s="300" t="s">
        <v>53</v>
      </c>
      <c r="B69" s="300"/>
      <c r="C69" s="306">
        <f t="shared" ref="C69:L69" ca="1" si="16">C18/C62</f>
      </c>
      <c r="D69" s="306">
        <f t="shared" ca="1" si="16"/>
      </c>
      <c r="E69" s="306">
        <f t="shared" ca="1" si="16"/>
      </c>
      <c r="F69" s="306">
        <f t="shared" ca="1" si="16"/>
      </c>
      <c r="G69" s="306">
        <f t="shared" ca="1" si="16"/>
      </c>
      <c r="H69" s="306">
        <f t="shared" ca="1" si="16"/>
      </c>
      <c r="I69" s="306">
        <f t="shared" ca="1" si="16"/>
      </c>
      <c r="J69" s="306">
        <f t="shared" ca="1" si="16"/>
      </c>
      <c r="K69" s="306">
        <f t="shared" ca="1" si="16"/>
      </c>
      <c r="L69" s="306">
        <f t="shared" ca="1" si="16"/>
      </c>
      <c r="M69" s="306"/>
      <c r="N69" s="306"/>
    </row>
    <row r="70" spans="1:15">
      <c r="A70" s="300" t="s">
        <v>351</v>
      </c>
      <c r="B70" s="300"/>
      <c r="C70" s="304"/>
      <c r="D70" s="305">
        <f t="shared" ref="D70:L70" ca="1" si="17">(D69-C69)/C69</f>
      </c>
      <c r="E70" s="305">
        <f t="shared" ca="1" si="17"/>
      </c>
      <c r="F70" s="305">
        <f t="shared" ca="1" si="17"/>
      </c>
      <c r="G70" s="305">
        <f t="shared" ca="1" si="17"/>
      </c>
      <c r="H70" s="305">
        <f t="shared" ca="1" si="17"/>
      </c>
      <c r="I70" s="305">
        <f t="shared" ca="1" si="17"/>
      </c>
      <c r="J70" s="305">
        <f t="shared" ca="1" si="17"/>
      </c>
      <c r="K70" s="305">
        <f t="shared" ca="1" si="17"/>
      </c>
      <c r="L70" s="305">
        <f t="shared" ca="1" si="17"/>
      </c>
      <c r="M70" s="304"/>
      <c r="N70" s="304"/>
    </row>
    <row r="71" spans="1:15">
      <c r="B71"/>
      <c r="C71" s="291"/>
      <c r="D71" s="290"/>
      <c r="E71" s="290"/>
      <c r="F71" s="290"/>
      <c r="G71" s="290"/>
      <c r="H71" s="290"/>
      <c r="I71" s="290"/>
      <c r="J71" s="290"/>
      <c r="K71" s="290"/>
      <c r="L71" s="290"/>
      <c r="M71" s="290"/>
      <c r="N71" s="290"/>
      <c r="O71" s="290"/>
    </row>
    <row r="72" spans="1:15">
      <c r="A72" s="302" t="s">
        <v>350</v>
      </c>
      <c r="B72" s="291"/>
      <c r="C72" s="290"/>
      <c r="D72" s="299"/>
      <c r="E72" s="299"/>
      <c r="F72" s="299"/>
      <c r="G72" s="299"/>
      <c r="H72" s="299"/>
      <c r="I72" s="299"/>
      <c r="J72" s="299"/>
      <c r="K72" s="299"/>
      <c r="L72" s="299"/>
      <c r="M72" s="290"/>
      <c r="N72" s="290"/>
    </row>
    <row r="73" spans="1:15">
      <c r="A73" s="300" t="s">
        <v>8</v>
      </c>
      <c r="B73" s="291"/>
      <c r="C73" s="290"/>
      <c r="D73" s="294">
        <f t="shared" ref="D73:L73" ca="1" si="18">D14</f>
      </c>
      <c r="E73" s="294">
        <f t="shared" ca="1" si="18"/>
      </c>
      <c r="F73" s="294">
        <f t="shared" ca="1" si="18"/>
      </c>
      <c r="G73" s="294">
        <f t="shared" ca="1" si="18"/>
      </c>
      <c r="H73" s="294">
        <f t="shared" ca="1" si="18"/>
      </c>
      <c r="I73" s="294">
        <f t="shared" ca="1" si="18"/>
      </c>
      <c r="J73" s="294">
        <f t="shared" ca="1" si="18"/>
      </c>
      <c r="K73" s="294">
        <f t="shared" ca="1" si="18"/>
      </c>
      <c r="L73" s="294">
        <f t="shared" ca="1" si="18"/>
      </c>
      <c r="M73" s="290"/>
      <c r="N73" s="290"/>
    </row>
    <row r="74" spans="1:15">
      <c r="A74" s="300" t="s">
        <v>349</v>
      </c>
      <c r="B74" s="291"/>
      <c r="C74" s="290"/>
      <c r="D74" s="303">
        <f t="shared" ref="D74:L74" ca="1" si="19">(D40+D41)-(C40+C41)</f>
      </c>
      <c r="E74" s="303">
        <f t="shared" ca="1" si="19"/>
      </c>
      <c r="F74" s="303">
        <f t="shared" ca="1" si="19"/>
      </c>
      <c r="G74" s="303">
        <f t="shared" ca="1" si="19"/>
      </c>
      <c r="H74" s="303">
        <f t="shared" ca="1" si="19"/>
      </c>
      <c r="I74" s="303">
        <f t="shared" ca="1" si="19"/>
      </c>
      <c r="J74" s="303">
        <f t="shared" ca="1" si="19"/>
      </c>
      <c r="K74" s="303">
        <f t="shared" ca="1" si="19"/>
      </c>
      <c r="L74" s="303">
        <f t="shared" ca="1" si="19"/>
      </c>
      <c r="M74" s="290"/>
      <c r="N74" s="290"/>
    </row>
    <row r="75" spans="1:15">
      <c r="B75" s="291"/>
      <c r="C75" s="290"/>
      <c r="D75" s="294">
        <f t="shared" ref="D75:L75" ca="1" si="20">SUM(D73:D74)</f>
      </c>
      <c r="E75" s="294">
        <f t="shared" ca="1" si="20"/>
      </c>
      <c r="F75" s="294">
        <f t="shared" ca="1" si="20"/>
      </c>
      <c r="G75" s="294">
        <f t="shared" ca="1" si="20"/>
      </c>
      <c r="H75" s="294">
        <f t="shared" ca="1" si="20"/>
      </c>
      <c r="I75" s="294">
        <f t="shared" ca="1" si="20"/>
      </c>
      <c r="J75" s="294">
        <f t="shared" ca="1" si="20"/>
      </c>
      <c r="K75" s="294">
        <f t="shared" ca="1" si="20"/>
      </c>
      <c r="L75" s="294">
        <f t="shared" ca="1" si="20"/>
      </c>
      <c r="M75" s="290"/>
      <c r="N75" s="290"/>
    </row>
    <row r="76" spans="1:15">
      <c r="B76" s="291"/>
      <c r="C76" s="290"/>
      <c r="D76" s="290"/>
      <c r="E76" s="290"/>
      <c r="F76" s="290"/>
      <c r="G76" s="290"/>
      <c r="H76" s="290"/>
      <c r="I76" s="290"/>
      <c r="J76" s="290"/>
      <c r="K76" s="290"/>
      <c r="L76" s="290"/>
      <c r="M76" s="290"/>
      <c r="N76" s="290"/>
    </row>
    <row r="77" spans="1:15">
      <c r="B77"/>
      <c r="C77" s="290"/>
      <c r="D77" s="290"/>
      <c r="E77" s="290"/>
      <c r="F77" s="290"/>
      <c r="G77" s="290"/>
      <c r="H77" s="290"/>
      <c r="I77" s="290"/>
      <c r="J77" s="290"/>
      <c r="K77" s="290"/>
      <c r="L77" s="290"/>
      <c r="M77" s="290"/>
      <c r="N77" s="290"/>
    </row>
    <row r="78" spans="1:15">
      <c r="A78" s="302" t="s">
        <v>348</v>
      </c>
      <c r="C78" s="290"/>
      <c r="D78" s="290"/>
      <c r="E78" s="290"/>
      <c r="F78" s="290"/>
      <c r="G78" s="290"/>
      <c r="H78" s="290"/>
      <c r="I78" s="290"/>
      <c r="J78" s="290"/>
      <c r="K78" s="290"/>
      <c r="L78" s="290"/>
      <c r="M78" s="290"/>
      <c r="N78" s="290"/>
    </row>
    <row r="79" spans="1:15">
      <c r="A79" s="302" t="s">
        <v>347</v>
      </c>
      <c r="B79" s="290"/>
      <c r="C79" s="299"/>
      <c r="D79" s="299"/>
      <c r="E79" s="299"/>
      <c r="F79" s="299">
        <f t="shared" ref="F79:L79" ca="1" si="21">(F83*F82*(1-F81))-F80</f>
      </c>
      <c r="G79" s="299">
        <f t="shared" ca="1" si="21"/>
      </c>
      <c r="H79" s="299">
        <f t="shared" ca="1" si="21"/>
      </c>
      <c r="I79" s="299">
        <f t="shared" ca="1" si="21"/>
      </c>
      <c r="J79" s="299">
        <f t="shared" ca="1" si="21"/>
      </c>
      <c r="K79" s="299">
        <f t="shared" ca="1" si="21"/>
      </c>
      <c r="L79" s="299">
        <f t="shared" ca="1" si="21"/>
      </c>
      <c r="M79" s="290"/>
      <c r="N79" s="290"/>
    </row>
    <row r="80" spans="1:15">
      <c r="A80" s="300" t="s">
        <v>346</v>
      </c>
      <c r="B80" s="290"/>
      <c r="C80" s="299"/>
      <c r="D80" s="299"/>
      <c r="E80" s="299"/>
      <c r="F80" s="299">
        <f t="shared" ref="F80:L80" ca="1" si="22">AVERAGE(D14:F14)/AVERAGE(D84:F84)</f>
      </c>
      <c r="G80" s="299">
        <f t="shared" ca="1" si="22"/>
      </c>
      <c r="H80" s="299">
        <f t="shared" ca="1" si="22"/>
      </c>
      <c r="I80" s="299">
        <f t="shared" ca="1" si="22"/>
      </c>
      <c r="J80" s="299">
        <f t="shared" ca="1" si="22"/>
      </c>
      <c r="K80" s="299">
        <f t="shared" ca="1" si="22"/>
      </c>
      <c r="L80" s="299">
        <f t="shared" ca="1" si="22"/>
      </c>
      <c r="M80" s="290"/>
      <c r="N80" s="290"/>
    </row>
    <row r="81" spans="1:14">
      <c r="A81" s="300" t="s">
        <v>345</v>
      </c>
      <c r="B81" s="299"/>
      <c r="C81" s="299"/>
      <c r="D81" s="299"/>
      <c r="E81" s="299"/>
      <c r="F81" s="299">
        <f t="shared" ref="F81:L81" ca="1" si="23">SUM(D19:F19)/SUM(D18:F18)</f>
      </c>
      <c r="G81" s="299">
        <f t="shared" ca="1" si="23"/>
      </c>
      <c r="H81" s="299">
        <f t="shared" ca="1" si="23"/>
      </c>
      <c r="I81" s="299">
        <f t="shared" ca="1" si="23"/>
      </c>
      <c r="J81" s="299">
        <f t="shared" ca="1" si="23"/>
      </c>
      <c r="K81" s="299">
        <f t="shared" ca="1" si="23"/>
      </c>
      <c r="L81" s="299">
        <f t="shared" ca="1" si="23"/>
      </c>
      <c r="M81" s="299"/>
      <c r="N81" s="299"/>
    </row>
    <row r="82" spans="1:14">
      <c r="A82" s="300" t="s">
        <v>344</v>
      </c>
      <c r="B82" s="290"/>
      <c r="C82" s="299"/>
      <c r="D82" s="299"/>
      <c r="E82" s="299"/>
      <c r="F82" s="299">
        <f t="shared" ref="F82:L82" ca="1" si="24">SUM(D18:F18)/SUM(D5:F5)</f>
      </c>
      <c r="G82" s="299">
        <f t="shared" ca="1" si="24"/>
      </c>
      <c r="H82" s="299">
        <f t="shared" ca="1" si="24"/>
      </c>
      <c r="I82" s="299">
        <f t="shared" ca="1" si="24"/>
      </c>
      <c r="J82" s="299">
        <f t="shared" ca="1" si="24"/>
      </c>
      <c r="K82" s="299">
        <f t="shared" ca="1" si="24"/>
      </c>
      <c r="L82" s="299">
        <f t="shared" ca="1" si="24"/>
      </c>
      <c r="M82" s="290"/>
      <c r="N82" s="290"/>
    </row>
    <row r="83" spans="1:14">
      <c r="A83" s="300" t="s">
        <v>343</v>
      </c>
      <c r="B83" s="290"/>
      <c r="C83" s="299"/>
      <c r="D83" s="299"/>
      <c r="E83" s="299"/>
      <c r="F83" s="299">
        <f t="shared" ref="F83:L83" ca="1" si="25">AVERAGE(D5:F5)/AVERAGE(D84:F84)</f>
      </c>
      <c r="G83" s="299">
        <f t="shared" ca="1" si="25"/>
      </c>
      <c r="H83" s="299">
        <f t="shared" ca="1" si="25"/>
      </c>
      <c r="I83" s="299">
        <f t="shared" ca="1" si="25"/>
      </c>
      <c r="J83" s="299">
        <f t="shared" ca="1" si="25"/>
      </c>
      <c r="K83" s="299">
        <f t="shared" ca="1" si="25"/>
      </c>
      <c r="L83" s="299">
        <f t="shared" ca="1" si="25"/>
      </c>
      <c r="M83" s="290"/>
      <c r="N83" s="290"/>
    </row>
    <row r="84" spans="1:14">
      <c r="A84" s="300" t="s">
        <v>342</v>
      </c>
      <c r="B84" s="290"/>
      <c r="C84" s="299"/>
      <c r="D84" s="301">
        <f t="shared" ref="D84:L84" ca="1" si="26">(D40+C40)/2</f>
      </c>
      <c r="E84" s="301">
        <f t="shared" ca="1" si="26"/>
      </c>
      <c r="F84" s="301">
        <f t="shared" ca="1" si="26"/>
      </c>
      <c r="G84" s="301">
        <f t="shared" ca="1" si="26"/>
      </c>
      <c r="H84" s="301">
        <f t="shared" ca="1" si="26"/>
      </c>
      <c r="I84" s="301">
        <f t="shared" ca="1" si="26"/>
      </c>
      <c r="J84" s="301">
        <f t="shared" ca="1" si="26"/>
      </c>
      <c r="K84" s="301">
        <f t="shared" ca="1" si="26"/>
      </c>
      <c r="L84" s="301">
        <f t="shared" ca="1" si="26"/>
      </c>
      <c r="M84" s="290"/>
      <c r="N84" s="290"/>
    </row>
    <row r="85" spans="1:14">
      <c r="A85" s="300" t="s">
        <v>341</v>
      </c>
      <c r="B85" s="291"/>
      <c r="C85" s="290"/>
      <c r="D85" s="290">
        <f t="shared" ref="D85:L85" ca="1" si="27">(SUM(D35:D36)+SUM(C35:C36))/2</f>
      </c>
      <c r="E85" s="290">
        <f t="shared" ca="1" si="27"/>
      </c>
      <c r="F85" s="290">
        <f t="shared" ca="1" si="27"/>
      </c>
      <c r="G85" s="290">
        <f t="shared" ca="1" si="27"/>
      </c>
      <c r="H85" s="290">
        <f t="shared" ca="1" si="27"/>
      </c>
      <c r="I85" s="290">
        <f t="shared" ca="1" si="27"/>
      </c>
      <c r="J85" s="290">
        <f t="shared" ca="1" si="27"/>
      </c>
      <c r="K85" s="290">
        <f t="shared" ca="1" si="27"/>
      </c>
      <c r="L85" s="290">
        <f t="shared" ca="1" si="27"/>
      </c>
      <c r="M85" s="290"/>
      <c r="N85" s="290"/>
    </row>
    <row r="86" spans="1:14">
      <c r="A86" s="300" t="s">
        <v>340</v>
      </c>
      <c r="B86" s="291"/>
      <c r="C86" s="290"/>
      <c r="D86" s="299"/>
      <c r="E86" s="299"/>
      <c r="F86" s="299">
        <f t="shared" ref="F86:L86" ca="1" si="28">AVERAGE(D31:F31)/AVERAGE(D85:F85)</f>
      </c>
      <c r="G86" s="299">
        <f t="shared" ca="1" si="28"/>
      </c>
      <c r="H86" s="299">
        <f t="shared" ca="1" si="28"/>
      </c>
      <c r="I86" s="299">
        <f t="shared" ca="1" si="28"/>
      </c>
      <c r="J86" s="299">
        <f t="shared" ca="1" si="28"/>
      </c>
      <c r="K86" s="299">
        <f t="shared" ca="1" si="28"/>
      </c>
      <c r="L86" s="299">
        <f t="shared" ca="1" si="28"/>
      </c>
      <c r="M86" s="290"/>
      <c r="N86" s="290"/>
    </row>
    <row r="87" spans="1:14">
      <c r="A87" s="300"/>
      <c r="B87" s="291"/>
      <c r="C87" s="290"/>
      <c r="D87" s="299"/>
      <c r="E87" s="299"/>
      <c r="F87" s="299"/>
      <c r="G87" s="299"/>
      <c r="H87" s="299"/>
      <c r="I87" s="299"/>
      <c r="J87" s="299"/>
      <c r="K87" s="299"/>
      <c r="L87" s="299"/>
      <c r="M87" s="290"/>
      <c r="N87" s="290"/>
    </row>
    <row r="88" spans="1:14">
      <c r="A88" s="300"/>
      <c r="B88" s="291"/>
      <c r="C88" s="290"/>
      <c r="D88" s="299"/>
      <c r="E88" s="299"/>
      <c r="F88" s="299"/>
      <c r="G88" s="299"/>
      <c r="H88" s="299"/>
      <c r="I88" s="299"/>
      <c r="J88" s="299"/>
      <c r="K88" s="299"/>
      <c r="L88" s="299"/>
      <c r="M88" s="290"/>
      <c r="N88" s="290"/>
    </row>
    <row r="89" spans="1:14">
      <c r="A89" s="300"/>
      <c r="B89" s="291"/>
      <c r="C89" s="290"/>
      <c r="D89" s="299"/>
      <c r="E89" s="299"/>
      <c r="F89" s="299"/>
      <c r="G89" s="299"/>
      <c r="H89" s="299"/>
      <c r="I89" s="299"/>
      <c r="J89" s="299"/>
      <c r="K89" s="299"/>
      <c r="L89" s="299"/>
      <c r="M89" s="290"/>
      <c r="N89" s="290"/>
    </row>
    <row r="90" spans="1:14">
      <c r="A90" s="300"/>
      <c r="B90" s="291"/>
      <c r="C90" s="290"/>
      <c r="D90" s="299"/>
      <c r="E90" s="299"/>
      <c r="F90" s="299"/>
      <c r="G90" s="299"/>
      <c r="H90" s="299"/>
      <c r="I90" s="299"/>
      <c r="J90" s="299"/>
      <c r="K90" s="299"/>
      <c r="L90" s="299"/>
      <c r="M90" s="290"/>
      <c r="N90" s="290"/>
    </row>
    <row r="91" spans="1:14">
      <c r="B91" s="291"/>
      <c r="C91" s="290"/>
      <c r="D91" s="290"/>
      <c r="E91" s="290"/>
      <c r="F91" s="290"/>
      <c r="G91" s="290"/>
      <c r="H91" s="290"/>
      <c r="I91" s="290"/>
      <c r="J91" s="290"/>
      <c r="K91" s="290"/>
      <c r="L91" s="290"/>
      <c r="M91" s="290"/>
      <c r="N91" s="290"/>
    </row>
    <row r="92" spans="1:14">
      <c r="A92" s="282" t="s">
        <v>68</v>
      </c>
      <c r="B92" s="295">
        <f ca="1">MATCH(A92,INDIRECT("'Data Sheet'!A:A"),0)</f>
      </c>
      <c r="C92" s="298">
        <f t="shared" ref="C92:L92" ca="1" si="29">INDIRECT(ADDRESS($B92,COLUMN()-1,,,"Data Sheet"))/100</f>
      </c>
      <c r="D92" s="298">
        <f t="shared" ca="1" si="29"/>
      </c>
      <c r="E92" s="298">
        <f t="shared" ca="1" si="29"/>
      </c>
      <c r="F92" s="298">
        <f t="shared" ca="1" si="29"/>
      </c>
      <c r="G92" s="298">
        <f t="shared" ca="1" si="29"/>
      </c>
      <c r="H92" s="298">
        <f t="shared" ca="1" si="29"/>
      </c>
      <c r="I92" s="298">
        <f t="shared" ca="1" si="29"/>
      </c>
      <c r="J92" s="298">
        <f t="shared" ca="1" si="29"/>
      </c>
      <c r="K92" s="298">
        <f t="shared" ca="1" si="29"/>
      </c>
      <c r="L92" s="298">
        <f t="shared" ca="1" si="29"/>
      </c>
      <c r="M92" s="290">
        <f ca="1">INDIRECT(ADDRESS(B94-2,2,,,"Data Sheet"))*100000</f>
      </c>
      <c r="N92" s="290"/>
    </row>
    <row r="93" spans="1:14">
      <c r="A93" s="282" t="s">
        <v>71</v>
      </c>
      <c r="B93" s="295">
        <f ca="1">MATCH(A93,INDIRECT("'Data Sheet'!A:A"),0)</f>
      </c>
      <c r="C93" s="297">
        <f t="shared" ref="C93:L93" ca="1" si="30">INDIRECT(ADDRESS($B93,COLUMN()-1,,,"Data Sheet"))</f>
      </c>
      <c r="D93" s="297">
        <f t="shared" ca="1" si="30"/>
      </c>
      <c r="E93" s="297">
        <f t="shared" ca="1" si="30"/>
      </c>
      <c r="F93" s="297">
        <f t="shared" ca="1" si="30"/>
      </c>
      <c r="G93" s="297">
        <f t="shared" ca="1" si="30"/>
      </c>
      <c r="H93" s="297">
        <f t="shared" ca="1" si="30"/>
      </c>
      <c r="I93" s="297">
        <f t="shared" ca="1" si="30"/>
      </c>
      <c r="J93" s="297">
        <f t="shared" ca="1" si="30"/>
      </c>
      <c r="K93" s="297">
        <f t="shared" ca="1" si="30"/>
      </c>
      <c r="L93" s="297">
        <f t="shared" ca="1" si="30"/>
      </c>
      <c r="M93" s="290"/>
      <c r="N93" s="290"/>
    </row>
    <row r="94" spans="1:14">
      <c r="A94" s="282" t="s">
        <v>38</v>
      </c>
      <c r="B94" s="295">
        <f ca="1">MATCH(A94,INDIRECT("'Data Sheet'!A:A"),0)</f>
      </c>
      <c r="C94" s="296"/>
      <c r="D94" s="296"/>
      <c r="E94" s="296"/>
      <c r="F94" s="296"/>
      <c r="G94" s="296"/>
      <c r="H94" s="296"/>
      <c r="I94" s="296"/>
      <c r="J94" s="296"/>
      <c r="K94" s="296"/>
      <c r="L94" s="296"/>
      <c r="M94" s="290">
        <f ca="1">INDIRECT(ADDRESS(B94,2,,,"Data Sheet"))</f>
      </c>
      <c r="N94" s="774"/>
    </row>
    <row r="95" spans="1:14">
      <c r="A95" t="s">
        <v>180</v>
      </c>
      <c r="B95" s="295"/>
      <c r="C95" s="290">
        <f t="shared" ref="C95:M95" ca="1" si="31">C92*(C94+C93)/100000</f>
      </c>
      <c r="D95" s="290">
        <f t="shared" ca="1" si="31"/>
      </c>
      <c r="E95" s="290">
        <f t="shared" ca="1" si="31"/>
      </c>
      <c r="F95" s="290">
        <f t="shared" ca="1" si="31"/>
      </c>
      <c r="G95" s="290">
        <f t="shared" ca="1" si="31"/>
      </c>
      <c r="H95" s="290">
        <f t="shared" ca="1" si="31"/>
      </c>
      <c r="I95" s="290">
        <f t="shared" ca="1" si="31"/>
      </c>
      <c r="J95" s="290">
        <f t="shared" ca="1" si="31"/>
      </c>
      <c r="K95" s="290">
        <f t="shared" ca="1" si="31"/>
      </c>
      <c r="L95" s="290">
        <f t="shared" ca="1" si="31"/>
      </c>
      <c r="M95" s="290">
        <f t="shared" ca="1" si="31"/>
      </c>
      <c r="N95" s="290"/>
    </row>
    <row r="96" spans="1:14">
      <c r="A96" s="293" t="s">
        <v>339</v>
      </c>
      <c r="B96" s="291"/>
      <c r="C96" s="294">
        <f t="shared" ref="C96:L96" ca="1" si="32">C35+C36</f>
      </c>
      <c r="D96" s="294">
        <f t="shared" ca="1" si="32"/>
      </c>
      <c r="E96" s="294">
        <f t="shared" ca="1" si="32"/>
      </c>
      <c r="F96" s="294">
        <f t="shared" ca="1" si="32"/>
      </c>
      <c r="G96" s="294">
        <f t="shared" ca="1" si="32"/>
      </c>
      <c r="H96" s="294">
        <f t="shared" ca="1" si="32"/>
      </c>
      <c r="I96" s="294">
        <f t="shared" ca="1" si="32"/>
      </c>
      <c r="J96" s="294">
        <f t="shared" ca="1" si="32"/>
      </c>
      <c r="K96" s="294">
        <f t="shared" ca="1" si="32"/>
      </c>
      <c r="L96" s="294">
        <f t="shared" ca="1" si="32"/>
      </c>
      <c r="M96" s="294">
        <f ca="1">L96</f>
      </c>
      <c r="N96" s="290"/>
    </row>
    <row r="97" spans="1:14">
      <c r="A97" s="293" t="s">
        <v>296</v>
      </c>
      <c r="B97" s="291"/>
      <c r="C97" s="294">
        <f t="shared" ref="C97:L97" ca="1" si="33">C37</f>
      </c>
      <c r="D97" s="294">
        <f t="shared" ca="1" si="33"/>
      </c>
      <c r="E97" s="294">
        <f t="shared" ca="1" si="33"/>
      </c>
      <c r="F97" s="294">
        <f t="shared" ca="1" si="33"/>
      </c>
      <c r="G97" s="294">
        <f t="shared" ca="1" si="33"/>
      </c>
      <c r="H97" s="294">
        <f t="shared" ca="1" si="33"/>
      </c>
      <c r="I97" s="294">
        <f t="shared" ca="1" si="33"/>
      </c>
      <c r="J97" s="294">
        <f t="shared" ca="1" si="33"/>
      </c>
      <c r="K97" s="294">
        <f t="shared" ca="1" si="33"/>
      </c>
      <c r="L97" s="294">
        <f t="shared" ca="1" si="33"/>
      </c>
      <c r="M97" s="294">
        <f ca="1">L97</f>
      </c>
      <c r="N97" s="290"/>
    </row>
    <row r="98" spans="1:14">
      <c r="A98" s="293" t="s">
        <v>338</v>
      </c>
      <c r="B98" s="291"/>
      <c r="C98" s="294">
        <f t="shared" ref="C98:M98" ca="1" si="34">C18</f>
      </c>
      <c r="D98" s="294">
        <f t="shared" ca="1" si="34"/>
      </c>
      <c r="E98" s="294">
        <f t="shared" ca="1" si="34"/>
      </c>
      <c r="F98" s="294">
        <f t="shared" ca="1" si="34"/>
      </c>
      <c r="G98" s="294">
        <f t="shared" ca="1" si="34"/>
      </c>
      <c r="H98" s="294">
        <f t="shared" ca="1" si="34"/>
      </c>
      <c r="I98" s="294">
        <f t="shared" ca="1" si="34"/>
      </c>
      <c r="J98" s="294">
        <f t="shared" ca="1" si="34"/>
      </c>
      <c r="K98" s="294">
        <f t="shared" ca="1" si="34"/>
      </c>
      <c r="L98" s="294">
        <f t="shared" ca="1" si="34"/>
      </c>
      <c r="M98" s="294">
        <f t="shared" ca="1" si="34"/>
      </c>
      <c r="N98" s="290"/>
    </row>
    <row r="99" spans="1:14">
      <c r="A99" s="293" t="s">
        <v>337</v>
      </c>
      <c r="B99" s="291"/>
      <c r="C99" s="294">
        <f t="shared" ref="C99:M99" ca="1" si="35">C95+C97</f>
      </c>
      <c r="D99" s="294">
        <f t="shared" ca="1" si="35"/>
      </c>
      <c r="E99" s="294">
        <f t="shared" ca="1" si="35"/>
      </c>
      <c r="F99" s="294">
        <f t="shared" ca="1" si="35"/>
      </c>
      <c r="G99" s="294">
        <f t="shared" ca="1" si="35"/>
      </c>
      <c r="H99" s="294">
        <f t="shared" ca="1" si="35"/>
      </c>
      <c r="I99" s="294">
        <f t="shared" ca="1" si="35"/>
      </c>
      <c r="J99" s="294">
        <f t="shared" ca="1" si="35"/>
      </c>
      <c r="K99" s="294">
        <f t="shared" ca="1" si="35"/>
      </c>
      <c r="L99" s="294">
        <f t="shared" ca="1" si="35"/>
      </c>
      <c r="M99" s="294">
        <f t="shared" ca="1" si="35"/>
      </c>
      <c r="N99" s="290"/>
    </row>
    <row r="100" spans="1:14">
      <c r="A100" s="293" t="s">
        <v>336</v>
      </c>
      <c r="B100" s="291"/>
      <c r="C100" s="294">
        <f t="shared" ref="C100:M100" ca="1" si="36">C96</f>
      </c>
      <c r="D100" s="294">
        <f t="shared" ca="1" si="36"/>
      </c>
      <c r="E100" s="294">
        <f t="shared" ca="1" si="36"/>
      </c>
      <c r="F100" s="294">
        <f t="shared" ca="1" si="36"/>
      </c>
      <c r="G100" s="294">
        <f t="shared" ca="1" si="36"/>
      </c>
      <c r="H100" s="294">
        <f t="shared" ca="1" si="36"/>
      </c>
      <c r="I100" s="294">
        <f t="shared" ca="1" si="36"/>
      </c>
      <c r="J100" s="294">
        <f t="shared" ca="1" si="36"/>
      </c>
      <c r="K100" s="294">
        <f t="shared" ca="1" si="36"/>
      </c>
      <c r="L100" s="294">
        <f t="shared" ca="1" si="36"/>
      </c>
      <c r="M100" s="294">
        <f t="shared" ca="1" si="36"/>
      </c>
      <c r="N100" s="290"/>
    </row>
    <row r="101" spans="1:14">
      <c r="B101" s="291"/>
      <c r="C101" s="290"/>
      <c r="D101" s="290"/>
      <c r="E101" s="290"/>
      <c r="F101" s="290"/>
      <c r="G101" s="290"/>
      <c r="H101" s="290"/>
      <c r="I101" s="290"/>
      <c r="J101" s="290"/>
      <c r="K101" s="290"/>
      <c r="L101" s="290"/>
      <c r="M101" s="290"/>
      <c r="N101" s="290"/>
    </row>
    <row r="102" spans="1:14">
      <c r="A102" s="293" t="s">
        <v>511</v>
      </c>
      <c r="B102" s="291"/>
      <c r="C102" s="290"/>
      <c r="D102" s="290"/>
      <c r="E102" s="290"/>
      <c r="F102" s="290"/>
      <c r="G102" s="290"/>
      <c r="H102" s="290"/>
      <c r="I102" s="290"/>
      <c r="J102" s="290"/>
      <c r="K102" s="290"/>
      <c r="L102" s="290"/>
      <c r="M102" s="290"/>
      <c r="N102" s="290"/>
    </row>
    <row r="103" spans="1:14">
      <c r="A103" s="293" t="s">
        <v>335</v>
      </c>
      <c r="B103" s="291"/>
      <c r="C103" s="290"/>
      <c r="D103" s="290"/>
      <c r="E103" s="294">
        <f t="shared" ref="E103:L103" ca="1" si="37">SUM(C18:E18)/3</f>
      </c>
      <c r="F103" s="294">
        <f t="shared" ca="1" si="37"/>
      </c>
      <c r="G103" s="294">
        <f t="shared" ca="1" si="37"/>
      </c>
      <c r="H103" s="294">
        <f t="shared" ca="1" si="37"/>
      </c>
      <c r="I103" s="294">
        <f t="shared" ca="1" si="37"/>
      </c>
      <c r="J103" s="294">
        <f t="shared" ca="1" si="37"/>
      </c>
      <c r="K103" s="294">
        <f t="shared" ca="1" si="37"/>
      </c>
      <c r="L103" s="294">
        <f t="shared" ca="1" si="37"/>
      </c>
      <c r="M103" s="290"/>
      <c r="N103" s="290"/>
    </row>
    <row r="104" spans="1:14">
      <c r="A104" s="293" t="s">
        <v>334</v>
      </c>
      <c r="B104" s="291"/>
      <c r="C104" s="290"/>
      <c r="D104" s="290"/>
      <c r="E104" s="292">
        <f t="shared" ref="E104:L104" ca="1" si="38">SUM(C35:E36)/3</f>
      </c>
      <c r="F104" s="292">
        <f t="shared" ca="1" si="38"/>
      </c>
      <c r="G104" s="292">
        <f t="shared" ca="1" si="38"/>
      </c>
      <c r="H104" s="292">
        <f t="shared" ca="1" si="38"/>
      </c>
      <c r="I104" s="292">
        <f t="shared" ca="1" si="38"/>
      </c>
      <c r="J104" s="292">
        <f t="shared" ca="1" si="38"/>
      </c>
      <c r="K104" s="292">
        <f t="shared" ca="1" si="38"/>
      </c>
      <c r="L104" s="292">
        <f t="shared" ca="1" si="38"/>
      </c>
      <c r="M104" s="290"/>
      <c r="N104" s="290"/>
    </row>
    <row r="105" spans="1:14">
      <c r="B105" s="291"/>
      <c r="C105" s="290"/>
      <c r="D105" s="290"/>
      <c r="E105" s="290">
        <f t="shared" ref="E105:L105" ca="1" si="39">E103/E104</f>
      </c>
      <c r="F105" s="290">
        <f t="shared" ca="1" si="39"/>
      </c>
      <c r="G105" s="290">
        <f t="shared" ca="1" si="39"/>
      </c>
      <c r="H105" s="290">
        <f t="shared" ca="1" si="39"/>
      </c>
      <c r="I105" s="290">
        <f t="shared" ca="1" si="39"/>
      </c>
      <c r="J105" s="290">
        <f t="shared" ca="1" si="39"/>
      </c>
      <c r="K105" s="290">
        <f t="shared" ca="1" si="39"/>
      </c>
      <c r="L105" s="290">
        <f t="shared" ca="1" si="39"/>
      </c>
      <c r="M105" s="290"/>
      <c r="N105" s="290"/>
    </row>
    <row r="106" spans="1:14">
      <c r="B106" s="291"/>
      <c r="C106" s="290"/>
      <c r="D106" s="290"/>
      <c r="E106" s="290"/>
      <c r="F106" s="290"/>
      <c r="G106" s="290"/>
      <c r="H106" s="290"/>
      <c r="I106" s="290"/>
      <c r="J106" s="290"/>
      <c r="K106" s="290"/>
      <c r="L106" s="290"/>
      <c r="M106" s="290"/>
      <c r="N106" s="290"/>
    </row>
    <row r="107" spans="1:14">
      <c r="B107" s="291"/>
      <c r="C107" s="290"/>
      <c r="D107" s="290"/>
      <c r="E107" s="290"/>
      <c r="F107" s="290"/>
      <c r="G107" s="290"/>
      <c r="H107" s="290"/>
      <c r="I107" s="290"/>
      <c r="J107" s="290"/>
      <c r="K107" s="290"/>
      <c r="L107" s="290"/>
      <c r="M107" s="290"/>
      <c r="N107" s="290"/>
    </row>
    <row r="108" spans="1:14">
      <c r="B108" s="291"/>
      <c r="C108" s="290"/>
      <c r="D108" s="290"/>
      <c r="E108" s="290"/>
      <c r="F108" s="290"/>
      <c r="G108" s="290"/>
      <c r="H108" s="290"/>
      <c r="I108" s="290"/>
      <c r="J108" s="290"/>
      <c r="K108" s="290"/>
      <c r="L108" s="290"/>
      <c r="M108" s="290"/>
      <c r="N108" s="290"/>
    </row>
    <row r="109" spans="1:14">
      <c r="B109" s="291"/>
      <c r="C109" s="290"/>
      <c r="D109" s="290"/>
      <c r="E109" s="290"/>
      <c r="F109" s="290"/>
      <c r="G109" s="290"/>
      <c r="H109" s="290"/>
      <c r="I109" s="290"/>
      <c r="J109" s="290"/>
      <c r="K109" s="290"/>
      <c r="L109" s="290"/>
      <c r="M109" s="290"/>
      <c r="N109" s="290"/>
    </row>
    <row r="110" spans="1:14">
      <c r="A110" t="s">
        <v>712</v>
      </c>
      <c r="B110" s="291"/>
      <c r="C110" s="294">
        <f ca="1">((C40+C41)-(C37+C38))</f>
      </c>
      <c r="D110" s="294">
        <f t="shared" ref="D110:K110" ca="1" si="40">((D40+D41)-(D37+D38))</f>
      </c>
      <c r="E110" s="294">
        <f t="shared" ca="1" si="40"/>
      </c>
      <c r="F110" s="294">
        <f t="shared" ca="1" si="40"/>
      </c>
      <c r="G110" s="294">
        <f t="shared" ca="1" si="40"/>
      </c>
      <c r="H110" s="294">
        <f t="shared" ca="1" si="40"/>
      </c>
      <c r="I110" s="294">
        <f t="shared" ca="1" si="40"/>
      </c>
      <c r="J110" s="294">
        <f t="shared" ca="1" si="40"/>
      </c>
      <c r="K110" s="294">
        <f t="shared" ca="1" si="40"/>
      </c>
      <c r="L110" s="294">
        <f ca="1">((L40+L41)-(L37+L38))</f>
      </c>
      <c r="M110" s="290"/>
      <c r="N110" s="290"/>
    </row>
    <row r="111" spans="1:14">
      <c r="A111" s="289"/>
    </row>
  </sheetData>
  <conditionalFormatting sqref="B5:M105">
    <cfRule type="cellIs" dxfId="8" priority="1" operator="lessThan">
      <formula>0</formula>
    </cfRule>
  </conditionalFormatting>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4">
    <pageSetUpPr fitToPage="1"/>
  </sheetPr>
  <dimension ref="A1:L25"/>
  <sheetViews>
    <sheetView workbookViewId="0">
      <pane xSplit="1" ySplit="3" topLeftCell="B4" activePane="bottomRight" state="frozen"/>
      <selection activeCell="R9" sqref="R9"/>
      <selection pane="topRight" activeCell="R9" sqref="R9"/>
      <selection pane="bottomLeft" activeCell="R9" sqref="R9"/>
      <selection pane="bottomRight" activeCell="N19" sqref="N19"/>
    </sheetView>
  </sheetViews>
  <sheetFormatPr defaultColWidth="9.140625" defaultRowHeight="12.75"/>
  <cols>
    <col min="1" max="1" width="35.140625" style="6" bestFit="1" customWidth="1"/>
    <col min="2" max="11" width="7.7109375" style="6" bestFit="1" customWidth="1"/>
    <col min="12" max="16384" width="9.140625" style="6"/>
  </cols>
  <sheetData>
    <row r="1" spans="1:11" s="5" customFormat="1">
      <c r="A1" s="5" t="str">
        <f>'Profit &amp; Loss'!A2</f>
      </c>
      <c r="E1" s="6" t="str">
        <f>UPDATE</f>
      </c>
    </row>
    <row r="2" spans="1:11">
      <c r="A2" s="5" t="s">
        <v>1</v>
      </c>
    </row>
    <row r="3" spans="1:11" s="5" customFormat="1">
      <c r="A3" s="111" t="s">
        <v>2</v>
      </c>
      <c r="B3" s="112">
        <f>'Data Sheet'!B41</f>
      </c>
      <c r="C3" s="112">
        <f>'Data Sheet'!C41</f>
      </c>
      <c r="D3" s="112">
        <f>'Data Sheet'!D41</f>
      </c>
      <c r="E3" s="112">
        <f>'Data Sheet'!E41</f>
      </c>
      <c r="F3" s="112">
        <f>'Data Sheet'!F41</f>
      </c>
      <c r="G3" s="112">
        <f>'Data Sheet'!G41</f>
      </c>
      <c r="H3" s="112">
        <f>'Data Sheet'!H41</f>
      </c>
      <c r="I3" s="112">
        <f>'Data Sheet'!I41</f>
      </c>
      <c r="J3" s="112">
        <f>'Data Sheet'!J41</f>
      </c>
      <c r="K3" s="113">
        <f>'Data Sheet'!K41</f>
      </c>
    </row>
    <row r="4" spans="1:11" s="5" customFormat="1">
      <c r="A4" s="114" t="s">
        <v>4</v>
      </c>
      <c r="B4" s="106">
        <f>'Data Sheet'!B42</f>
      </c>
      <c r="C4" s="106">
        <f>'Data Sheet'!C42</f>
      </c>
      <c r="D4" s="106">
        <f>'Data Sheet'!D42</f>
      </c>
      <c r="E4" s="106">
        <f>'Data Sheet'!E42</f>
      </c>
      <c r="F4" s="106">
        <f>'Data Sheet'!F42</f>
      </c>
      <c r="G4" s="106">
        <f>'Data Sheet'!G42</f>
      </c>
      <c r="H4" s="106">
        <f>'Data Sheet'!H42</f>
      </c>
      <c r="I4" s="106">
        <f>'Data Sheet'!I42</f>
      </c>
      <c r="J4" s="106">
        <f>'Data Sheet'!J42</f>
      </c>
      <c r="K4" s="115">
        <f>'Data Sheet'!K42</f>
      </c>
    </row>
    <row r="5" spans="1:11" s="9" customFormat="1">
      <c r="A5" s="116" t="s">
        <v>91</v>
      </c>
      <c r="B5" s="117"/>
      <c r="C5" s="117"/>
      <c r="D5" s="117"/>
      <c r="E5" s="117"/>
      <c r="F5" s="105">
        <f>F4/B4-1</f>
      </c>
      <c r="G5" s="105">
        <f t="shared" ref="G5:K5" si="0">G4/C4-1</f>
      </c>
      <c r="H5" s="105">
        <f t="shared" si="0"/>
      </c>
      <c r="I5" s="105">
        <f t="shared" si="0"/>
      </c>
      <c r="J5" s="105">
        <f t="shared" si="0"/>
      </c>
      <c r="K5" s="118">
        <f t="shared" si="0"/>
      </c>
    </row>
    <row r="6" spans="1:11">
      <c r="A6" s="119" t="s">
        <v>5</v>
      </c>
      <c r="B6" s="23">
        <f>'Data Sheet'!B43</f>
      </c>
      <c r="C6" s="23">
        <f>'Data Sheet'!C43</f>
      </c>
      <c r="D6" s="23">
        <f>'Data Sheet'!D43</f>
      </c>
      <c r="E6" s="23">
        <f>'Data Sheet'!E43</f>
      </c>
      <c r="F6" s="23">
        <f>'Data Sheet'!F43</f>
      </c>
      <c r="G6" s="23">
        <f>'Data Sheet'!G43</f>
      </c>
      <c r="H6" s="23">
        <f>'Data Sheet'!H43</f>
      </c>
      <c r="I6" s="23">
        <f>'Data Sheet'!I43</f>
      </c>
      <c r="J6" s="23">
        <f>'Data Sheet'!J43</f>
      </c>
      <c r="K6" s="120">
        <f>'Data Sheet'!K43</f>
      </c>
    </row>
    <row r="7" spans="1:11" s="5" customFormat="1">
      <c r="A7" s="114" t="s">
        <v>6</v>
      </c>
      <c r="B7" s="106">
        <f>'Data Sheet'!B50</f>
      </c>
      <c r="C7" s="106">
        <f>'Data Sheet'!C50</f>
      </c>
      <c r="D7" s="106">
        <f>'Data Sheet'!D50</f>
      </c>
      <c r="E7" s="106">
        <f>'Data Sheet'!E50</f>
      </c>
      <c r="F7" s="106">
        <f>'Data Sheet'!F50</f>
      </c>
      <c r="G7" s="106">
        <f>'Data Sheet'!G50</f>
      </c>
      <c r="H7" s="106">
        <f>'Data Sheet'!H50</f>
      </c>
      <c r="I7" s="106">
        <f>'Data Sheet'!I50</f>
      </c>
      <c r="J7" s="106">
        <f>'Data Sheet'!J50</f>
      </c>
      <c r="K7" s="115">
        <f>'Data Sheet'!K50</f>
      </c>
    </row>
    <row r="8" spans="1:11">
      <c r="A8" s="119" t="s">
        <v>7</v>
      </c>
      <c r="B8" s="23">
        <f>'Data Sheet'!B44</f>
      </c>
      <c r="C8" s="23">
        <f>'Data Sheet'!C44</f>
      </c>
      <c r="D8" s="23">
        <f>'Data Sheet'!D44</f>
      </c>
      <c r="E8" s="23">
        <f>'Data Sheet'!E44</f>
      </c>
      <c r="F8" s="23">
        <f>'Data Sheet'!F44</f>
      </c>
      <c r="G8" s="23">
        <f>'Data Sheet'!G44</f>
      </c>
      <c r="H8" s="23">
        <f>'Data Sheet'!H44</f>
      </c>
      <c r="I8" s="23">
        <f>'Data Sheet'!I44</f>
      </c>
      <c r="J8" s="23">
        <f>'Data Sheet'!J44</f>
      </c>
      <c r="K8" s="120">
        <f>'Data Sheet'!K44</f>
      </c>
    </row>
    <row r="9" spans="1:11">
      <c r="A9" s="119" t="s">
        <v>8</v>
      </c>
      <c r="B9" s="23">
        <f>'Data Sheet'!B45</f>
      </c>
      <c r="C9" s="23">
        <f>'Data Sheet'!C45</f>
      </c>
      <c r="D9" s="23">
        <f>'Data Sheet'!D45</f>
      </c>
      <c r="E9" s="23">
        <f>'Data Sheet'!E45</f>
      </c>
      <c r="F9" s="23">
        <f>'Data Sheet'!F45</f>
      </c>
      <c r="G9" s="23">
        <f>'Data Sheet'!G45</f>
      </c>
      <c r="H9" s="23">
        <f>'Data Sheet'!H45</f>
      </c>
      <c r="I9" s="23">
        <f>'Data Sheet'!I45</f>
      </c>
      <c r="J9" s="23">
        <f>'Data Sheet'!J45</f>
      </c>
      <c r="K9" s="120">
        <f>'Data Sheet'!K45</f>
      </c>
    </row>
    <row r="10" spans="1:11">
      <c r="A10" s="119" t="s">
        <v>9</v>
      </c>
      <c r="B10" s="23">
        <f>'Data Sheet'!B46</f>
      </c>
      <c r="C10" s="23">
        <f>'Data Sheet'!C46</f>
      </c>
      <c r="D10" s="23">
        <f>'Data Sheet'!D46</f>
      </c>
      <c r="E10" s="23">
        <f>'Data Sheet'!E46</f>
      </c>
      <c r="F10" s="23">
        <f>'Data Sheet'!F46</f>
      </c>
      <c r="G10" s="23">
        <f>'Data Sheet'!G46</f>
      </c>
      <c r="H10" s="23">
        <f>'Data Sheet'!H46</f>
      </c>
      <c r="I10" s="23">
        <f>'Data Sheet'!I46</f>
      </c>
      <c r="J10" s="23">
        <f>'Data Sheet'!J46</f>
      </c>
      <c r="K10" s="120">
        <f>'Data Sheet'!K46</f>
      </c>
    </row>
    <row r="11" spans="1:11">
      <c r="A11" s="119" t="s">
        <v>10</v>
      </c>
      <c r="B11" s="23">
        <f>'Data Sheet'!B47</f>
      </c>
      <c r="C11" s="23">
        <f>'Data Sheet'!C47</f>
      </c>
      <c r="D11" s="23">
        <f>'Data Sheet'!D47</f>
      </c>
      <c r="E11" s="23">
        <f>'Data Sheet'!E47</f>
      </c>
      <c r="F11" s="23">
        <f>'Data Sheet'!F47</f>
      </c>
      <c r="G11" s="23">
        <f>'Data Sheet'!G47</f>
      </c>
      <c r="H11" s="23">
        <f>'Data Sheet'!H47</f>
      </c>
      <c r="I11" s="23">
        <f>'Data Sheet'!I47</f>
      </c>
      <c r="J11" s="23">
        <f>'Data Sheet'!J47</f>
      </c>
      <c r="K11" s="120">
        <f>'Data Sheet'!K47</f>
      </c>
    </row>
    <row r="12" spans="1:11">
      <c r="A12" s="116" t="s">
        <v>99</v>
      </c>
      <c r="B12" s="105">
        <f>B11/B4</f>
      </c>
      <c r="C12" s="105">
        <f t="shared" ref="C12:K12" si="1">C11/C4</f>
      </c>
      <c r="D12" s="105">
        <f t="shared" si="1"/>
      </c>
      <c r="E12" s="105">
        <f t="shared" si="1"/>
      </c>
      <c r="F12" s="105">
        <f t="shared" si="1"/>
      </c>
      <c r="G12" s="105">
        <f t="shared" si="1"/>
      </c>
      <c r="H12" s="105">
        <f t="shared" si="1"/>
      </c>
      <c r="I12" s="105">
        <f t="shared" si="1"/>
      </c>
      <c r="J12" s="105">
        <f t="shared" si="1"/>
      </c>
      <c r="K12" s="118">
        <f t="shared" si="1"/>
      </c>
    </row>
    <row r="13" spans="1:11" s="9" customFormat="1">
      <c r="A13" s="116" t="s">
        <v>91</v>
      </c>
      <c r="B13" s="117"/>
      <c r="C13" s="117"/>
      <c r="D13" s="117"/>
      <c r="E13" s="117"/>
      <c r="F13" s="105">
        <f>F11/B11-1</f>
      </c>
      <c r="G13" s="105">
        <f>G11/C11-1</f>
      </c>
      <c r="H13" s="105">
        <f>H11/D11-1</f>
      </c>
      <c r="I13" s="105">
        <f>I11/E11-1</f>
      </c>
      <c r="J13" s="105">
        <f>J11/F11-1</f>
      </c>
      <c r="K13" s="118">
        <f t="shared" ref="K13" si="2">K11/G11-1</f>
      </c>
    </row>
    <row r="14" spans="1:11">
      <c r="A14" s="119" t="s">
        <v>11</v>
      </c>
      <c r="B14" s="23">
        <f>'Data Sheet'!B48</f>
      </c>
      <c r="C14" s="23">
        <f>'Data Sheet'!C48</f>
      </c>
      <c r="D14" s="23">
        <f>'Data Sheet'!D48</f>
      </c>
      <c r="E14" s="23">
        <f>'Data Sheet'!E48</f>
      </c>
      <c r="F14" s="23">
        <f>'Data Sheet'!F48</f>
      </c>
      <c r="G14" s="23">
        <f>'Data Sheet'!G48</f>
      </c>
      <c r="H14" s="23">
        <f>'Data Sheet'!H48</f>
      </c>
      <c r="I14" s="23">
        <f>'Data Sheet'!I48</f>
      </c>
      <c r="J14" s="23">
        <f>'Data Sheet'!J48</f>
      </c>
      <c r="K14" s="120">
        <f>'Data Sheet'!K48</f>
      </c>
    </row>
    <row r="15" spans="1:11" s="5" customFormat="1">
      <c r="A15" s="114" t="s">
        <v>12</v>
      </c>
      <c r="B15" s="106">
        <f>'Data Sheet'!B49</f>
      </c>
      <c r="C15" s="106">
        <f>'Data Sheet'!C49</f>
      </c>
      <c r="D15" s="106">
        <f>'Data Sheet'!D49</f>
      </c>
      <c r="E15" s="106">
        <f>'Data Sheet'!E49</f>
      </c>
      <c r="F15" s="106">
        <f>'Data Sheet'!F49</f>
      </c>
      <c r="G15" s="106">
        <f>'Data Sheet'!G49</f>
      </c>
      <c r="H15" s="106">
        <f>'Data Sheet'!H49</f>
      </c>
      <c r="I15" s="106">
        <f>'Data Sheet'!I49</f>
      </c>
      <c r="J15" s="106">
        <f>'Data Sheet'!J49</f>
      </c>
      <c r="K15" s="115">
        <f>'Data Sheet'!K49</f>
      </c>
    </row>
    <row r="16" spans="1:11" s="9" customFormat="1">
      <c r="A16" s="116" t="s">
        <v>91</v>
      </c>
      <c r="B16" s="117"/>
      <c r="C16" s="117"/>
      <c r="D16" s="117"/>
      <c r="E16" s="117"/>
      <c r="F16" s="105">
        <f>F15/B15-1</f>
      </c>
      <c r="G16" s="105">
        <f t="shared" ref="G16" si="3">G15/C15-1</f>
      </c>
      <c r="H16" s="105">
        <f t="shared" ref="H16" si="4">H15/D15-1</f>
      </c>
      <c r="I16" s="105">
        <f t="shared" ref="I16" si="5">I15/E15-1</f>
      </c>
      <c r="J16" s="105">
        <f t="shared" ref="J16" si="6">J15/F15-1</f>
      </c>
      <c r="K16" s="118">
        <f t="shared" ref="K16" si="7">K15/G15-1</f>
      </c>
    </row>
    <row r="17" spans="1:12" s="5" customFormat="1">
      <c r="A17" s="121" t="s">
        <v>15</v>
      </c>
      <c r="B17" s="122">
        <f t="shared" ref="B17:K17" si="8">IF(B4&gt;0,B7/B4,"")</f>
      </c>
      <c r="C17" s="122">
        <f t="shared" si="8"/>
      </c>
      <c r="D17" s="122">
        <f t="shared" si="8"/>
      </c>
      <c r="E17" s="122">
        <f t="shared" si="8"/>
      </c>
      <c r="F17" s="122">
        <f t="shared" si="8"/>
      </c>
      <c r="G17" s="122">
        <f t="shared" si="8"/>
      </c>
      <c r="H17" s="122">
        <f t="shared" si="8"/>
      </c>
      <c r="I17" s="122">
        <f t="shared" si="8"/>
      </c>
      <c r="J17" s="122">
        <f t="shared" si="8"/>
      </c>
      <c r="K17" s="123">
        <f t="shared" si="8"/>
      </c>
      <c r="L17" s="9"/>
    </row>
    <row r="25" spans="1:12" s="19" customFormat="1"/>
  </sheetData>
  <conditionalFormatting sqref="B4:K17">
    <cfRule type="cellIs" dxfId="7" priority="1" operator="lessThan">
      <formula>0</formula>
    </cfRule>
  </conditionalFormatting>
  <hyperlinks>
    <hyperlink ref="A2" r:id="rId1" xr:uid="{00000000-0004-0000-0D00-000000000000}"/>
  </hyperlinks>
  <printOptions gridLines="1"/>
  <pageMargins left="0.7" right="0.7" top="0.75" bottom="0.75" header="0.3" footer="0.3"/>
  <pageSetup paperSize="9" scale="83" orientation="landscape" horizontalDpi="300" verticalDpi="300" r:id="rId2"/>
  <tableParts count="1">
    <tablePart r:id="rId3"/>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8">
    <tabColor rgb="FFFFC000"/>
  </sheetPr>
  <dimension ref="A1:K40"/>
  <sheetViews>
    <sheetView topLeftCell="A19" workbookViewId="0">
      <selection activeCell="C23" sqref="C23"/>
    </sheetView>
  </sheetViews>
  <sheetFormatPr defaultColWidth="9.140625" defaultRowHeight="12.75"/>
  <cols>
    <col min="1" max="1" width="34.5703125" style="180" bestFit="1" customWidth="1"/>
    <col min="2" max="2" width="22.85546875" style="180" bestFit="1" customWidth="1"/>
    <col min="3" max="3" width="12.42578125" style="180" bestFit="1" customWidth="1"/>
    <col min="4" max="4" width="9.140625" style="180"/>
    <col min="5" max="5" width="10.5703125" style="180" customWidth="1"/>
    <col min="6" max="16384" width="9.140625" style="180"/>
  </cols>
  <sheetData>
    <row r="1" spans="1:11" ht="13.5" thickBot="1">
      <c r="A1" s="692" t="s">
        <v>629</v>
      </c>
      <c r="B1" s="693"/>
    </row>
    <row r="2" spans="1:11" ht="12.95" customHeight="1">
      <c r="A2" s="694"/>
      <c r="B2" s="695"/>
      <c r="E2" s="699" t="s">
        <v>279</v>
      </c>
      <c r="F2" s="700"/>
      <c r="G2" s="700"/>
      <c r="H2" s="700"/>
      <c r="I2" s="700"/>
      <c r="J2" s="700"/>
      <c r="K2" s="701"/>
    </row>
    <row r="3" spans="1:11" ht="15" customHeight="1">
      <c r="A3" s="694"/>
      <c r="B3" s="695"/>
      <c r="E3" s="702"/>
      <c r="F3" s="703"/>
      <c r="G3" s="703"/>
      <c r="H3" s="703"/>
      <c r="I3" s="703"/>
      <c r="J3" s="703"/>
      <c r="K3" s="704"/>
    </row>
    <row r="4" spans="1:11" ht="15" customHeight="1">
      <c r="A4" s="694"/>
      <c r="B4" s="695"/>
      <c r="E4" s="702"/>
      <c r="F4" s="703"/>
      <c r="G4" s="703"/>
      <c r="H4" s="703"/>
      <c r="I4" s="703"/>
      <c r="J4" s="703"/>
      <c r="K4" s="704"/>
    </row>
    <row r="5" spans="1:11" ht="15" customHeight="1" thickBot="1">
      <c r="A5" s="696"/>
      <c r="B5" s="697"/>
      <c r="E5" s="702"/>
      <c r="F5" s="703"/>
      <c r="G5" s="703"/>
      <c r="H5" s="703"/>
      <c r="I5" s="703"/>
      <c r="J5" s="703"/>
      <c r="K5" s="704"/>
    </row>
    <row r="6" spans="1:11" ht="16.5" thickBot="1">
      <c r="A6" s="698"/>
      <c r="B6" s="698"/>
      <c r="E6" s="705"/>
      <c r="F6" s="706"/>
      <c r="G6" s="706"/>
      <c r="H6" s="706"/>
      <c r="I6" s="706"/>
      <c r="J6" s="706"/>
      <c r="K6" s="707"/>
    </row>
    <row r="7" spans="1:11">
      <c r="A7" s="690" t="s">
        <v>211</v>
      </c>
      <c r="B7" s="691"/>
    </row>
    <row r="8" spans="1:11" ht="13.5" thickBot="1">
      <c r="A8" s="181" t="s">
        <v>212</v>
      </c>
      <c r="B8" s="182" t="s">
        <v>213</v>
      </c>
    </row>
    <row r="9" spans="1:11" ht="12.95" customHeight="1">
      <c r="A9" s="66" t="s">
        <v>214</v>
      </c>
      <c r="B9" s="183" t="str">
        <f>'Data Sheet'!B1</f>
      </c>
      <c r="E9" s="708" t="s">
        <v>241</v>
      </c>
      <c r="F9" s="709"/>
      <c r="G9" s="709"/>
      <c r="H9" s="709"/>
      <c r="I9" s="709"/>
      <c r="J9" s="709"/>
      <c r="K9" s="710"/>
    </row>
    <row r="10" spans="1:11" ht="14.45" customHeight="1">
      <c r="A10" s="66" t="s">
        <v>215</v>
      </c>
      <c r="B10" s="184">
        <f>'Data Sheet'!B8</f>
      </c>
      <c r="E10" s="711"/>
      <c r="F10" s="712"/>
      <c r="G10" s="712"/>
      <c r="H10" s="712"/>
      <c r="I10" s="712"/>
      <c r="J10" s="712"/>
      <c r="K10" s="713"/>
    </row>
    <row r="11" spans="1:11" ht="14.45" customHeight="1">
      <c r="A11" s="66" t="s">
        <v>216</v>
      </c>
      <c r="B11" s="185">
        <f>'Data Sheet'!B7</f>
      </c>
      <c r="E11" s="711"/>
      <c r="F11" s="712"/>
      <c r="G11" s="712"/>
      <c r="H11" s="712"/>
      <c r="I11" s="712"/>
      <c r="J11" s="712"/>
      <c r="K11" s="713"/>
    </row>
    <row r="12" spans="1:11" ht="14.45" customHeight="1" thickBot="1">
      <c r="A12" s="66" t="s">
        <v>217</v>
      </c>
      <c r="B12" s="185">
        <f>'Data Sheet'!B6</f>
      </c>
      <c r="E12" s="714"/>
      <c r="F12" s="715"/>
      <c r="G12" s="715"/>
      <c r="H12" s="715"/>
      <c r="I12" s="715"/>
      <c r="J12" s="715"/>
      <c r="K12" s="716"/>
    </row>
    <row r="13" spans="1:11">
      <c r="A13" s="66" t="s">
        <v>218</v>
      </c>
      <c r="B13" s="184">
        <f>B10*B12</f>
      </c>
    </row>
    <row r="14" spans="1:11" ht="13.5" thickBot="1"/>
    <row r="15" spans="1:11" ht="12.95" customHeight="1">
      <c r="A15" s="690" t="s">
        <v>222</v>
      </c>
      <c r="B15" s="691"/>
      <c r="E15" s="708" t="s">
        <v>242</v>
      </c>
      <c r="F15" s="709"/>
      <c r="G15" s="709"/>
      <c r="H15" s="709"/>
      <c r="I15" s="709"/>
      <c r="J15" s="709"/>
      <c r="K15" s="710"/>
    </row>
    <row r="16" spans="1:11" ht="14.45" customHeight="1">
      <c r="A16" s="181" t="s">
        <v>212</v>
      </c>
      <c r="B16" s="182" t="s">
        <v>213</v>
      </c>
      <c r="E16" s="711"/>
      <c r="F16" s="712"/>
      <c r="G16" s="712"/>
      <c r="H16" s="712"/>
      <c r="I16" s="712"/>
      <c r="J16" s="712"/>
      <c r="K16" s="713"/>
    </row>
    <row r="17" spans="1:11" ht="14.45" customHeight="1">
      <c r="A17" s="66" t="s">
        <v>223</v>
      </c>
      <c r="B17" s="186">
        <f>'Profit &amp; Loss'!B38</f>
      </c>
      <c r="E17" s="711"/>
      <c r="F17" s="712"/>
      <c r="G17" s="712"/>
      <c r="H17" s="712"/>
      <c r="I17" s="712"/>
      <c r="J17" s="712"/>
      <c r="K17" s="713"/>
    </row>
    <row r="18" spans="1:11" ht="14.45" customHeight="1">
      <c r="A18" s="66" t="s">
        <v>224</v>
      </c>
      <c r="B18" s="186">
        <f>'Profit &amp; Loss'!B39</f>
      </c>
      <c r="E18" s="711"/>
      <c r="F18" s="712"/>
      <c r="G18" s="712"/>
      <c r="H18" s="712"/>
      <c r="I18" s="712"/>
      <c r="J18" s="712"/>
      <c r="K18" s="713"/>
    </row>
    <row r="19" spans="1:11" ht="14.45" customHeight="1">
      <c r="A19" s="66" t="s">
        <v>219</v>
      </c>
      <c r="B19" s="186">
        <f>('Data Sheet'!K30/'Data Sheet'!B30)^(1/9)-1</f>
      </c>
      <c r="E19" s="711"/>
      <c r="F19" s="712"/>
      <c r="G19" s="712"/>
      <c r="H19" s="712"/>
      <c r="I19" s="712"/>
      <c r="J19" s="712"/>
      <c r="K19" s="713"/>
    </row>
    <row r="20" spans="1:11" ht="14.45" customHeight="1">
      <c r="A20" s="66" t="s">
        <v>220</v>
      </c>
      <c r="B20" s="187">
        <f>AVERAGE('Balance Sheet'!G25:K25)</f>
      </c>
      <c r="E20" s="711"/>
      <c r="F20" s="712"/>
      <c r="G20" s="712"/>
      <c r="H20" s="712"/>
      <c r="I20" s="712"/>
      <c r="J20" s="712"/>
      <c r="K20" s="713"/>
    </row>
    <row r="21" spans="1:11" ht="14.45" customHeight="1">
      <c r="A21" s="66" t="s">
        <v>221</v>
      </c>
      <c r="B21" s="188">
        <f>AVERAGE('Balance Sheet'!G26:K26)</f>
      </c>
      <c r="E21" s="711"/>
      <c r="F21" s="712"/>
      <c r="G21" s="712"/>
      <c r="H21" s="712"/>
      <c r="I21" s="712"/>
      <c r="J21" s="712"/>
      <c r="K21" s="713"/>
    </row>
    <row r="22" spans="1:11" ht="14.45" customHeight="1">
      <c r="A22" s="66" t="s">
        <v>226</v>
      </c>
      <c r="B22" s="189">
        <f>AVERAGE('Profit &amp; Loss'!G29:K29)</f>
      </c>
      <c r="E22" s="711"/>
      <c r="F22" s="712"/>
      <c r="G22" s="712"/>
      <c r="H22" s="712"/>
      <c r="I22" s="712"/>
      <c r="J22" s="712"/>
      <c r="K22" s="713"/>
    </row>
    <row r="23" spans="1:11" ht="15" customHeight="1" thickBot="1">
      <c r="A23" s="190" t="s">
        <v>225</v>
      </c>
      <c r="B23" s="191">
        <f>B13/Annual[[#This Row],[Column12]]</f>
      </c>
      <c r="E23" s="714"/>
      <c r="F23" s="715"/>
      <c r="G23" s="715"/>
      <c r="H23" s="715"/>
      <c r="I23" s="715"/>
      <c r="J23" s="715"/>
      <c r="K23" s="716"/>
    </row>
    <row r="24" spans="1:11">
      <c r="A24" s="328" t="s">
        <v>294</v>
      </c>
      <c r="B24" s="248">
        <f ca="1">B13/'Cash Flow'!K12</f>
      </c>
    </row>
    <row r="25" spans="1:11">
      <c r="A25" s="328" t="s">
        <v>295</v>
      </c>
      <c r="B25" s="248">
        <f>B13/'Cash Flow'!K4</f>
      </c>
    </row>
    <row r="26" spans="1:11">
      <c r="A26" s="328" t="s">
        <v>296</v>
      </c>
      <c r="B26" s="249">
        <f>'Data Sheet'!K59</f>
      </c>
    </row>
    <row r="27" spans="1:11" ht="13.5" thickBot="1">
      <c r="A27" s="329" t="s">
        <v>297</v>
      </c>
      <c r="B27" s="259">
        <f>B26/B13</f>
      </c>
    </row>
    <row r="28" spans="1:11">
      <c r="A28" s="263" t="s">
        <v>326</v>
      </c>
      <c r="B28" s="264" t="s">
        <v>327</v>
      </c>
      <c r="C28" s="264" t="s">
        <v>518</v>
      </c>
      <c r="D28" s="265" t="s">
        <v>328</v>
      </c>
    </row>
    <row r="29" spans="1:11" ht="13.5" thickBot="1">
      <c r="A29" s="266" t="s">
        <v>299</v>
      </c>
      <c r="B29" s="267">
        <f>'Profit &amp; Loss'!G43</f>
      </c>
      <c r="C29" s="267">
        <f>'Profit &amp; Loss'!H43</f>
      </c>
      <c r="D29" s="268">
        <f>'Profit &amp; Loss'!J43</f>
      </c>
    </row>
    <row r="30" spans="1:11">
      <c r="A30" s="269" t="s">
        <v>301</v>
      </c>
      <c r="B30" s="270">
        <f>IFERROR(MIN('Profit &amp; Loss'!L49,'Profit &amp; Loss'!L50),0)</f>
      </c>
      <c r="C30" s="270">
        <f>'Profit &amp; Loss'!N50</f>
      </c>
      <c r="D30" s="269"/>
    </row>
    <row r="31" spans="1:11">
      <c r="A31" s="260" t="s">
        <v>314</v>
      </c>
      <c r="B31" s="261">
        <v>1</v>
      </c>
      <c r="C31" s="260">
        <f>B30*100*2</f>
      </c>
      <c r="D31" s="260" t="s">
        <v>318</v>
      </c>
      <c r="E31" s="260"/>
    </row>
    <row r="32" spans="1:11">
      <c r="A32" s="260"/>
      <c r="B32" s="262">
        <v>2</v>
      </c>
      <c r="C32" s="260">
        <f>MIN('Profit &amp; Loss'!B29:K29)</f>
      </c>
      <c r="D32" s="260" t="s">
        <v>319</v>
      </c>
      <c r="E32" s="260"/>
    </row>
    <row r="33" spans="1:5">
      <c r="A33" s="260"/>
      <c r="B33" s="260" t="s">
        <v>320</v>
      </c>
      <c r="C33" s="274">
        <f t="array" ref="C33">MIN(IF(C31:C32&gt;0,C31:C32))</f>
      </c>
      <c r="D33" s="260"/>
      <c r="E33" s="260"/>
    </row>
    <row r="34" spans="1:5">
      <c r="A34" s="180" t="s">
        <v>321</v>
      </c>
      <c r="B34" s="255">
        <v>0.15</v>
      </c>
    </row>
    <row r="35" spans="1:5">
      <c r="B35" s="253" t="s">
        <v>298</v>
      </c>
      <c r="C35" s="180" t="s">
        <v>329</v>
      </c>
      <c r="D35" s="180" t="s">
        <v>331</v>
      </c>
    </row>
    <row r="36" spans="1:5">
      <c r="A36" s="180" t="s">
        <v>322</v>
      </c>
      <c r="B36" s="271">
        <f>FV(C33%,10,,-B29)</f>
      </c>
      <c r="C36" s="271">
        <f>FV(C33%,10,,-C29)</f>
      </c>
      <c r="D36" s="271">
        <f>FV(C33%,10,,-D29)</f>
      </c>
    </row>
    <row r="37" spans="1:5">
      <c r="A37" s="180" t="s">
        <v>323</v>
      </c>
      <c r="B37" s="271">
        <f>$C$33*B36</f>
      </c>
      <c r="C37" s="271">
        <f t="shared" ref="C37:D37" si="0">$C$33*C36</f>
      </c>
      <c r="D37" s="271">
        <f t="shared" si="0"/>
      </c>
    </row>
    <row r="38" spans="1:5">
      <c r="A38" s="180" t="s">
        <v>324</v>
      </c>
      <c r="B38" s="272">
        <f>B37/4</f>
      </c>
      <c r="C38" s="272">
        <f t="shared" ref="C38:D38" si="1">C37/4</f>
      </c>
      <c r="D38" s="272">
        <f t="shared" si="1"/>
      </c>
    </row>
    <row r="39" spans="1:5">
      <c r="A39" s="180" t="s">
        <v>325</v>
      </c>
      <c r="B39" s="273">
        <f>B38/2</f>
      </c>
      <c r="C39" s="273">
        <f t="shared" ref="C39:D39" si="2">C38/2</f>
      </c>
      <c r="D39" s="273">
        <f t="shared" si="2"/>
      </c>
    </row>
    <row r="40" spans="1:5">
      <c r="C40" s="271"/>
      <c r="D40" s="271"/>
    </row>
  </sheetData>
  <mergeCells count="7">
    <mergeCell ref="A15:B15"/>
    <mergeCell ref="A1:B5"/>
    <mergeCell ref="A6:B6"/>
    <mergeCell ref="A7:B7"/>
    <mergeCell ref="E2:K6"/>
    <mergeCell ref="E9:K12"/>
    <mergeCell ref="E15:K23"/>
  </mergeCells>
  <conditionalFormatting sqref="A9:B27">
    <cfRule type="cellIs" dxfId="6" priority="4" operator="lessThan">
      <formula>0</formula>
    </cfRule>
  </conditionalFormatting>
  <conditionalFormatting sqref="B31:C32">
    <cfRule type="cellIs" dxfId="5" priority="2" operator="lessThan">
      <formula>0</formula>
    </cfRule>
  </conditionalFormatting>
  <conditionalFormatting sqref="B29:D30">
    <cfRule type="cellIs" dxfId="4" priority="1" operator="lessThan">
      <formula>0</formula>
    </cfRule>
  </conditionalFormatting>
  <conditionalFormatting sqref="B36:D39">
    <cfRule type="cellIs" dxfId="3" priority="3" operator="lessThan">
      <formula>0</formula>
    </cfRule>
  </conditionalFormatting>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9"/>
  <dimension ref="A1:J17"/>
  <sheetViews>
    <sheetView workbookViewId="0">
      <selection activeCell="I16" sqref="I16"/>
    </sheetView>
  </sheetViews>
  <sheetFormatPr defaultColWidth="9.140625" defaultRowHeight="15"/>
  <cols>
    <col min="6" max="6" width="11.42578125" customWidth="1"/>
    <col min="7" max="7" width="11.5703125" bestFit="1" customWidth="1"/>
    <col min="8" max="8" width="11.5703125" customWidth="1"/>
    <col min="9" max="9" width="11.5703125" bestFit="1" customWidth="1"/>
  </cols>
  <sheetData>
    <row r="1" spans="1:10" ht="30">
      <c r="B1" t="s">
        <v>53</v>
      </c>
      <c r="C1" t="s">
        <v>140</v>
      </c>
      <c r="D1" t="s">
        <v>108</v>
      </c>
      <c r="E1" s="373" t="s">
        <v>532</v>
      </c>
      <c r="F1" t="s">
        <v>535</v>
      </c>
      <c r="G1" s="373" t="s">
        <v>533</v>
      </c>
      <c r="H1" s="373" t="s">
        <v>537</v>
      </c>
      <c r="I1" s="373" t="s">
        <v>534</v>
      </c>
      <c r="J1" s="373"/>
    </row>
    <row r="2" spans="1:10">
      <c r="B2">
        <v>21.344643908624541</v>
      </c>
      <c r="D2">
        <v>2015</v>
      </c>
      <c r="E2">
        <v>936.25</v>
      </c>
      <c r="F2" s="373">
        <v>1128</v>
      </c>
      <c r="G2" s="373">
        <f>E2/B2</f>
      </c>
      <c r="H2" s="373"/>
      <c r="I2" s="373">
        <f>F2/B2</f>
      </c>
      <c r="J2" s="373"/>
    </row>
    <row r="3" spans="1:10">
      <c r="B3">
        <v>25.348861553160475</v>
      </c>
      <c r="C3" s="374">
        <f>(B3-B2)/B2</f>
      </c>
      <c r="D3">
        <v>2016</v>
      </c>
      <c r="E3">
        <v>928</v>
      </c>
      <c r="F3" s="373">
        <v>1318.45</v>
      </c>
      <c r="G3" s="373">
        <f t="shared" ref="G3:G6" si="0">E3/B3</f>
      </c>
      <c r="H3" s="374">
        <f>(G3-G2)/G2</f>
      </c>
      <c r="I3" s="373">
        <f t="shared" ref="I3:I6" si="1">F3/B3</f>
      </c>
      <c r="J3" s="374">
        <f>(I3-I2)/I2</f>
      </c>
    </row>
    <row r="4" spans="1:10">
      <c r="B4">
        <v>29.882101026336546</v>
      </c>
      <c r="C4" s="374">
        <f t="shared" ref="C4:C6" si="2">(B4-B3)/B3</f>
      </c>
      <c r="D4">
        <v>2017</v>
      </c>
      <c r="E4">
        <v>1183.0999999999999</v>
      </c>
      <c r="F4" s="373">
        <v>1903.1</v>
      </c>
      <c r="G4" s="373">
        <f t="shared" si="0"/>
      </c>
      <c r="H4" s="374">
        <f t="shared" ref="H4:J6" si="3">(G4-G3)/G3</f>
      </c>
      <c r="I4" s="373">
        <f t="shared" si="1"/>
      </c>
      <c r="J4" s="374">
        <f t="shared" si="3"/>
      </c>
    </row>
    <row r="5" spans="1:10">
      <c r="B5">
        <v>35.761453534055413</v>
      </c>
      <c r="C5" s="374">
        <f t="shared" si="2"/>
      </c>
      <c r="D5">
        <v>2018</v>
      </c>
      <c r="E5">
        <v>1828.5</v>
      </c>
      <c r="F5" s="373">
        <v>2220</v>
      </c>
      <c r="G5" s="373">
        <f t="shared" si="0"/>
      </c>
      <c r="H5" s="374">
        <f t="shared" si="3"/>
      </c>
      <c r="I5" s="373">
        <f t="shared" si="1"/>
      </c>
      <c r="J5" s="374">
        <f t="shared" si="3"/>
      </c>
    </row>
    <row r="6" spans="1:10">
      <c r="B6">
        <v>41.210214666206831</v>
      </c>
      <c r="C6" s="374">
        <f t="shared" si="2"/>
      </c>
      <c r="D6">
        <v>2019</v>
      </c>
      <c r="E6">
        <v>1084</v>
      </c>
      <c r="F6">
        <v>2503.3000000000002</v>
      </c>
      <c r="G6" s="373">
        <f t="shared" si="0"/>
      </c>
      <c r="H6" s="374">
        <f t="shared" si="3"/>
      </c>
      <c r="I6" s="373">
        <f t="shared" si="1"/>
      </c>
      <c r="J6" s="374">
        <f t="shared" si="3"/>
      </c>
    </row>
    <row r="7" spans="1:10">
      <c r="A7" t="s">
        <v>316</v>
      </c>
      <c r="C7" s="374">
        <f>AVERAGE(C2:C6)</f>
      </c>
      <c r="G7" s="373">
        <f>AVERAGE(G2:G6)</f>
      </c>
      <c r="H7" s="374"/>
      <c r="I7" s="373">
        <f>AVERAGE(I2:I6)</f>
      </c>
      <c r="J7" s="374"/>
    </row>
    <row r="9" spans="1:10">
      <c r="A9" t="s">
        <v>536</v>
      </c>
      <c r="B9">
        <f>B6+B6*C7</f>
      </c>
      <c r="D9">
        <v>2020</v>
      </c>
      <c r="E9">
        <f>B9*G7</f>
      </c>
      <c r="F9">
        <f>B9*I7</f>
      </c>
    </row>
    <row r="13" spans="1:10">
      <c r="D13" s="373"/>
      <c r="E13" s="373"/>
      <c r="F13" s="373"/>
      <c r="G13" s="373"/>
      <c r="H13" s="373"/>
    </row>
    <row r="14" spans="1:10">
      <c r="D14" s="373"/>
      <c r="E14" s="373"/>
      <c r="F14" s="373"/>
      <c r="G14" s="373"/>
      <c r="H14" s="373"/>
    </row>
    <row r="15" spans="1:10">
      <c r="D15" s="373"/>
      <c r="E15" s="373"/>
      <c r="F15" s="373"/>
      <c r="G15" s="373"/>
      <c r="H15" s="373"/>
    </row>
    <row r="16" spans="1:10">
      <c r="D16" s="373"/>
      <c r="E16" s="373"/>
      <c r="F16" s="373"/>
      <c r="G16" s="373"/>
      <c r="H16" s="373"/>
    </row>
    <row r="17" spans="4:8">
      <c r="D17" s="373"/>
      <c r="E17" s="373"/>
      <c r="F17" s="373"/>
      <c r="G17" s="373"/>
      <c r="H17" s="373"/>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20"/>
  <dimension ref="A1:I21"/>
  <sheetViews>
    <sheetView workbookViewId="0">
      <selection activeCell="I24" sqref="I24"/>
    </sheetView>
  </sheetViews>
  <sheetFormatPr defaultColWidth="8.7109375" defaultRowHeight="12.75"/>
  <cols>
    <col min="1" max="1" width="19.42578125" style="175" bestFit="1" customWidth="1"/>
    <col min="2" max="2" width="9.28515625" style="175" bestFit="1" customWidth="1"/>
    <col min="3" max="3" width="10.28515625" style="175" bestFit="1" customWidth="1"/>
    <col min="4" max="8" width="8.7109375" style="175"/>
    <col min="9" max="9" width="31.42578125" style="175" customWidth="1"/>
    <col min="10" max="16384" width="8.7109375" style="175"/>
  </cols>
  <sheetData>
    <row r="1" spans="1:9" ht="19.5">
      <c r="A1" s="717" t="s">
        <v>234</v>
      </c>
      <c r="B1" s="718"/>
      <c r="C1" s="719"/>
      <c r="F1" s="708" t="s">
        <v>285</v>
      </c>
      <c r="G1" s="725"/>
      <c r="H1" s="725"/>
      <c r="I1" s="726"/>
    </row>
    <row r="2" spans="1:9">
      <c r="A2" s="720" t="str">
        <f>'Data Sheet'!B1</f>
      </c>
      <c r="B2" s="721"/>
      <c r="C2" s="722"/>
      <c r="F2" s="727"/>
      <c r="G2" s="728"/>
      <c r="H2" s="728"/>
      <c r="I2" s="729"/>
    </row>
    <row r="3" spans="1:9">
      <c r="A3" s="176"/>
      <c r="B3" s="177" t="s">
        <v>175</v>
      </c>
      <c r="C3" s="178" t="s">
        <v>176</v>
      </c>
      <c r="F3" s="727"/>
      <c r="G3" s="728"/>
      <c r="H3" s="728"/>
      <c r="I3" s="729"/>
    </row>
    <row r="4" spans="1:9">
      <c r="A4" s="245" t="s">
        <v>133</v>
      </c>
      <c r="B4" s="179">
        <f ca="1">'Dhandho IV'!D19</f>
      </c>
      <c r="C4" s="179">
        <f ca="1">'Dhandho IV'!K19</f>
      </c>
      <c r="F4" s="727"/>
      <c r="G4" s="728"/>
      <c r="H4" s="728"/>
      <c r="I4" s="729"/>
    </row>
    <row r="5" spans="1:9">
      <c r="A5" s="245" t="s">
        <v>134</v>
      </c>
      <c r="B5" s="179">
        <f>'Ben Graham Formula'!B10</f>
      </c>
      <c r="C5" s="179">
        <f>'Ben Graham Formula'!E10</f>
      </c>
      <c r="F5" s="727"/>
      <c r="G5" s="728"/>
      <c r="H5" s="728"/>
      <c r="I5" s="729"/>
    </row>
    <row r="6" spans="1:9">
      <c r="A6" s="245" t="s">
        <v>163</v>
      </c>
      <c r="B6" s="179">
        <f ca="1">DCF!B29</f>
      </c>
      <c r="C6" s="179"/>
      <c r="F6" s="727"/>
      <c r="G6" s="728"/>
      <c r="H6" s="728"/>
      <c r="I6" s="729"/>
    </row>
    <row r="7" spans="1:9">
      <c r="A7" s="245" t="s">
        <v>166</v>
      </c>
      <c r="B7" s="179">
        <f>'Expected Returns'!B15</f>
      </c>
      <c r="C7" s="179"/>
      <c r="F7" s="727"/>
      <c r="G7" s="728"/>
      <c r="H7" s="728"/>
      <c r="I7" s="729"/>
    </row>
    <row r="8" spans="1:9">
      <c r="A8" s="246" t="s">
        <v>254</v>
      </c>
      <c r="B8" s="723">
        <f>'Data Sheet'!B9</f>
      </c>
      <c r="C8" s="724"/>
      <c r="F8" s="727"/>
      <c r="G8" s="728"/>
      <c r="H8" s="728"/>
      <c r="I8" s="729"/>
    </row>
    <row r="9" spans="1:9" ht="13.5" thickBot="1">
      <c r="F9" s="727"/>
      <c r="G9" s="728"/>
      <c r="H9" s="728"/>
      <c r="I9" s="729"/>
    </row>
    <row r="10" spans="1:9" ht="12.6" customHeight="1">
      <c r="A10" s="733" t="s">
        <v>284</v>
      </c>
      <c r="B10" s="734"/>
      <c r="C10" s="735"/>
      <c r="F10" s="727"/>
      <c r="G10" s="728"/>
      <c r="H10" s="728"/>
      <c r="I10" s="729"/>
    </row>
    <row r="11" spans="1:9">
      <c r="A11" s="736"/>
      <c r="B11" s="737"/>
      <c r="C11" s="738"/>
      <c r="F11" s="727"/>
      <c r="G11" s="728"/>
      <c r="H11" s="728"/>
      <c r="I11" s="729"/>
    </row>
    <row r="12" spans="1:9">
      <c r="A12" s="736"/>
      <c r="B12" s="737"/>
      <c r="C12" s="738"/>
      <c r="F12" s="727"/>
      <c r="G12" s="728"/>
      <c r="H12" s="728"/>
      <c r="I12" s="729"/>
    </row>
    <row r="13" spans="1:9">
      <c r="A13" s="736"/>
      <c r="B13" s="737"/>
      <c r="C13" s="738"/>
      <c r="F13" s="727"/>
      <c r="G13" s="728"/>
      <c r="H13" s="728"/>
      <c r="I13" s="729"/>
    </row>
    <row r="14" spans="1:9">
      <c r="A14" s="736"/>
      <c r="B14" s="737"/>
      <c r="C14" s="738"/>
      <c r="F14" s="727"/>
      <c r="G14" s="728"/>
      <c r="H14" s="728"/>
      <c r="I14" s="729"/>
    </row>
    <row r="15" spans="1:9">
      <c r="A15" s="736"/>
      <c r="B15" s="737"/>
      <c r="C15" s="738"/>
      <c r="F15" s="727"/>
      <c r="G15" s="728"/>
      <c r="H15" s="728"/>
      <c r="I15" s="729"/>
    </row>
    <row r="16" spans="1:9">
      <c r="A16" s="736"/>
      <c r="B16" s="737"/>
      <c r="C16" s="738"/>
      <c r="F16" s="727"/>
      <c r="G16" s="728"/>
      <c r="H16" s="728"/>
      <c r="I16" s="729"/>
    </row>
    <row r="17" spans="1:9" ht="13.5" thickBot="1">
      <c r="A17" s="736"/>
      <c r="B17" s="737"/>
      <c r="C17" s="738"/>
      <c r="F17" s="730"/>
      <c r="G17" s="731"/>
      <c r="H17" s="731"/>
      <c r="I17" s="732"/>
    </row>
    <row r="18" spans="1:9">
      <c r="A18" s="736"/>
      <c r="B18" s="737"/>
      <c r="C18" s="738"/>
    </row>
    <row r="19" spans="1:9">
      <c r="A19" s="736"/>
      <c r="B19" s="737"/>
      <c r="C19" s="738"/>
    </row>
    <row r="20" spans="1:9">
      <c r="A20" s="736"/>
      <c r="B20" s="737"/>
      <c r="C20" s="738"/>
    </row>
    <row r="21" spans="1:9" ht="13.5" thickBot="1">
      <c r="A21" s="739"/>
      <c r="B21" s="740"/>
      <c r="C21" s="741"/>
    </row>
  </sheetData>
  <mergeCells count="5">
    <mergeCell ref="A1:C1"/>
    <mergeCell ref="A2:C2"/>
    <mergeCell ref="B8:C8"/>
    <mergeCell ref="F1:I17"/>
    <mergeCell ref="A10:C21"/>
  </mergeCells>
  <hyperlinks>
    <hyperlink ref="A4" location="'Dhandho IV'!A1" display="Dhandho" xr:uid="{00000000-0004-0000-1000-000000000000}"/>
    <hyperlink ref="A5" location="'Ben Graham Formula'!A1" display="Ben Graham" xr:uid="{00000000-0004-0000-1000-000001000000}"/>
    <hyperlink ref="A6" location="DCF!A1" display="DCF" xr:uid="{00000000-0004-0000-1000-000002000000}"/>
    <hyperlink ref="A7" location="'Expected Returns'!A1" display="Expected Return" xr:uid="{00000000-0004-0000-1000-000003000000}"/>
  </hyperlink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21"/>
  <dimension ref="A1:M27"/>
  <sheetViews>
    <sheetView workbookViewId="0">
      <selection activeCell="B9" sqref="B9"/>
    </sheetView>
  </sheetViews>
  <sheetFormatPr defaultColWidth="8.7109375" defaultRowHeight="12.75"/>
  <cols>
    <col min="1" max="1" width="4.7109375" style="6" bestFit="1" customWidth="1"/>
    <col min="2" max="2" width="9.42578125" style="6" customWidth="1"/>
    <col min="3" max="3" width="10.85546875" style="6" bestFit="1" customWidth="1"/>
    <col min="4" max="4" width="16.140625" style="6" bestFit="1" customWidth="1"/>
    <col min="5" max="5" width="13" style="6" bestFit="1" customWidth="1"/>
    <col min="6" max="6" width="6.85546875" style="6" customWidth="1"/>
    <col min="7" max="7" width="8.7109375" style="6"/>
    <col min="8" max="8" width="4.7109375" style="6" bestFit="1" customWidth="1"/>
    <col min="9" max="9" width="8.42578125" style="6" customWidth="1"/>
    <col min="10" max="10" width="10.85546875" style="6" bestFit="1" customWidth="1"/>
    <col min="11" max="11" width="16.140625" style="6" bestFit="1" customWidth="1"/>
    <col min="12" max="12" width="13" style="6" bestFit="1" customWidth="1"/>
    <col min="13" max="13" width="7" style="6" customWidth="1"/>
    <col min="14" max="16384" width="8.7109375" style="6"/>
  </cols>
  <sheetData>
    <row r="1" spans="1:13" ht="19.5">
      <c r="A1" s="746" t="s">
        <v>237</v>
      </c>
      <c r="B1" s="747"/>
      <c r="C1" s="747"/>
      <c r="D1" s="747"/>
      <c r="E1" s="747"/>
      <c r="F1" s="747"/>
      <c r="G1" s="747"/>
      <c r="H1" s="747"/>
      <c r="I1" s="747"/>
      <c r="J1" s="747"/>
      <c r="K1" s="747"/>
      <c r="L1" s="747"/>
      <c r="M1" s="748"/>
    </row>
    <row r="2" spans="1:13" ht="13.5" thickBot="1">
      <c r="A2" s="749" t="s">
        <v>238</v>
      </c>
      <c r="B2" s="750"/>
      <c r="C2" s="750"/>
      <c r="D2" s="750"/>
      <c r="E2" s="750"/>
      <c r="F2" s="750"/>
      <c r="G2" s="750"/>
      <c r="H2" s="750"/>
      <c r="I2" s="750"/>
      <c r="J2" s="750"/>
      <c r="K2" s="750"/>
      <c r="L2" s="750"/>
      <c r="M2" s="751"/>
    </row>
    <row r="4" spans="1:13">
      <c r="A4" s="755" t="str">
        <f>'Data Sheet'!B1</f>
      </c>
      <c r="B4" s="755"/>
      <c r="C4" s="755"/>
      <c r="D4" s="755"/>
      <c r="H4" s="755" t="str">
        <f>A4</f>
      </c>
      <c r="I4" s="755"/>
      <c r="J4" s="755"/>
      <c r="K4" s="755"/>
    </row>
    <row r="5" spans="1:13">
      <c r="A5" s="755" t="s">
        <v>239</v>
      </c>
      <c r="B5" s="755"/>
      <c r="C5" s="755"/>
      <c r="D5" s="755"/>
      <c r="E5" s="753"/>
      <c r="F5" s="754"/>
      <c r="H5" s="755" t="s">
        <v>240</v>
      </c>
      <c r="I5" s="755"/>
      <c r="J5" s="755"/>
      <c r="K5" s="755"/>
      <c r="L5" s="753"/>
      <c r="M5" s="754"/>
    </row>
    <row r="6" spans="1:13">
      <c r="A6" s="32" t="s">
        <v>108</v>
      </c>
      <c r="B6" s="33"/>
      <c r="C6" s="34" t="s">
        <v>109</v>
      </c>
      <c r="D6" s="33" t="s">
        <v>110</v>
      </c>
      <c r="E6" s="752" t="s">
        <v>111</v>
      </c>
      <c r="F6" s="752"/>
      <c r="H6" s="32" t="s">
        <v>108</v>
      </c>
      <c r="I6" s="33"/>
      <c r="J6" s="34" t="s">
        <v>109</v>
      </c>
      <c r="K6" s="33" t="s">
        <v>110</v>
      </c>
      <c r="L6" s="752" t="s">
        <v>111</v>
      </c>
      <c r="M6" s="752"/>
    </row>
    <row r="7" spans="1:13">
      <c r="A7" s="27">
        <v>0</v>
      </c>
      <c r="B7" s="11" t="s">
        <v>128</v>
      </c>
      <c r="C7" s="28"/>
      <c r="D7" s="30">
        <f>'Balance Sheet'!K19</f>
      </c>
      <c r="E7" s="26" t="s">
        <v>112</v>
      </c>
      <c r="F7" s="35">
        <v>0.15</v>
      </c>
      <c r="H7" s="27">
        <v>0</v>
      </c>
      <c r="I7" s="11" t="s">
        <v>128</v>
      </c>
      <c r="J7" s="28"/>
      <c r="K7" s="30">
        <f>D7</f>
      </c>
      <c r="L7" s="26" t="s">
        <v>112</v>
      </c>
      <c r="M7" s="35">
        <v>0.2</v>
      </c>
    </row>
    <row r="8" spans="1:13">
      <c r="A8" s="27">
        <v>1</v>
      </c>
      <c r="B8" s="11" t="s">
        <v>113</v>
      </c>
      <c r="C8" s="29">
        <f ca="1">'Cash Flow'!B13*(1+$F$7)</f>
      </c>
      <c r="D8" s="30">
        <f ca="1">C8/((1+$F$10)^A8)</f>
      </c>
      <c r="E8" s="26" t="s">
        <v>114</v>
      </c>
      <c r="F8" s="35">
        <v>0.1</v>
      </c>
      <c r="H8" s="27">
        <v>1</v>
      </c>
      <c r="I8" s="11" t="s">
        <v>113</v>
      </c>
      <c r="J8" s="29">
        <f ca="1">'Cash Flow'!B13*(1+$M$7)</f>
      </c>
      <c r="K8" s="30">
        <f ca="1">J8/((1+$M$10)^H8)</f>
      </c>
      <c r="L8" s="26" t="s">
        <v>114</v>
      </c>
      <c r="M8" s="35">
        <v>0.15</v>
      </c>
    </row>
    <row r="9" spans="1:13">
      <c r="A9" s="27">
        <v>2</v>
      </c>
      <c r="B9" s="11" t="s">
        <v>115</v>
      </c>
      <c r="C9" s="29">
        <f ca="1">C8*(1+$F$7)</f>
      </c>
      <c r="D9" s="30">
        <f t="shared" ref="D9:D18" ca="1" si="0">C9/((1+$F$10)^A9)</f>
      </c>
      <c r="E9" s="26" t="s">
        <v>116</v>
      </c>
      <c r="F9" s="35">
        <v>0.05</v>
      </c>
      <c r="H9" s="27">
        <v>2</v>
      </c>
      <c r="I9" s="11" t="s">
        <v>115</v>
      </c>
      <c r="J9" s="29">
        <f ca="1">J8*(1+$M$7)</f>
      </c>
      <c r="K9" s="30">
        <f t="shared" ref="K9:K18" ca="1" si="1">J9/((1+$M$10)^H9)</f>
      </c>
      <c r="L9" s="26" t="s">
        <v>116</v>
      </c>
      <c r="M9" s="35">
        <v>0.1</v>
      </c>
    </row>
    <row r="10" spans="1:13">
      <c r="A10" s="27">
        <v>3</v>
      </c>
      <c r="B10" s="11" t="s">
        <v>117</v>
      </c>
      <c r="C10" s="29">
        <f ca="1">C9*(1+$F$7)</f>
      </c>
      <c r="D10" s="30">
        <f t="shared" ca="1" si="0"/>
      </c>
      <c r="E10" s="26" t="s">
        <v>119</v>
      </c>
      <c r="F10" s="35">
        <v>0.12</v>
      </c>
      <c r="H10" s="27">
        <v>3</v>
      </c>
      <c r="I10" s="11" t="s">
        <v>117</v>
      </c>
      <c r="J10" s="29">
        <f ca="1">J9*(1+$M$7)</f>
      </c>
      <c r="K10" s="30">
        <f t="shared" ca="1" si="1"/>
      </c>
      <c r="L10" s="26" t="s">
        <v>119</v>
      </c>
      <c r="M10" s="35">
        <v>0.12</v>
      </c>
    </row>
    <row r="11" spans="1:13">
      <c r="A11" s="27">
        <v>4</v>
      </c>
      <c r="B11" s="11" t="s">
        <v>118</v>
      </c>
      <c r="C11" s="29">
        <f ca="1">C10*(1+$F$8)</f>
      </c>
      <c r="D11" s="30">
        <f t="shared" ca="1" si="0"/>
      </c>
      <c r="H11" s="27">
        <v>4</v>
      </c>
      <c r="I11" s="11" t="s">
        <v>118</v>
      </c>
      <c r="J11" s="29">
        <f ca="1">J10*(1+$M$8)</f>
      </c>
      <c r="K11" s="30">
        <f t="shared" ca="1" si="1"/>
      </c>
    </row>
    <row r="12" spans="1:13">
      <c r="A12" s="27">
        <v>5</v>
      </c>
      <c r="B12" s="11" t="s">
        <v>120</v>
      </c>
      <c r="C12" s="29">
        <f t="shared" ref="C12:C13" ca="1" si="2">C11*(1+$F$8)</f>
      </c>
      <c r="D12" s="30">
        <f t="shared" ca="1" si="0"/>
      </c>
      <c r="E12" s="742" t="s">
        <v>245</v>
      </c>
      <c r="F12" s="742"/>
      <c r="H12" s="27">
        <v>5</v>
      </c>
      <c r="I12" s="11" t="s">
        <v>120</v>
      </c>
      <c r="J12" s="29">
        <f t="shared" ref="J12:J13" ca="1" si="3">J11*(1+$M$8)</f>
      </c>
      <c r="K12" s="30">
        <f t="shared" ca="1" si="1"/>
      </c>
    </row>
    <row r="13" spans="1:13">
      <c r="A13" s="27">
        <v>6</v>
      </c>
      <c r="B13" s="11" t="s">
        <v>121</v>
      </c>
      <c r="C13" s="29">
        <f t="shared" ca="1" si="2"/>
      </c>
      <c r="D13" s="30">
        <f t="shared" ca="1" si="0"/>
      </c>
      <c r="E13" s="100" t="s">
        <v>4</v>
      </c>
      <c r="F13" s="105">
        <f>('Profit &amp; Loss'!K4/'Profit &amp; Loss'!F4)^(1/5)-1</f>
      </c>
      <c r="H13" s="27">
        <v>6</v>
      </c>
      <c r="I13" s="11" t="s">
        <v>121</v>
      </c>
      <c r="J13" s="29">
        <f t="shared" ca="1" si="3"/>
      </c>
      <c r="K13" s="30">
        <f t="shared" ca="1" si="1"/>
      </c>
    </row>
    <row r="14" spans="1:13">
      <c r="A14" s="27">
        <v>7</v>
      </c>
      <c r="B14" s="11" t="s">
        <v>122</v>
      </c>
      <c r="C14" s="29">
        <f ca="1">C13*(1+$F$9)</f>
      </c>
      <c r="D14" s="30">
        <f t="shared" ca="1" si="0"/>
      </c>
      <c r="E14" s="100" t="s">
        <v>131</v>
      </c>
      <c r="F14" s="105">
        <f>('Profit &amp; Loss'!K19/'Profit &amp; Loss'!F19)^(1/5)-1</f>
      </c>
      <c r="H14" s="27">
        <v>7</v>
      </c>
      <c r="I14" s="11" t="s">
        <v>122</v>
      </c>
      <c r="J14" s="29">
        <f ca="1">J13*(1+$M$9)</f>
      </c>
      <c r="K14" s="30">
        <f t="shared" ca="1" si="1"/>
      </c>
    </row>
    <row r="15" spans="1:13">
      <c r="A15" s="27">
        <v>8</v>
      </c>
      <c r="B15" s="11" t="s">
        <v>123</v>
      </c>
      <c r="C15" s="29">
        <f t="shared" ref="C15:C17" ca="1" si="4">C14*(1+$F$9)</f>
      </c>
      <c r="D15" s="30">
        <f t="shared" ca="1" si="0"/>
      </c>
      <c r="E15" s="100" t="s">
        <v>129</v>
      </c>
      <c r="F15" s="105">
        <f ca="1">('Cash Flow'!K12/'Cash Flow'!F12)^(1/5)-1</f>
      </c>
      <c r="H15" s="27">
        <v>8</v>
      </c>
      <c r="I15" s="11" t="s">
        <v>123</v>
      </c>
      <c r="J15" s="29">
        <f t="shared" ref="J15:J17" ca="1" si="5">J14*(1+$M$9)</f>
      </c>
      <c r="K15" s="30">
        <f t="shared" ca="1" si="1"/>
      </c>
    </row>
    <row r="16" spans="1:13">
      <c r="A16" s="27">
        <v>9</v>
      </c>
      <c r="B16" s="11" t="s">
        <v>124</v>
      </c>
      <c r="C16" s="29">
        <f t="shared" ca="1" si="4"/>
      </c>
      <c r="D16" s="30">
        <f t="shared" ca="1" si="0"/>
      </c>
      <c r="H16" s="27">
        <v>9</v>
      </c>
      <c r="I16" s="11" t="s">
        <v>124</v>
      </c>
      <c r="J16" s="29">
        <f t="shared" ca="1" si="5"/>
      </c>
      <c r="K16" s="30">
        <f t="shared" ca="1" si="1"/>
      </c>
    </row>
    <row r="17" spans="1:11">
      <c r="A17" s="27">
        <v>10</v>
      </c>
      <c r="B17" s="11" t="s">
        <v>125</v>
      </c>
      <c r="C17" s="29">
        <f t="shared" ca="1" si="4"/>
      </c>
      <c r="D17" s="30">
        <f t="shared" ca="1" si="0"/>
      </c>
      <c r="H17" s="27">
        <v>10</v>
      </c>
      <c r="I17" s="11" t="s">
        <v>125</v>
      </c>
      <c r="J17" s="29">
        <f t="shared" ca="1" si="5"/>
      </c>
      <c r="K17" s="30">
        <f t="shared" ca="1" si="1"/>
      </c>
    </row>
    <row r="18" spans="1:11">
      <c r="A18" s="27">
        <v>10</v>
      </c>
      <c r="B18" s="11"/>
      <c r="C18" s="37">
        <f ca="1">C17*10</f>
      </c>
      <c r="D18" s="30">
        <f t="shared" ca="1" si="0"/>
      </c>
      <c r="H18" s="27">
        <v>10</v>
      </c>
      <c r="I18" s="11"/>
      <c r="J18" s="36">
        <f ca="1">J17*15</f>
      </c>
      <c r="K18" s="30">
        <f t="shared" ca="1" si="1"/>
      </c>
    </row>
    <row r="19" spans="1:11">
      <c r="A19" s="743" t="s">
        <v>132</v>
      </c>
      <c r="B19" s="744"/>
      <c r="C19" s="745"/>
      <c r="D19" s="38">
        <f ca="1">SUM(D7:D18)</f>
      </c>
      <c r="H19" s="743" t="s">
        <v>132</v>
      </c>
      <c r="I19" s="744"/>
      <c r="J19" s="745"/>
      <c r="K19" s="38">
        <f ca="1">SUM(K7:K18)</f>
      </c>
    </row>
    <row r="20" spans="1:11">
      <c r="A20" s="743" t="s">
        <v>126</v>
      </c>
      <c r="B20" s="744"/>
      <c r="C20" s="745"/>
      <c r="D20" s="39">
        <f>'Data Sheet'!B9</f>
      </c>
      <c r="H20" s="743" t="s">
        <v>126</v>
      </c>
      <c r="I20" s="744"/>
      <c r="J20" s="745"/>
      <c r="K20" s="39">
        <f>D20</f>
      </c>
    </row>
    <row r="21" spans="1:11">
      <c r="A21" s="743" t="s">
        <v>127</v>
      </c>
      <c r="B21" s="744"/>
      <c r="C21" s="745"/>
      <c r="D21" s="31">
        <f ca="1">D20/D19-1</f>
      </c>
      <c r="H21" s="743" t="s">
        <v>127</v>
      </c>
      <c r="I21" s="744"/>
      <c r="J21" s="745"/>
      <c r="K21" s="31">
        <f ca="1">K20/K19-1</f>
      </c>
    </row>
    <row r="23" spans="1:11">
      <c r="A23" s="136" t="s">
        <v>184</v>
      </c>
    </row>
    <row r="24" spans="1:11" ht="13.5" thickBot="1"/>
    <row r="25" spans="1:11" ht="12.95" customHeight="1">
      <c r="A25" s="733" t="s">
        <v>255</v>
      </c>
      <c r="B25" s="734"/>
      <c r="C25" s="734"/>
      <c r="D25" s="734"/>
      <c r="E25" s="734"/>
      <c r="F25" s="734"/>
      <c r="G25" s="734"/>
      <c r="H25" s="734"/>
      <c r="I25" s="734"/>
      <c r="J25" s="734"/>
      <c r="K25" s="735"/>
    </row>
    <row r="26" spans="1:11">
      <c r="A26" s="736"/>
      <c r="B26" s="737"/>
      <c r="C26" s="737"/>
      <c r="D26" s="737"/>
      <c r="E26" s="737"/>
      <c r="F26" s="737"/>
      <c r="G26" s="737"/>
      <c r="H26" s="737"/>
      <c r="I26" s="737"/>
      <c r="J26" s="737"/>
      <c r="K26" s="738"/>
    </row>
    <row r="27" spans="1:11" ht="13.5" thickBot="1">
      <c r="A27" s="739"/>
      <c r="B27" s="740"/>
      <c r="C27" s="740"/>
      <c r="D27" s="740"/>
      <c r="E27" s="740"/>
      <c r="F27" s="740"/>
      <c r="G27" s="740"/>
      <c r="H27" s="740"/>
      <c r="I27" s="740"/>
      <c r="J27" s="740"/>
      <c r="K27" s="741"/>
    </row>
  </sheetData>
  <mergeCells count="18">
    <mergeCell ref="A1:M1"/>
    <mergeCell ref="A2:M2"/>
    <mergeCell ref="L6:M6"/>
    <mergeCell ref="E5:F5"/>
    <mergeCell ref="L5:M5"/>
    <mergeCell ref="A4:D4"/>
    <mergeCell ref="H4:K4"/>
    <mergeCell ref="A5:D5"/>
    <mergeCell ref="H5:K5"/>
    <mergeCell ref="E6:F6"/>
    <mergeCell ref="E12:F12"/>
    <mergeCell ref="A19:C19"/>
    <mergeCell ref="A20:C20"/>
    <mergeCell ref="A25:K27"/>
    <mergeCell ref="A21:C21"/>
    <mergeCell ref="H19:J19"/>
    <mergeCell ref="H20:J20"/>
    <mergeCell ref="H21:J21"/>
  </mergeCells>
  <hyperlinks>
    <hyperlink ref="A23" r:id="rId1" display="Note: See the explanation of this model here" xr:uid="{00000000-0004-0000-1100-000000000000}"/>
    <hyperlink ref="A2:M2" r:id="rId2" display="Read the book - The Dhandho Investor by Mohnish Pabrai" xr:uid="{00000000-0004-0000-1100-000001000000}"/>
  </hyperlinks>
  <pageMargins left="0.7" right="0.7" top="0.75" bottom="0.75" header="0.3" footer="0.3"/>
  <pageSetup orientation="portrait" r:id="rId3"/>
  <legacyDrawing r:id="rId4"/>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2"/>
  <dimension ref="A1:I20"/>
  <sheetViews>
    <sheetView workbookViewId="0">
      <selection activeCell="B10" sqref="B10"/>
    </sheetView>
  </sheetViews>
  <sheetFormatPr defaultColWidth="8.7109375" defaultRowHeight="12.75"/>
  <cols>
    <col min="1" max="1" width="26.42578125" style="6" bestFit="1" customWidth="1"/>
    <col min="2" max="2" width="21.42578125" style="6" bestFit="1" customWidth="1"/>
    <col min="3" max="3" width="8.7109375" style="6"/>
    <col min="4" max="4" width="26.140625" style="6" bestFit="1" customWidth="1"/>
    <col min="5" max="5" width="21.42578125" style="6" bestFit="1" customWidth="1"/>
    <col min="6" max="6" width="8.7109375" style="6"/>
    <col min="7" max="8" width="4.85546875" style="6" bestFit="1" customWidth="1"/>
    <col min="9" max="9" width="26.42578125" style="6" bestFit="1" customWidth="1"/>
    <col min="10" max="10" width="8.7109375" style="6"/>
    <col min="11" max="11" width="6.85546875" style="6" bestFit="1" customWidth="1"/>
    <col min="12" max="16384" width="8.7109375" style="6"/>
  </cols>
  <sheetData>
    <row r="1" spans="1:9" ht="20.25" thickBot="1">
      <c r="A1" s="756" t="s">
        <v>247</v>
      </c>
      <c r="B1" s="757"/>
      <c r="D1" s="756" t="s">
        <v>248</v>
      </c>
      <c r="E1" s="757"/>
    </row>
    <row r="3" spans="1:9">
      <c r="A3" s="11" t="s">
        <v>88</v>
      </c>
      <c r="B3" s="12" t="str">
        <f>'Profit &amp; Loss'!A2</f>
      </c>
      <c r="D3" s="11" t="s">
        <v>88</v>
      </c>
      <c r="E3" s="12" t="str">
        <f>B3</f>
      </c>
    </row>
    <row r="4" spans="1:9">
      <c r="A4" s="11" t="s">
        <v>87</v>
      </c>
      <c r="B4" s="13">
        <f>'Profit &amp; Loss'!K3</f>
      </c>
      <c r="D4" s="11" t="s">
        <v>87</v>
      </c>
      <c r="E4" s="13">
        <f>B4</f>
      </c>
    </row>
    <row r="5" spans="1:9">
      <c r="B5" s="14"/>
      <c r="E5" s="14"/>
    </row>
    <row r="6" spans="1:9">
      <c r="A6" s="11" t="s">
        <v>107</v>
      </c>
      <c r="B6" s="15">
        <f>AVERAGE('Profit &amp; Loss'!G24:K24)</f>
      </c>
      <c r="D6" s="11" t="s">
        <v>107</v>
      </c>
      <c r="E6" s="15">
        <f>B6</f>
      </c>
    </row>
    <row r="7" spans="1:9">
      <c r="A7" s="11" t="s">
        <v>86</v>
      </c>
      <c r="B7" s="15">
        <v>8.5</v>
      </c>
      <c r="D7" s="11" t="s">
        <v>86</v>
      </c>
      <c r="E7" s="15">
        <f>B7</f>
      </c>
    </row>
    <row r="8" spans="1:9">
      <c r="A8" s="11" t="s">
        <v>104</v>
      </c>
      <c r="B8" s="25">
        <f>(('Profit &amp; Loss'!K24/'Profit &amp; Loss'!F24)^(1/5)-1)*100*50%</f>
      </c>
      <c r="D8" s="11" t="s">
        <v>104</v>
      </c>
      <c r="E8" s="25">
        <f>(('Profit &amp; Loss'!K24/'Profit &amp; Loss'!F24)^(1/5)-1)*100</f>
      </c>
    </row>
    <row r="9" spans="1:9">
      <c r="B9" s="17"/>
      <c r="E9" s="17"/>
      <c r="H9" s="18"/>
      <c r="I9" s="16"/>
    </row>
    <row r="10" spans="1:9">
      <c r="A10" s="11" t="s">
        <v>106</v>
      </c>
      <c r="B10" s="24">
        <f>B6*(B7+2*B8)</f>
      </c>
      <c r="D10" s="11" t="s">
        <v>106</v>
      </c>
      <c r="E10" s="24">
        <f>E6*(E7+2*E8)</f>
      </c>
    </row>
    <row r="11" spans="1:9">
      <c r="A11" s="11" t="s">
        <v>105</v>
      </c>
      <c r="B11" s="24">
        <f>'Data Sheet'!B9</f>
      </c>
      <c r="D11" s="11" t="s">
        <v>105</v>
      </c>
      <c r="E11" s="24">
        <f>B11</f>
      </c>
      <c r="F11" s="18"/>
    </row>
    <row r="12" spans="1:9">
      <c r="B12" s="17"/>
    </row>
    <row r="13" spans="1:9">
      <c r="A13" s="47" t="s">
        <v>246</v>
      </c>
      <c r="B13" s="17"/>
    </row>
    <row r="14" spans="1:9">
      <c r="A14" s="5" t="s">
        <v>227</v>
      </c>
    </row>
    <row r="15" spans="1:9">
      <c r="A15" s="9" t="s">
        <v>228</v>
      </c>
    </row>
    <row r="17" spans="1:1">
      <c r="A17" s="5" t="s">
        <v>229</v>
      </c>
    </row>
    <row r="18" spans="1:1">
      <c r="A18" s="9" t="s">
        <v>230</v>
      </c>
    </row>
    <row r="20" spans="1:1">
      <c r="A20" s="5" t="s">
        <v>231</v>
      </c>
    </row>
  </sheetData>
  <mergeCells count="2">
    <mergeCell ref="A1:B1"/>
    <mergeCell ref="D1:E1"/>
  </mergeCells>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3"/>
  <dimension ref="A1:F32"/>
  <sheetViews>
    <sheetView topLeftCell="G1" workbookViewId="0">
      <selection activeCell="K10" sqref="K10"/>
    </sheetView>
  </sheetViews>
  <sheetFormatPr defaultColWidth="12.85546875" defaultRowHeight="12.75"/>
  <cols>
    <col min="1" max="1" width="32.42578125" style="6" bestFit="1" customWidth="1"/>
    <col min="2" max="2" width="7.5703125" style="6" bestFit="1" customWidth="1"/>
    <col min="3" max="3" width="7.140625" style="6" bestFit="1" customWidth="1"/>
    <col min="4" max="4" width="12.7109375" style="6" bestFit="1" customWidth="1"/>
    <col min="5" max="5" width="8.28515625" style="6" bestFit="1" customWidth="1"/>
    <col min="6" max="6" width="33.42578125" style="6" bestFit="1" customWidth="1"/>
    <col min="7" max="9" width="12.85546875" style="6"/>
    <col min="10" max="10" width="12.85546875" style="6" customWidth="1"/>
    <col min="11" max="16384" width="12.85546875" style="6"/>
  </cols>
  <sheetData>
    <row r="1" spans="1:6" ht="19.5">
      <c r="A1" s="760" t="s">
        <v>160</v>
      </c>
      <c r="B1" s="761"/>
      <c r="C1" s="761"/>
      <c r="D1" s="761"/>
      <c r="E1" s="761"/>
      <c r="F1" s="762"/>
    </row>
    <row r="2" spans="1:6" ht="13.5" thickBot="1">
      <c r="A2" s="763" t="str">
        <f>'Data Sheet'!B1</f>
      </c>
      <c r="B2" s="764"/>
      <c r="C2" s="764"/>
      <c r="D2" s="764"/>
      <c r="E2" s="764"/>
      <c r="F2" s="765"/>
    </row>
    <row r="3" spans="1:6" ht="13.5" thickBot="1">
      <c r="A3" s="40"/>
      <c r="B3" s="40"/>
      <c r="C3" s="40"/>
    </row>
    <row r="4" spans="1:6" ht="13.5" thickBot="1">
      <c r="A4" s="6" t="s">
        <v>161</v>
      </c>
      <c r="B4" s="41">
        <f ca="1">'Cash Flow'!B13</f>
      </c>
      <c r="E4" s="108">
        <f ca="1">B29</f>
      </c>
      <c r="F4" s="101" t="s">
        <v>164</v>
      </c>
    </row>
    <row r="5" spans="1:6" ht="13.5" thickBot="1">
      <c r="E5" s="109">
        <f>'Data Sheet'!B9</f>
      </c>
      <c r="F5" s="101" t="s">
        <v>159</v>
      </c>
    </row>
    <row r="6" spans="1:6" ht="13.5" thickBot="1">
      <c r="A6" s="42" t="s">
        <v>135</v>
      </c>
      <c r="B6" s="43" t="s">
        <v>136</v>
      </c>
      <c r="C6" s="44" t="s">
        <v>137</v>
      </c>
      <c r="D6" s="45"/>
      <c r="E6" s="103">
        <f ca="1">E4/E5</f>
      </c>
      <c r="F6" s="101" t="s">
        <v>251</v>
      </c>
    </row>
    <row r="7" spans="1:6" ht="13.5" thickBot="1">
      <c r="A7" s="6" t="s">
        <v>138</v>
      </c>
      <c r="B7" s="96">
        <v>0.15</v>
      </c>
      <c r="C7" s="97">
        <v>0.12</v>
      </c>
      <c r="D7" s="46"/>
    </row>
    <row r="8" spans="1:6" ht="13.5" thickBot="1">
      <c r="A8" s="6" t="s">
        <v>119</v>
      </c>
      <c r="B8" s="98">
        <v>0.12</v>
      </c>
      <c r="C8" s="47"/>
    </row>
    <row r="9" spans="1:6" ht="13.5" thickBot="1">
      <c r="A9" s="6" t="s">
        <v>139</v>
      </c>
      <c r="B9" s="99">
        <v>0.02</v>
      </c>
      <c r="C9" s="47"/>
      <c r="F9" s="48"/>
    </row>
    <row r="10" spans="1:6" ht="13.5" thickBot="1">
      <c r="B10" s="49"/>
      <c r="C10" s="47"/>
      <c r="F10" s="48"/>
    </row>
    <row r="11" spans="1:6" ht="13.5" thickBot="1">
      <c r="A11" s="19" t="s">
        <v>162</v>
      </c>
      <c r="B11" s="41">
        <f>'Balance Sheet'!K6-'Balance Sheet'!K19</f>
      </c>
      <c r="C11" s="47"/>
      <c r="D11" s="16"/>
    </row>
    <row r="12" spans="1:6" ht="13.5" thickBot="1"/>
    <row r="13" spans="1:6">
      <c r="A13" s="50" t="s">
        <v>108</v>
      </c>
      <c r="B13" s="51" t="s">
        <v>129</v>
      </c>
      <c r="C13" s="51" t="s">
        <v>140</v>
      </c>
      <c r="D13" s="52" t="s">
        <v>141</v>
      </c>
    </row>
    <row r="14" spans="1:6">
      <c r="A14" s="53">
        <v>1</v>
      </c>
      <c r="B14" s="54">
        <f ca="1">(B4*C14)+B4</f>
      </c>
      <c r="C14" s="55">
        <f>$B$7</f>
      </c>
      <c r="D14" s="56">
        <f t="shared" ref="D14:D23" ca="1" si="0">B14/((1+$B$8)^A14)</f>
      </c>
    </row>
    <row r="15" spans="1:6">
      <c r="A15" s="53">
        <v>2</v>
      </c>
      <c r="B15" s="54">
        <f t="shared" ref="B15:B23" ca="1" si="1">(B14*C15)+B14</f>
      </c>
      <c r="C15" s="55">
        <f>$B$7</f>
      </c>
      <c r="D15" s="56">
        <f t="shared" ca="1" si="0"/>
      </c>
    </row>
    <row r="16" spans="1:6">
      <c r="A16" s="53">
        <v>3</v>
      </c>
      <c r="B16" s="54">
        <f t="shared" ca="1" si="1"/>
      </c>
      <c r="C16" s="55">
        <f>$B$7</f>
      </c>
      <c r="D16" s="56">
        <f t="shared" ca="1" si="0"/>
      </c>
      <c r="F16" s="57"/>
    </row>
    <row r="17" spans="1:6">
      <c r="A17" s="53">
        <v>4</v>
      </c>
      <c r="B17" s="54">
        <f t="shared" ca="1" si="1"/>
      </c>
      <c r="C17" s="55">
        <f>$B$7</f>
      </c>
      <c r="D17" s="56">
        <f t="shared" ca="1" si="0"/>
      </c>
      <c r="F17" s="48"/>
    </row>
    <row r="18" spans="1:6">
      <c r="A18" s="53">
        <v>5</v>
      </c>
      <c r="B18" s="54">
        <f t="shared" ca="1" si="1"/>
      </c>
      <c r="C18" s="55">
        <f>$B$7</f>
      </c>
      <c r="D18" s="56">
        <f t="shared" ca="1" si="0"/>
      </c>
      <c r="F18" s="48"/>
    </row>
    <row r="19" spans="1:6">
      <c r="A19" s="53">
        <v>6</v>
      </c>
      <c r="B19" s="54">
        <f t="shared" ca="1" si="1"/>
      </c>
      <c r="C19" s="55">
        <f>$C$7</f>
      </c>
      <c r="D19" s="56">
        <f t="shared" ca="1" si="0"/>
      </c>
      <c r="F19" s="48"/>
    </row>
    <row r="20" spans="1:6">
      <c r="A20" s="53">
        <v>7</v>
      </c>
      <c r="B20" s="54">
        <f t="shared" ca="1" si="1"/>
      </c>
      <c r="C20" s="55">
        <f>$C$7</f>
      </c>
      <c r="D20" s="56">
        <f t="shared" ca="1" si="0"/>
      </c>
      <c r="F20" s="48"/>
    </row>
    <row r="21" spans="1:6">
      <c r="A21" s="53">
        <v>8</v>
      </c>
      <c r="B21" s="54">
        <f t="shared" ca="1" si="1"/>
      </c>
      <c r="C21" s="55">
        <f>$C$7</f>
      </c>
      <c r="D21" s="56">
        <f t="shared" ca="1" si="0"/>
      </c>
    </row>
    <row r="22" spans="1:6">
      <c r="A22" s="53">
        <v>9</v>
      </c>
      <c r="B22" s="54">
        <f t="shared" ca="1" si="1"/>
      </c>
      <c r="C22" s="55">
        <f>$C$7</f>
      </c>
      <c r="D22" s="56">
        <f t="shared" ca="1" si="0"/>
      </c>
    </row>
    <row r="23" spans="1:6" ht="13.5" thickBot="1">
      <c r="A23" s="58">
        <v>10</v>
      </c>
      <c r="B23" s="59">
        <f t="shared" ca="1" si="1"/>
      </c>
      <c r="C23" s="60">
        <f>$C$7</f>
      </c>
      <c r="D23" s="61">
        <f t="shared" ca="1" si="0"/>
      </c>
    </row>
    <row r="24" spans="1:6" ht="13.5" thickBot="1">
      <c r="A24" s="62"/>
      <c r="B24" s="63"/>
      <c r="C24" s="64"/>
      <c r="D24" s="65"/>
    </row>
    <row r="25" spans="1:6">
      <c r="A25" s="758" t="s">
        <v>142</v>
      </c>
      <c r="B25" s="759"/>
      <c r="C25" s="64"/>
      <c r="D25" s="65"/>
    </row>
    <row r="26" spans="1:6">
      <c r="A26" s="66" t="s">
        <v>143</v>
      </c>
      <c r="B26" s="56">
        <f ca="1">(B23*B9)+B23</f>
      </c>
      <c r="C26" s="64"/>
      <c r="D26" s="63"/>
    </row>
    <row r="27" spans="1:6">
      <c r="A27" s="67" t="s">
        <v>144</v>
      </c>
      <c r="B27" s="56">
        <f ca="1">SUM(D14:D23)</f>
      </c>
      <c r="C27" s="19"/>
    </row>
    <row r="28" spans="1:6">
      <c r="A28" s="66" t="s">
        <v>145</v>
      </c>
      <c r="B28" s="56">
        <f ca="1">((B26)/($B$8-$B$9))/(1+$B$8)^A23</f>
      </c>
      <c r="C28" s="19"/>
    </row>
    <row r="29" spans="1:6">
      <c r="A29" s="66" t="s">
        <v>146</v>
      </c>
      <c r="B29" s="56">
        <f ca="1">B27+B28</f>
      </c>
      <c r="C29" s="19"/>
    </row>
    <row r="30" spans="1:6">
      <c r="A30" s="66" t="s">
        <v>156</v>
      </c>
      <c r="B30" s="56">
        <f>'Data Sheet'!B9</f>
      </c>
      <c r="C30" s="19"/>
    </row>
    <row r="32" spans="1:6">
      <c r="A32" s="137" t="s">
        <v>232</v>
      </c>
      <c r="D32" s="16"/>
    </row>
  </sheetData>
  <mergeCells count="3">
    <mergeCell ref="A25:B25"/>
    <mergeCell ref="A1:F1"/>
    <mergeCell ref="A2:F2"/>
  </mergeCells>
  <hyperlinks>
    <hyperlink ref="A32" r:id="rId1" display="Note: See the explanation of DCF here" xr:uid="{00000000-0004-0000-1300-000000000000}"/>
  </hyperlinks>
  <pageMargins left="0.7" right="0.7" top="0.75" bottom="0.75" header="0.3" footer="0.3"/>
  <pageSetup orientation="portrait"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4"/>
  <dimension ref="A1:M18"/>
  <sheetViews>
    <sheetView workbookViewId="0">
      <selection activeCell="N26" sqref="N26"/>
    </sheetView>
  </sheetViews>
  <sheetFormatPr defaultColWidth="9.140625" defaultRowHeight="12.75"/>
  <cols>
    <col min="1" max="1" width="42.85546875" style="82" bestFit="1" customWidth="1"/>
    <col min="2" max="2" width="10.28515625" style="82" bestFit="1" customWidth="1"/>
    <col min="3" max="11" width="7.7109375" style="82" bestFit="1" customWidth="1"/>
    <col min="12" max="13" width="11.42578125" style="82" bestFit="1" customWidth="1"/>
    <col min="14" max="16384" width="9.140625" style="82"/>
  </cols>
  <sheetData>
    <row r="1" spans="1:13" ht="19.5">
      <c r="A1" s="766" t="s">
        <v>165</v>
      </c>
      <c r="B1" s="767"/>
      <c r="C1" s="767"/>
      <c r="D1" s="767"/>
      <c r="E1" s="767"/>
      <c r="F1" s="767"/>
      <c r="G1" s="767"/>
      <c r="H1" s="767"/>
      <c r="I1" s="767"/>
      <c r="J1" s="767"/>
      <c r="K1" s="767"/>
      <c r="L1" s="767"/>
      <c r="M1" s="768"/>
    </row>
    <row r="2" spans="1:13">
      <c r="A2" s="769" t="str">
        <f>'Data Sheet'!B1</f>
      </c>
      <c r="B2" s="770"/>
      <c r="C2" s="770"/>
      <c r="D2" s="770"/>
      <c r="E2" s="770"/>
      <c r="F2" s="770"/>
      <c r="G2" s="770"/>
      <c r="H2" s="770"/>
      <c r="I2" s="770"/>
      <c r="J2" s="770"/>
      <c r="K2" s="770"/>
      <c r="L2" s="770"/>
      <c r="M2" s="771"/>
    </row>
    <row r="3" spans="1:13">
      <c r="A3" s="68" t="s">
        <v>147</v>
      </c>
      <c r="B3" s="69">
        <f>'Data Sheet'!B16</f>
      </c>
      <c r="C3" s="69">
        <f>'Data Sheet'!C16</f>
      </c>
      <c r="D3" s="69">
        <f>'Data Sheet'!D16</f>
      </c>
      <c r="E3" s="69">
        <f>'Data Sheet'!E16</f>
      </c>
      <c r="F3" s="69">
        <f>'Data Sheet'!F16</f>
      </c>
      <c r="G3" s="69">
        <f>'Data Sheet'!G16</f>
      </c>
      <c r="H3" s="69">
        <f>'Data Sheet'!H16</f>
      </c>
      <c r="I3" s="69">
        <f>'Data Sheet'!I16</f>
      </c>
      <c r="J3" s="69">
        <f>'Data Sheet'!J16</f>
      </c>
      <c r="K3" s="69">
        <f>'Data Sheet'!K16</f>
      </c>
      <c r="L3" s="83" t="s">
        <v>151</v>
      </c>
      <c r="M3" s="84" t="s">
        <v>148</v>
      </c>
    </row>
    <row r="4" spans="1:13">
      <c r="A4" s="70" t="s">
        <v>154</v>
      </c>
      <c r="B4" s="85">
        <f>'Data Sheet'!B30</f>
      </c>
      <c r="C4" s="85">
        <f>'Data Sheet'!C30</f>
      </c>
      <c r="D4" s="85">
        <f>'Data Sheet'!D30</f>
      </c>
      <c r="E4" s="85">
        <f>'Data Sheet'!E30</f>
      </c>
      <c r="F4" s="85">
        <f>'Data Sheet'!F30</f>
      </c>
      <c r="G4" s="85">
        <f>'Data Sheet'!G30</f>
      </c>
      <c r="H4" s="85">
        <f>'Data Sheet'!H30</f>
      </c>
      <c r="I4" s="85">
        <f>'Data Sheet'!I30</f>
      </c>
      <c r="J4" s="85">
        <f>'Data Sheet'!J30</f>
      </c>
      <c r="K4" s="85">
        <f>'Data Sheet'!K30</f>
      </c>
      <c r="L4" s="87">
        <f>(K4/B4)^(1/9)-1</f>
      </c>
      <c r="M4" s="88">
        <f>(K4/F4)^(1/5)-1</f>
      </c>
    </row>
    <row r="5" spans="1:13">
      <c r="A5" s="71" t="s">
        <v>90</v>
      </c>
      <c r="B5" s="72">
        <f>B4/'Data Sheet'!B17</f>
      </c>
      <c r="C5" s="72">
        <f>C4/'Data Sheet'!C17</f>
      </c>
      <c r="D5" s="72">
        <f>D4/'Data Sheet'!D17</f>
      </c>
      <c r="E5" s="72">
        <f>E4/'Data Sheet'!E17</f>
      </c>
      <c r="F5" s="72">
        <f>F4/'Data Sheet'!F17</f>
      </c>
      <c r="G5" s="72">
        <f>G4/'Data Sheet'!G17</f>
      </c>
      <c r="H5" s="72">
        <f>H4/'Data Sheet'!H17</f>
      </c>
      <c r="I5" s="72">
        <f>I4/'Data Sheet'!I17</f>
      </c>
      <c r="J5" s="72">
        <f>J4/'Data Sheet'!J17</f>
      </c>
      <c r="K5" s="72">
        <f>K4/'Data Sheet'!K17</f>
      </c>
      <c r="L5" s="89"/>
      <c r="M5" s="90"/>
    </row>
    <row r="6" spans="1:13" ht="13.5" thickBot="1">
      <c r="A6" s="73" t="s">
        <v>55</v>
      </c>
      <c r="B6" s="74">
        <f>'Balance Sheet'!B26</f>
      </c>
      <c r="C6" s="74">
        <f>'Balance Sheet'!C26</f>
      </c>
      <c r="D6" s="74">
        <f>'Balance Sheet'!D26</f>
      </c>
      <c r="E6" s="74">
        <f>'Balance Sheet'!E26</f>
      </c>
      <c r="F6" s="74">
        <f>'Balance Sheet'!F26</f>
      </c>
      <c r="G6" s="74">
        <f>'Balance Sheet'!G26</f>
      </c>
      <c r="H6" s="74">
        <f>'Balance Sheet'!H26</f>
      </c>
      <c r="I6" s="74">
        <f>'Balance Sheet'!I26</f>
      </c>
      <c r="J6" s="74">
        <f>'Balance Sheet'!J26</f>
      </c>
      <c r="K6" s="74">
        <f>'Balance Sheet'!K26</f>
      </c>
      <c r="L6" s="91"/>
      <c r="M6" s="92"/>
    </row>
    <row r="7" spans="1:13">
      <c r="A7" s="75"/>
      <c r="B7" s="76"/>
      <c r="C7" s="76"/>
      <c r="D7" s="76"/>
      <c r="E7" s="76"/>
      <c r="F7" s="76"/>
      <c r="G7" s="76"/>
      <c r="H7" s="76"/>
      <c r="I7" s="76"/>
      <c r="J7" s="76"/>
      <c r="K7" s="76"/>
      <c r="L7" s="76"/>
      <c r="M7" s="76"/>
    </row>
    <row r="8" spans="1:13" ht="13.5" thickBot="1">
      <c r="A8" s="5" t="s">
        <v>158</v>
      </c>
      <c r="B8" s="77"/>
      <c r="C8" s="77"/>
      <c r="D8" s="77"/>
      <c r="E8" s="77"/>
      <c r="F8" s="77"/>
      <c r="G8" s="77"/>
      <c r="H8" s="77"/>
      <c r="I8" s="77"/>
      <c r="J8" s="77"/>
      <c r="K8" s="77"/>
      <c r="L8" s="18"/>
      <c r="M8" s="18"/>
    </row>
    <row r="9" spans="1:13">
      <c r="A9" s="78" t="s">
        <v>152</v>
      </c>
      <c r="B9" s="94">
        <v>0.12</v>
      </c>
      <c r="C9" s="6"/>
      <c r="D9" s="6"/>
      <c r="E9" s="6"/>
      <c r="F9" s="6"/>
      <c r="G9" s="6"/>
      <c r="H9" s="6"/>
      <c r="I9" s="6"/>
      <c r="J9" s="6"/>
      <c r="K9" s="6"/>
      <c r="L9" s="6"/>
      <c r="M9" s="6"/>
    </row>
    <row r="10" spans="1:13">
      <c r="A10" s="79" t="s">
        <v>153</v>
      </c>
      <c r="B10" s="80">
        <f>K4*(1+B9)^10</f>
      </c>
      <c r="C10" s="81"/>
      <c r="D10" s="6"/>
      <c r="E10" s="6"/>
      <c r="F10" s="6"/>
      <c r="G10" s="6"/>
      <c r="H10" s="6"/>
      <c r="I10" s="6"/>
      <c r="J10" s="6"/>
      <c r="K10" s="6"/>
      <c r="L10" s="6"/>
      <c r="M10" s="6"/>
    </row>
    <row r="11" spans="1:13">
      <c r="A11" s="79" t="s">
        <v>149</v>
      </c>
      <c r="B11" s="93">
        <f>'Data Sheet'!B9/'Data Sheet'!K30</f>
      </c>
      <c r="C11" s="6"/>
      <c r="D11" s="6"/>
      <c r="E11" s="6"/>
      <c r="F11" s="6"/>
      <c r="G11" s="6"/>
      <c r="H11" s="6"/>
      <c r="I11" s="6"/>
      <c r="J11" s="6"/>
      <c r="K11" s="6"/>
      <c r="L11" s="6"/>
      <c r="M11" s="6"/>
    </row>
    <row r="12" spans="1:13">
      <c r="A12" s="79" t="s">
        <v>150</v>
      </c>
      <c r="B12" s="95">
        <v>20</v>
      </c>
      <c r="C12" s="6"/>
      <c r="D12" s="6"/>
      <c r="E12" s="6"/>
      <c r="F12" s="6"/>
      <c r="G12" s="6"/>
      <c r="H12" s="6"/>
      <c r="I12" s="6"/>
      <c r="J12" s="6"/>
      <c r="K12" s="6"/>
      <c r="L12" s="6"/>
      <c r="M12" s="6"/>
    </row>
    <row r="13" spans="1:13">
      <c r="A13" s="79" t="s">
        <v>155</v>
      </c>
      <c r="B13" s="80">
        <f>B10*B12</f>
      </c>
      <c r="C13" s="6"/>
      <c r="D13" s="6"/>
      <c r="E13" s="6"/>
      <c r="F13" s="6"/>
      <c r="G13" s="6"/>
      <c r="H13" s="6"/>
      <c r="I13" s="6"/>
      <c r="J13" s="6"/>
      <c r="K13" s="6"/>
      <c r="L13" s="6"/>
      <c r="M13" s="6"/>
    </row>
    <row r="14" spans="1:13">
      <c r="A14" s="79" t="s">
        <v>177</v>
      </c>
      <c r="B14" s="86">
        <f>DCF!B8</f>
      </c>
      <c r="C14" s="6"/>
      <c r="D14" s="6"/>
      <c r="E14" s="6"/>
      <c r="F14" s="6"/>
      <c r="G14" s="6"/>
      <c r="H14" s="6"/>
      <c r="I14" s="6"/>
      <c r="J14" s="6"/>
      <c r="K14" s="6"/>
      <c r="L14" s="6"/>
      <c r="M14" s="6"/>
    </row>
    <row r="15" spans="1:13">
      <c r="A15" s="79" t="s">
        <v>157</v>
      </c>
      <c r="B15" s="110">
        <f>B13/(1+B14)^10</f>
      </c>
      <c r="C15" s="6"/>
      <c r="D15" s="6"/>
      <c r="E15" s="6"/>
      <c r="F15" s="6"/>
      <c r="G15" s="6"/>
      <c r="H15" s="6"/>
      <c r="I15" s="6"/>
      <c r="J15" s="6"/>
      <c r="K15" s="6"/>
      <c r="L15" s="6"/>
      <c r="M15" s="6"/>
    </row>
    <row r="16" spans="1:13">
      <c r="A16" s="79" t="s">
        <v>156</v>
      </c>
      <c r="B16" s="110">
        <f>'Data Sheet'!B9</f>
      </c>
      <c r="C16" s="6"/>
      <c r="D16" s="6"/>
      <c r="E16" s="6"/>
      <c r="F16" s="6"/>
      <c r="G16" s="6"/>
      <c r="H16" s="6"/>
      <c r="I16" s="6"/>
      <c r="J16" s="6"/>
      <c r="K16" s="6"/>
      <c r="L16" s="6"/>
      <c r="M16" s="6"/>
    </row>
    <row r="17" spans="1:13">
      <c r="A17" s="6"/>
      <c r="B17" s="6"/>
      <c r="C17" s="6"/>
      <c r="D17" s="6"/>
      <c r="E17" s="6"/>
      <c r="F17" s="6"/>
      <c r="G17" s="6"/>
      <c r="H17" s="6"/>
      <c r="I17" s="6"/>
      <c r="J17" s="6"/>
      <c r="K17" s="6"/>
      <c r="L17" s="6"/>
      <c r="M17" s="6"/>
    </row>
    <row r="18" spans="1:13">
      <c r="A18" s="136" t="s">
        <v>233</v>
      </c>
    </row>
  </sheetData>
  <mergeCells count="2">
    <mergeCell ref="A1:M1"/>
    <mergeCell ref="A2:M2"/>
  </mergeCells>
  <hyperlinks>
    <hyperlink ref="A18" r:id="rId1" display="See the explanation of this model here" xr:uid="{00000000-0004-0000-1400-000000000000}"/>
  </hyperlinks>
  <pageMargins left="0.7" right="0.7" top="0.75" bottom="0.75" header="0.3" footer="0.3"/>
  <legacy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5"/>
  <dimension ref="A1:G16"/>
  <sheetViews>
    <sheetView workbookViewId="0">
      <selection activeCell="M22" sqref="M22"/>
    </sheetView>
  </sheetViews>
  <sheetFormatPr defaultColWidth="9.140625" defaultRowHeight="15"/>
  <cols>
    <col min="1" max="1" width="9.140625" style="1"/>
    <col min="2" max="2" width="10.5703125" customWidth="1"/>
    <col min="3" max="3" width="13.28515625" style="3" customWidth="1"/>
    <col min="6" max="6" width="6.85546875" customWidth="1"/>
  </cols>
  <sheetData>
    <row r="1" spans="1:7" ht="21">
      <c r="A1" s="2" t="s">
        <v>52</v>
      </c>
    </row>
    <row r="3" spans="1:7">
      <c r="A3" s="1" t="s">
        <v>43</v>
      </c>
    </row>
    <row r="4" spans="1:7">
      <c r="B4" t="s">
        <v>84</v>
      </c>
    </row>
    <row r="5" spans="1:7">
      <c r="B5" t="s">
        <v>44</v>
      </c>
    </row>
    <row r="7" spans="1:7">
      <c r="A7" s="1" t="s">
        <v>45</v>
      </c>
    </row>
    <row r="8" spans="1:7">
      <c r="B8" t="s">
        <v>46</v>
      </c>
      <c r="C8" s="4" t="s">
        <v>85</v>
      </c>
    </row>
    <row r="10" spans="1:7">
      <c r="A10" s="1" t="s">
        <v>47</v>
      </c>
    </row>
    <row r="11" spans="1:7">
      <c r="B11" t="s">
        <v>48</v>
      </c>
    </row>
    <row r="14" spans="1:7">
      <c r="A14" s="1" t="s">
        <v>49</v>
      </c>
    </row>
    <row r="15" spans="1:7">
      <c r="B15" t="s">
        <v>50</v>
      </c>
    </row>
    <row r="16" spans="1:7">
      <c r="B16" t="s">
        <v>51</v>
      </c>
      <c r="G16" s="461" t="s">
        <v>737</v>
      </c>
    </row>
  </sheetData>
  <hyperlinks>
    <hyperlink ref="C8" r:id="rId1" display=" http://www.screener.in/excel" xr:uid="{00000000-0004-0000-1500-000000000000}"/>
    <hyperlink ref="G16" r:id="rId2" xr:uid="{00000000-0004-0000-1500-000001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5"/>
  <dimension ref="A1:L93"/>
  <sheetViews>
    <sheetView workbookViewId="0">
      <pane xSplit="1" ySplit="1" topLeftCell="B32" activePane="bottomRight" state="frozen"/>
      <selection activeCell="R9" sqref="R9"/>
      <selection pane="topRight" activeCell="R9" sqref="R9"/>
      <selection pane="bottomLeft" activeCell="R9" sqref="R9"/>
      <selection pane="bottomRight" activeCell="N51" sqref="N51"/>
    </sheetView>
  </sheetViews>
  <sheetFormatPr defaultColWidth="9.140625" defaultRowHeight="12.75"/>
  <cols>
    <col min="1" max="1" width="26.7109375" style="10" bestFit="1" customWidth="1"/>
    <col min="2" max="2" width="36.28515625" style="10" bestFit="1" customWidth="1"/>
    <col min="3" max="10" width="11" style="10" bestFit="1" customWidth="1"/>
    <col min="11" max="11" width="7.7109375" style="10" bestFit="1" customWidth="1"/>
    <col min="12" max="12" width="10.5703125" style="10" bestFit="1" customWidth="1"/>
    <col min="13" max="13" width="12.5703125" style="10" customWidth="1"/>
    <col min="14" max="14" width="11.28515625" style="10" customWidth="1"/>
    <col min="15" max="16384" width="9.140625" style="10"/>
  </cols>
  <sheetData>
    <row r="1" spans="1:11" s="8" customFormat="1">
      <c r="A1" s="8" t="s">
        <v>0</v>
      </c>
      <c r="B1" s="8" t="s">
        <v>58</v>
      </c>
      <c r="E1" s="772" t="str">
        <f>IF(B2&lt;&gt;B3, "A NEW VERSION OF THE WORKSHEET IS AVAILABLE", "")</f>
      </c>
      <c r="F1" s="772"/>
      <c r="G1" s="772"/>
      <c r="H1" s="772"/>
      <c r="I1" s="772"/>
      <c r="J1" s="772"/>
      <c r="K1" s="772"/>
    </row>
    <row r="2" spans="1:11">
      <c r="A2" s="8" t="s">
        <v>56</v>
      </c>
      <c r="B2" s="10">
        <v>2.1</v>
      </c>
      <c r="E2" s="773" t="s">
        <v>31</v>
      </c>
      <c r="F2" s="773"/>
      <c r="G2" s="773"/>
      <c r="H2" s="773"/>
      <c r="I2" s="773"/>
      <c r="J2" s="773"/>
      <c r="K2" s="773"/>
    </row>
    <row r="3" spans="1:11">
      <c r="A3" s="8" t="s">
        <v>57</v>
      </c>
      <c r="B3" s="10">
        <v>2.1</v>
      </c>
    </row>
    <row r="4" spans="1:11">
      <c r="A4" s="8"/>
    </row>
    <row r="5" spans="1:11">
      <c r="A5" s="8" t="s">
        <v>59</v>
      </c>
    </row>
    <row r="6" spans="1:11">
      <c r="A6" s="10" t="s">
        <v>37</v>
      </c>
      <c r="B6" s="10">
        <f>IF(B9&gt;0, B9/B8, 0)</f>
      </c>
    </row>
    <row r="7" spans="1:11">
      <c r="A7" s="10" t="s">
        <v>26</v>
      </c>
      <c r="B7" s="6">
        <v>10.00</v>
      </c>
    </row>
    <row r="8" spans="1:11">
      <c r="A8" s="10" t="s">
        <v>38</v>
      </c>
      <c r="B8" s="6">
        <v>217.43</v>
      </c>
    </row>
    <row r="9" spans="1:11">
      <c r="A9" s="10" t="s">
        <v>73</v>
      </c>
      <c r="B9" s="6">
        <v>284148.53</v>
      </c>
    </row>
    <row r="15" spans="1:11">
      <c r="A15" s="8" t="s">
        <v>32</v>
      </c>
    </row>
    <row r="16" spans="1:11" s="21" customFormat="1">
      <c r="A16" s="20" t="s">
        <v>33</v>
      </c>
      <c r="B16" s="7">
        <v>42094.0</v>
      </c>
      <c r="C16" s="7">
        <v>42460.0</v>
      </c>
      <c r="D16" s="7">
        <v>42825.0</v>
      </c>
      <c r="E16" s="7">
        <v>43190.0</v>
      </c>
      <c r="F16" s="7">
        <v>43555.0</v>
      </c>
      <c r="G16" s="7">
        <v>43921.0</v>
      </c>
      <c r="H16" s="7">
        <v>44286.0</v>
      </c>
      <c r="I16" s="7">
        <v>44651.0</v>
      </c>
      <c r="J16" s="7">
        <v>45016.0</v>
      </c>
      <c r="K16" s="7">
        <v>45382.0</v>
      </c>
    </row>
    <row r="17" spans="1:11">
      <c r="A17" s="10" t="s">
        <v>4</v>
      </c>
      <c r="B17" s="6">
        <v>6939.19</v>
      </c>
      <c r="C17" s="6">
        <v>7506.69</v>
      </c>
      <c r="D17" s="6">
        <v>9047.38</v>
      </c>
      <c r="E17" s="6">
        <v>9267.14</v>
      </c>
      <c r="F17" s="6">
        <v>11133.59</v>
      </c>
      <c r="G17" s="6">
        <v>13421.02</v>
      </c>
      <c r="H17" s="6">
        <v>15770.51</v>
      </c>
      <c r="I17" s="6">
        <v>20299.38</v>
      </c>
      <c r="J17" s="6">
        <v>23891.95</v>
      </c>
      <c r="K17" s="6">
        <v>26645.36</v>
      </c>
    </row>
    <row r="18" spans="1:11" ht="15">
      <c r="A18" s="10" t="s">
        <v>74</v>
      </c>
      <c r="B18"/>
      <c r="C18"/>
      <c r="D18"/>
      <c r="E18"/>
      <c r="F18"/>
      <c r="G18"/>
      <c r="H18"/>
      <c r="I18"/>
      <c r="J18"/>
      <c r="K18"/>
    </row>
    <row r="19" spans="1:11" ht="15">
      <c r="A19" s="10" t="s">
        <v>75</v>
      </c>
      <c r="B19"/>
      <c r="C19"/>
      <c r="D19"/>
      <c r="E19"/>
      <c r="F19"/>
      <c r="G19"/>
      <c r="H19"/>
      <c r="I19"/>
      <c r="J19"/>
      <c r="K19"/>
    </row>
    <row r="20" spans="1:11">
      <c r="A20" s="10" t="s">
        <v>76</v>
      </c>
      <c r="B20" s="6">
        <v>0.21</v>
      </c>
      <c r="C20" s="6">
        <v>0.2</v>
      </c>
      <c r="D20" s="6">
        <v>0.22</v>
      </c>
      <c r="E20" s="6">
        <v>0.24</v>
      </c>
      <c r="F20" s="6">
        <v>0.22</v>
      </c>
      <c r="G20" s="6">
        <v>0.26</v>
      </c>
      <c r="H20" s="6">
        <v>0.24</v>
      </c>
      <c r="I20" s="6">
        <v>0.21</v>
      </c>
      <c r="J20" s="6">
        <v>0.23</v>
      </c>
      <c r="K20" s="6"/>
    </row>
    <row r="21" spans="1:11">
      <c r="A21" s="10" t="s">
        <v>77</v>
      </c>
      <c r="B21" s="6"/>
      <c r="C21" s="6"/>
      <c r="D21" s="6"/>
      <c r="E21" s="6"/>
      <c r="F21" s="6"/>
      <c r="G21" s="6">
        <v>2.08</v>
      </c>
      <c r="H21" s="6">
        <v>2.62</v>
      </c>
      <c r="I21" s="6">
        <v>3.95</v>
      </c>
      <c r="J21" s="6">
        <v>3.92</v>
      </c>
      <c r="K21" s="6"/>
    </row>
    <row r="22" spans="1:11">
      <c r="A22" s="10" t="s">
        <v>78</v>
      </c>
      <c r="B22" s="6">
        <v>3.1</v>
      </c>
      <c r="C22" s="6">
        <v>4.09</v>
      </c>
      <c r="D22" s="6">
        <v>3.0</v>
      </c>
      <c r="E22" s="6">
        <v>5.53</v>
      </c>
      <c r="F22" s="6">
        <v>6.47</v>
      </c>
      <c r="G22" s="6">
        <v>6.5</v>
      </c>
      <c r="H22" s="6">
        <v>8.01</v>
      </c>
      <c r="I22" s="6">
        <v>11.12</v>
      </c>
      <c r="J22" s="6">
        <v>13.25</v>
      </c>
      <c r="K22" s="6">
        <v>11.17</v>
      </c>
    </row>
    <row r="23" spans="1:11">
      <c r="A23" s="10" t="s">
        <v>79</v>
      </c>
      <c r="B23" s="6">
        <v>29.93</v>
      </c>
      <c r="C23" s="6">
        <v>33.13</v>
      </c>
      <c r="D23" s="6">
        <v>21.98</v>
      </c>
      <c r="E23" s="6">
        <v>6.94</v>
      </c>
      <c r="F23" s="6">
        <v>4.68</v>
      </c>
      <c r="G23" s="6">
        <v>4.08</v>
      </c>
      <c r="H23" s="6">
        <v>5.04</v>
      </c>
      <c r="I23" s="6">
        <v>6.87</v>
      </c>
      <c r="J23" s="6">
        <v>8.13</v>
      </c>
      <c r="K23" s="6"/>
    </row>
    <row r="24" spans="1:11">
      <c r="A24" s="10" t="s">
        <v>80</v>
      </c>
      <c r="B24" s="6">
        <v>0.47</v>
      </c>
      <c r="C24" s="6">
        <v>0.78</v>
      </c>
      <c r="D24" s="6">
        <v>0.69</v>
      </c>
      <c r="E24" s="6">
        <v>25.23</v>
      </c>
      <c r="F24" s="6">
        <v>37.1</v>
      </c>
      <c r="G24" s="6">
        <v>52.91</v>
      </c>
      <c r="H24" s="6">
        <v>97.32</v>
      </c>
      <c r="I24" s="6">
        <v>100.49</v>
      </c>
      <c r="J24" s="6">
        <v>108.79</v>
      </c>
      <c r="K24" s="6">
        <v>121.73</v>
      </c>
    </row>
    <row r="25" spans="1:11">
      <c r="A25" s="10" t="s">
        <v>7</v>
      </c>
      <c r="B25" s="6">
        <v>0.97</v>
      </c>
      <c r="C25" s="6">
        <v>0.61</v>
      </c>
      <c r="D25" s="6">
        <v>0.26</v>
      </c>
      <c r="E25" s="6">
        <v>1.23</v>
      </c>
      <c r="F25" s="6">
        <v>-0.02</v>
      </c>
      <c r="G25" s="6">
        <v>0.06</v>
      </c>
      <c r="H25" s="6">
        <v>0.33</v>
      </c>
      <c r="I25" s="6">
        <v>2.22</v>
      </c>
      <c r="J25" s="6">
        <v>40.66</v>
      </c>
      <c r="K25" s="6">
        <v>10.56</v>
      </c>
    </row>
    <row r="26" spans="1:11">
      <c r="A26" s="10" t="s">
        <v>8</v>
      </c>
      <c r="B26" s="6">
        <v>0.44</v>
      </c>
      <c r="C26" s="6">
        <v>0.35</v>
      </c>
      <c r="D26" s="6">
        <v>0.35</v>
      </c>
      <c r="E26" s="6">
        <v>0.35</v>
      </c>
      <c r="F26" s="6">
        <v>0.42</v>
      </c>
      <c r="G26" s="6">
        <v>0.46</v>
      </c>
      <c r="H26" s="6">
        <v>4.43</v>
      </c>
      <c r="I26" s="6">
        <v>14.03</v>
      </c>
      <c r="J26" s="6">
        <v>14.06</v>
      </c>
      <c r="K26" s="6">
        <v>9.44</v>
      </c>
    </row>
    <row r="27" spans="1:11" ht="15">
      <c r="A27" s="10" t="s">
        <v>9</v>
      </c>
      <c r="B27" s="6">
        <v>4991.83</v>
      </c>
      <c r="C27" s="6">
        <v>5518.84</v>
      </c>
      <c r="D27" s="6">
        <v>6888.13</v>
      </c>
      <c r="E27" s="6">
        <v>6637.59</v>
      </c>
      <c r="F27" s="6">
        <v>8183.1</v>
      </c>
      <c r="G27" s="6">
        <v>10162.7</v>
      </c>
      <c r="H27" s="6">
        <v>11237.05</v>
      </c>
      <c r="I27" s="6">
        <v>14074.78</v>
      </c>
      <c r="J27">
        <v>17447.21</v>
      </c>
      <c r="K27">
        <v>20101.47</v>
      </c>
    </row>
    <row r="28" spans="1:11">
      <c r="A28" s="10" t="s">
        <v>10</v>
      </c>
      <c r="B28" s="6">
        <v>1914.18</v>
      </c>
      <c r="C28" s="6">
        <v>1949.91</v>
      </c>
      <c r="D28" s="6">
        <v>2133.27</v>
      </c>
      <c r="E28" s="6">
        <v>2592.49</v>
      </c>
      <c r="F28" s="6">
        <v>2901.58</v>
      </c>
      <c r="G28" s="6">
        <v>3192.09</v>
      </c>
      <c r="H28" s="6">
        <v>4416.13</v>
      </c>
      <c r="I28" s="6">
        <v>6090.15</v>
      </c>
      <c r="J28" s="6">
        <v>6337.02</v>
      </c>
      <c r="K28" s="6">
        <v>6412.11</v>
      </c>
    </row>
    <row r="29" spans="1:11">
      <c r="A29" s="10" t="s">
        <v>11</v>
      </c>
      <c r="B29" s="6">
        <v>1155.88</v>
      </c>
      <c r="C29" s="6">
        <v>1101.22</v>
      </c>
      <c r="D29" s="6">
        <v>1199.46</v>
      </c>
      <c r="E29" s="6">
        <v>537.83</v>
      </c>
      <c r="F29" s="6">
        <v>646.84</v>
      </c>
      <c r="G29" s="6"/>
      <c r="H29" s="6"/>
      <c r="I29" s="6">
        <v>0.32</v>
      </c>
      <c r="J29" s="6"/>
      <c r="K29" s="6"/>
    </row>
    <row r="30" spans="1:11">
      <c r="A30" s="10" t="s">
        <v>12</v>
      </c>
      <c r="B30" s="6">
        <v>758.3</v>
      </c>
      <c r="C30" s="6">
        <v>848.69</v>
      </c>
      <c r="D30" s="6">
        <v>933.81</v>
      </c>
      <c r="E30" s="6">
        <v>2054.66</v>
      </c>
      <c r="F30" s="6">
        <v>2254.75</v>
      </c>
      <c r="G30" s="6">
        <v>3192.1</v>
      </c>
      <c r="H30" s="6">
        <v>4416.13</v>
      </c>
      <c r="I30" s="6">
        <v>6089.84</v>
      </c>
      <c r="J30" s="6">
        <v>6337.01</v>
      </c>
      <c r="K30" s="6">
        <v>6412.1</v>
      </c>
    </row>
    <row r="31" spans="1:11">
      <c r="A31" s="10" t="s">
        <v>64</v>
      </c>
      <c r="B31" s="6">
        <v>151.96</v>
      </c>
      <c r="C31" s="6">
        <v>339.48</v>
      </c>
      <c r="D31" s="6">
        <v>373.31</v>
      </c>
      <c r="E31" s="6">
        <v>375.27</v>
      </c>
      <c r="F31" s="6">
        <v>399.61</v>
      </c>
      <c r="G31" s="6"/>
      <c r="H31" s="6">
        <v>1372.19</v>
      </c>
      <c r="I31" s="6">
        <v>1829.59</v>
      </c>
      <c r="J31" s="6">
        <v>1960.28</v>
      </c>
      <c r="K31" s="6">
        <v>1960.28</v>
      </c>
    </row>
    <row r="40" spans="1:11">
      <c r="A40" s="8" t="s">
        <v>34</v>
      </c>
    </row>
    <row r="41" spans="1:11" s="21" customFormat="1">
      <c r="A41" s="20" t="s">
        <v>33</v>
      </c>
      <c r="B41" s="7">
        <v>44561.0</v>
      </c>
      <c r="C41" s="7">
        <v>44651.0</v>
      </c>
      <c r="D41" s="7">
        <v>44742.0</v>
      </c>
      <c r="E41" s="7">
        <v>44834.0</v>
      </c>
      <c r="F41" s="7">
        <v>44926.0</v>
      </c>
      <c r="G41" s="7">
        <v>45016.0</v>
      </c>
      <c r="H41" s="7">
        <v>45107.0</v>
      </c>
      <c r="I41" s="7">
        <v>45199.0</v>
      </c>
      <c r="J41" s="7">
        <v>45291.0</v>
      </c>
      <c r="K41" s="7">
        <v>45382.0</v>
      </c>
    </row>
    <row r="42" spans="1:11">
      <c r="A42" s="10" t="s">
        <v>4</v>
      </c>
      <c r="B42" s="6">
        <v>5095.96</v>
      </c>
      <c r="C42" s="6">
        <v>5931.72</v>
      </c>
      <c r="D42" s="6">
        <v>5627.44</v>
      </c>
      <c r="E42" s="6">
        <v>5809.8</v>
      </c>
      <c r="F42" s="6">
        <v>6218.1</v>
      </c>
      <c r="G42" s="6">
        <v>6194.02</v>
      </c>
      <c r="H42" s="6">
        <v>6679.17</v>
      </c>
      <c r="I42" s="6">
        <v>6766.63</v>
      </c>
      <c r="J42" s="6">
        <v>6736.6</v>
      </c>
      <c r="K42" s="6">
        <v>6473.56</v>
      </c>
    </row>
    <row r="43" spans="1:11">
      <c r="A43" s="10" t="s">
        <v>5</v>
      </c>
      <c r="B43" s="6">
        <v>8.8</v>
      </c>
      <c r="C43" s="6">
        <v>82.44</v>
      </c>
      <c r="D43" s="6">
        <v>22.74</v>
      </c>
      <c r="E43" s="6">
        <v>34.06</v>
      </c>
      <c r="F43" s="6">
        <v>30.51</v>
      </c>
      <c r="G43" s="6">
        <v>47.01</v>
      </c>
      <c r="H43" s="6">
        <v>29.26</v>
      </c>
      <c r="I43" s="6">
        <v>33.97</v>
      </c>
      <c r="J43" s="6">
        <v>35.47</v>
      </c>
      <c r="K43" s="6">
        <v>34.22</v>
      </c>
    </row>
    <row r="44" spans="1:11">
      <c r="A44" s="10" t="s">
        <v>7</v>
      </c>
      <c r="B44" s="6">
        <v>1.19</v>
      </c>
      <c r="C44" s="6">
        <v>1.08</v>
      </c>
      <c r="D44" s="6">
        <v>0.03</v>
      </c>
      <c r="E44" s="6">
        <v>0.59</v>
      </c>
      <c r="F44" s="6">
        <v>3.92</v>
      </c>
      <c r="G44" s="6">
        <v>36.25</v>
      </c>
      <c r="H44" s="6">
        <v>1.86</v>
      </c>
      <c r="I44" s="6">
        <v>0.85</v>
      </c>
      <c r="J44" s="6">
        <v>3.42</v>
      </c>
      <c r="K44" s="6">
        <v>4.43</v>
      </c>
    </row>
    <row r="45" spans="1:11">
      <c r="A45" s="10" t="s">
        <v>8</v>
      </c>
      <c r="B45" s="6">
        <v>3.1</v>
      </c>
      <c r="C45" s="6">
        <v>4.72</v>
      </c>
      <c r="D45" s="6">
        <v>3.51</v>
      </c>
      <c r="E45" s="6">
        <v>3.51</v>
      </c>
      <c r="F45" s="6">
        <v>3.73</v>
      </c>
      <c r="G45" s="6">
        <v>3.32</v>
      </c>
      <c r="H45" s="6">
        <v>4.23</v>
      </c>
      <c r="I45" s="6">
        <v>2.15</v>
      </c>
      <c r="J45" s="6">
        <v>1.33</v>
      </c>
      <c r="K45" s="6">
        <v>1.73</v>
      </c>
    </row>
    <row r="46" spans="1:11" ht="15">
      <c r="A46" s="10" t="s">
        <v>9</v>
      </c>
      <c r="B46">
        <v>3491.34</v>
      </c>
      <c r="C46">
        <v>4352.83</v>
      </c>
      <c r="D46">
        <v>3939.64</v>
      </c>
      <c r="E46">
        <v>4058.54</v>
      </c>
      <c r="F46">
        <v>4554.33</v>
      </c>
      <c r="G46">
        <v>4894.7</v>
      </c>
      <c r="H46">
        <v>5090.97</v>
      </c>
      <c r="I46">
        <v>5181.49</v>
      </c>
      <c r="J46">
        <v>5104.29</v>
      </c>
      <c r="K46">
        <v>4724.72</v>
      </c>
    </row>
    <row r="47" spans="1:11">
      <c r="A47" s="10" t="s">
        <v>10</v>
      </c>
      <c r="B47" s="6">
        <v>1593.91</v>
      </c>
      <c r="C47" s="6">
        <v>1492.81</v>
      </c>
      <c r="D47" s="6">
        <v>1661.58</v>
      </c>
      <c r="E47" s="6">
        <v>1714.28</v>
      </c>
      <c r="F47" s="6">
        <v>1633.45</v>
      </c>
      <c r="G47" s="6">
        <v>1285.24</v>
      </c>
      <c r="H47" s="6">
        <v>1556.57</v>
      </c>
      <c r="I47" s="6">
        <v>1549.87</v>
      </c>
      <c r="J47" s="6">
        <v>1598.93</v>
      </c>
      <c r="K47" s="6">
        <v>1717.32</v>
      </c>
    </row>
    <row r="48" spans="1:11">
      <c r="A48" s="10" t="s">
        <v>11</v>
      </c>
      <c r="B48" s="6"/>
      <c r="C48" s="6">
        <v>0.32</v>
      </c>
      <c r="D48" s="6"/>
      <c r="E48" s="6"/>
      <c r="F48" s="6"/>
      <c r="G48" s="6"/>
      <c r="H48" s="6"/>
      <c r="I48" s="6"/>
      <c r="J48" s="6"/>
      <c r="K48" s="6"/>
    </row>
    <row r="49" spans="1:11">
      <c r="A49" s="10" t="s">
        <v>12</v>
      </c>
      <c r="B49" s="6">
        <v>1593.91</v>
      </c>
      <c r="C49" s="6">
        <v>1492.5</v>
      </c>
      <c r="D49" s="6">
        <v>1661.58</v>
      </c>
      <c r="E49" s="6">
        <v>1714.28</v>
      </c>
      <c r="F49" s="6">
        <v>1633.45</v>
      </c>
      <c r="G49" s="6">
        <v>1285.24</v>
      </c>
      <c r="H49" s="6">
        <v>1556.57</v>
      </c>
      <c r="I49" s="6">
        <v>1549.87</v>
      </c>
      <c r="J49" s="6">
        <v>1598.93</v>
      </c>
      <c r="K49" s="6">
        <v>1717.32</v>
      </c>
    </row>
    <row r="50" spans="1:11">
      <c r="A50" s="10" t="s">
        <v>6</v>
      </c>
      <c r="B50" s="6">
        <v>5087.16</v>
      </c>
      <c r="C50" s="6">
        <v>5849.28</v>
      </c>
      <c r="D50" s="6">
        <v>5604.7</v>
      </c>
      <c r="E50" s="6">
        <v>5775.74</v>
      </c>
      <c r="F50" s="6">
        <v>6187.59</v>
      </c>
      <c r="G50" s="6">
        <v>6147.01</v>
      </c>
      <c r="H50" s="6">
        <v>6649.91</v>
      </c>
      <c r="I50" s="6">
        <v>6732.66</v>
      </c>
      <c r="J50" s="6">
        <v>6701.13</v>
      </c>
      <c r="K50" s="6">
        <v>6439.34</v>
      </c>
    </row>
    <row r="55" spans="1:11">
      <c r="A55" s="8" t="s">
        <v>35</v>
      </c>
    </row>
    <row r="56" spans="1:11" s="21" customFormat="1">
      <c r="A56" s="20" t="s">
        <v>33</v>
      </c>
      <c r="B56" s="7">
        <v>42094.0</v>
      </c>
      <c r="C56" s="7">
        <v>42460.0</v>
      </c>
      <c r="D56" s="7">
        <v>42825.0</v>
      </c>
      <c r="E56" s="7">
        <v>43190.0</v>
      </c>
      <c r="F56" s="7">
        <v>43555.0</v>
      </c>
      <c r="G56" s="7">
        <v>43921.0</v>
      </c>
      <c r="H56" s="7">
        <v>44286.0</v>
      </c>
      <c r="I56" s="7">
        <v>44651.0</v>
      </c>
      <c r="J56" s="7">
        <v>45016.0</v>
      </c>
      <c r="K56" s="7">
        <v>45382.0</v>
      </c>
    </row>
    <row r="57" spans="1:11">
      <c r="A57" s="10" t="s">
        <v>19</v>
      </c>
      <c r="B57" s="6">
        <v>3583.96</v>
      </c>
      <c r="C57" s="6">
        <v>4526.46</v>
      </c>
      <c r="D57" s="6">
        <v>6526.46</v>
      </c>
      <c r="E57" s="6">
        <v>6526.46</v>
      </c>
      <c r="F57" s="6">
        <v>9380.46</v>
      </c>
      <c r="G57" s="6">
        <v>11880.46</v>
      </c>
      <c r="H57" s="6">
        <v>13068.51</v>
      </c>
      <c r="I57" s="6">
        <v>13068.51</v>
      </c>
      <c r="J57" s="6">
        <v>13068.51</v>
      </c>
      <c r="K57" s="6">
        <v>13068.51</v>
      </c>
    </row>
    <row r="58" spans="1:11">
      <c r="A58" s="10" t="s">
        <v>20</v>
      </c>
      <c r="B58" s="6">
        <v>5097.65</v>
      </c>
      <c r="C58" s="6">
        <v>6998.89</v>
      </c>
      <c r="D58" s="6">
        <v>5483.14</v>
      </c>
      <c r="E58" s="6">
        <v>7402.23</v>
      </c>
      <c r="F58" s="6">
        <v>15648.19</v>
      </c>
      <c r="G58" s="6">
        <v>18419.29</v>
      </c>
      <c r="H58" s="6">
        <v>22844.88</v>
      </c>
      <c r="I58" s="6">
        <v>27927.83</v>
      </c>
      <c r="J58" s="6">
        <v>32401.81</v>
      </c>
      <c r="K58" s="6">
        <v>36110.06</v>
      </c>
    </row>
    <row r="59" spans="1:11" ht="15">
      <c r="A59" s="10" t="s">
        <v>65</v>
      </c>
      <c r="B59">
        <v>71269.63</v>
      </c>
      <c r="C59">
        <v>87503.18</v>
      </c>
      <c r="D59">
        <v>106394.86</v>
      </c>
      <c r="E59">
        <v>134005.53</v>
      </c>
      <c r="F59">
        <v>173932.67</v>
      </c>
      <c r="G59">
        <v>234376.72</v>
      </c>
      <c r="H59">
        <v>323145.26</v>
      </c>
      <c r="I59">
        <v>388439.97</v>
      </c>
      <c r="J59">
        <v>418934.9</v>
      </c>
      <c r="K59">
        <v>412038.51</v>
      </c>
    </row>
    <row r="60" spans="1:11">
      <c r="A60" s="10" t="s">
        <v>66</v>
      </c>
      <c r="B60" s="6">
        <v>7695.75</v>
      </c>
      <c r="C60" s="6">
        <v>9371.86</v>
      </c>
      <c r="D60" s="6">
        <v>11245.17</v>
      </c>
      <c r="E60" s="6">
        <v>13534.1</v>
      </c>
      <c r="F60" s="6">
        <v>7642.29</v>
      </c>
      <c r="G60" s="6">
        <v>10827.66</v>
      </c>
      <c r="H60" s="6">
        <v>21422.87</v>
      </c>
      <c r="I60" s="6">
        <v>20543.91</v>
      </c>
      <c r="J60" s="6">
        <v>26741.52</v>
      </c>
      <c r="K60" s="6">
        <v>23849.7</v>
      </c>
    </row>
    <row r="61" spans="1:11" s="8" customFormat="1">
      <c r="A61" s="8" t="s">
        <v>21</v>
      </c>
      <c r="B61" s="6">
        <v>87646.99</v>
      </c>
      <c r="C61" s="6">
        <v>108400.39</v>
      </c>
      <c r="D61" s="6">
        <v>129649.63</v>
      </c>
      <c r="E61" s="6">
        <v>161468.32</v>
      </c>
      <c r="F61" s="6">
        <v>206603.61</v>
      </c>
      <c r="G61" s="6">
        <v>275504.13</v>
      </c>
      <c r="H61" s="6">
        <v>380481.52</v>
      </c>
      <c r="I61" s="6">
        <v>449980.22</v>
      </c>
      <c r="J61" s="6">
        <v>491146.74</v>
      </c>
      <c r="K61" s="6">
        <v>485066.78</v>
      </c>
    </row>
    <row r="62" spans="1:11">
      <c r="A62" s="10" t="s">
        <v>22</v>
      </c>
      <c r="B62" s="6">
        <v>12.01</v>
      </c>
      <c r="C62" s="6">
        <v>11.76</v>
      </c>
      <c r="D62" s="6">
        <v>11.52</v>
      </c>
      <c r="E62" s="6">
        <v>11.29</v>
      </c>
      <c r="F62" s="6">
        <v>11.28</v>
      </c>
      <c r="G62" s="6">
        <v>11.05</v>
      </c>
      <c r="H62" s="6">
        <v>45.36</v>
      </c>
      <c r="I62" s="6">
        <v>37.96</v>
      </c>
      <c r="J62" s="6">
        <v>19.19</v>
      </c>
      <c r="K62" s="6">
        <v>25.83</v>
      </c>
    </row>
    <row r="63" spans="1:11">
      <c r="A63" s="10" t="s">
        <v>23</v>
      </c>
      <c r="B63" s="6"/>
      <c r="C63" s="6"/>
      <c r="D63" s="6"/>
      <c r="E63" s="6"/>
      <c r="F63" s="6"/>
      <c r="G63" s="6"/>
      <c r="H63" s="6"/>
      <c r="I63" s="6"/>
      <c r="J63" s="6"/>
      <c r="K63" s="6"/>
    </row>
    <row r="64" spans="1:11" ht="15">
      <c r="A64" s="10" t="s">
        <v>24</v>
      </c>
      <c r="B64" s="6">
        <v>9.32</v>
      </c>
      <c r="C64">
        <v>7.87</v>
      </c>
      <c r="D64" s="6">
        <v>7.87</v>
      </c>
      <c r="E64" s="6">
        <v>13.98</v>
      </c>
      <c r="F64" s="6">
        <v>13.15</v>
      </c>
      <c r="G64" s="6">
        <v>11.51</v>
      </c>
      <c r="H64" s="6">
        <v>11.98</v>
      </c>
      <c r="I64" s="6">
        <v>10.0</v>
      </c>
      <c r="J64" s="6">
        <v>13.66</v>
      </c>
      <c r="K64" s="6">
        <v>53.6</v>
      </c>
    </row>
    <row r="65" spans="1:11">
      <c r="A65" s="10" t="s">
        <v>67</v>
      </c>
      <c r="B65" s="6">
        <v>87625.66</v>
      </c>
      <c r="C65" s="6">
        <v>108380.76</v>
      </c>
      <c r="D65" s="6">
        <v>129630.24</v>
      </c>
      <c r="E65" s="6">
        <v>161443.05</v>
      </c>
      <c r="F65" s="6">
        <v>206579.18</v>
      </c>
      <c r="G65" s="6">
        <v>275481.57</v>
      </c>
      <c r="H65" s="6">
        <v>380424.18</v>
      </c>
      <c r="I65" s="6">
        <v>449932.26</v>
      </c>
      <c r="J65" s="6">
        <v>491113.89</v>
      </c>
      <c r="K65" s="6">
        <v>484987.35</v>
      </c>
    </row>
    <row r="66" spans="1:11" s="8" customFormat="1">
      <c r="A66" s="8" t="s">
        <v>21</v>
      </c>
      <c r="B66" s="6">
        <v>87646.99</v>
      </c>
      <c r="C66" s="6">
        <v>108400.39</v>
      </c>
      <c r="D66" s="6">
        <v>129649.63</v>
      </c>
      <c r="E66" s="6">
        <v>161468.32</v>
      </c>
      <c r="F66" s="6">
        <v>206603.61</v>
      </c>
      <c r="G66" s="6">
        <v>275504.13</v>
      </c>
      <c r="H66" s="6">
        <v>380481.52</v>
      </c>
      <c r="I66" s="6">
        <v>449980.22</v>
      </c>
      <c r="J66" s="6">
        <v>491146.74</v>
      </c>
      <c r="K66" s="6">
        <v>485066.78</v>
      </c>
    </row>
    <row r="67" spans="1:11">
      <c r="A67" s="10" t="s">
        <v>72</v>
      </c>
      <c r="B67" s="6"/>
      <c r="C67" s="6"/>
      <c r="D67" s="6"/>
      <c r="E67" s="6"/>
      <c r="F67" s="6"/>
      <c r="G67" s="6"/>
      <c r="H67" s="6"/>
      <c r="I67" s="6">
        <v>200692.5</v>
      </c>
      <c r="J67" s="6">
        <v>244147.01</v>
      </c>
      <c r="K67" s="6"/>
    </row>
    <row r="68" spans="1:11" ht="15">
      <c r="A68" s="10" t="s">
        <v>40</v>
      </c>
      <c r="B68"/>
      <c r="C68"/>
      <c r="D68"/>
      <c r="E68"/>
      <c r="F68"/>
      <c r="G68"/>
      <c r="H68"/>
      <c r="I68"/>
      <c r="J68"/>
      <c r="K68"/>
    </row>
    <row r="69" spans="1:11">
      <c r="A69" s="10" t="s">
        <v>81</v>
      </c>
      <c r="B69" s="6">
        <v>5.07</v>
      </c>
      <c r="C69" s="6">
        <v>1211.21</v>
      </c>
      <c r="D69" s="6">
        <v>7.52</v>
      </c>
      <c r="E69" s="6">
        <v>99.82</v>
      </c>
      <c r="F69" s="6">
        <v>81.07</v>
      </c>
      <c r="G69" s="6">
        <v>100.76</v>
      </c>
      <c r="H69" s="6">
        <v>458.92</v>
      </c>
      <c r="I69" s="6">
        <v>303.38</v>
      </c>
      <c r="J69" s="6">
        <v>541.66</v>
      </c>
      <c r="K69" s="6">
        <v>466.77</v>
      </c>
    </row>
    <row r="70" spans="1:11">
      <c r="A70" s="10" t="s">
        <v>68</v>
      </c>
      <c r="B70" s="6">
        <v>35839600.0</v>
      </c>
      <c r="C70" s="6">
        <v>45264600.0</v>
      </c>
      <c r="D70" s="6">
        <v>65264600.0</v>
      </c>
      <c r="E70" s="6">
        <v>6526460000.0</v>
      </c>
      <c r="F70" s="6">
        <v>9380460000.0</v>
      </c>
      <c r="G70" s="6">
        <v>11880460000.0</v>
      </c>
      <c r="H70" s="6">
        <v>13068506000.0</v>
      </c>
      <c r="I70" s="6">
        <v>13068506000.0</v>
      </c>
      <c r="J70" s="6">
        <v>13068506000.0</v>
      </c>
      <c r="K70" s="6"/>
    </row>
    <row r="71" spans="1:11" ht="15">
      <c r="A71" s="10" t="s">
        <v>69</v>
      </c>
      <c r="B71"/>
      <c r="C71"/>
      <c r="D71"/>
      <c r="E71"/>
      <c r="F71"/>
      <c r="G71"/>
      <c r="I71"/>
      <c r="J71"/>
      <c r="K71"/>
    </row>
    <row r="72" spans="1:11">
      <c r="A72" s="10" t="s">
        <v>82</v>
      </c>
      <c r="B72" s="6">
        <v>1000.0</v>
      </c>
      <c r="C72" s="6">
        <v>1000.0</v>
      </c>
      <c r="D72" s="6">
        <v>10.0</v>
      </c>
      <c r="E72" s="6">
        <v>10.0</v>
      </c>
      <c r="F72" s="6">
        <v>10.0</v>
      </c>
      <c r="G72" s="6">
        <v>10.0</v>
      </c>
      <c r="H72" s="6">
        <v>10.0</v>
      </c>
      <c r="I72" s="6">
        <v>10.0</v>
      </c>
      <c r="J72" s="6">
        <v>10.0</v>
      </c>
      <c r="K72" s="6">
        <v>10.0</v>
      </c>
    </row>
    <row r="80" spans="1:11">
      <c r="A80" s="8" t="s">
        <v>36</v>
      </c>
    </row>
    <row r="81" spans="1:12" s="21" customFormat="1">
      <c r="A81" s="20" t="s">
        <v>33</v>
      </c>
      <c r="B81" s="7">
        <v>42094.0</v>
      </c>
      <c r="C81" s="7">
        <v>42460.0</v>
      </c>
      <c r="D81" s="7">
        <v>42825.0</v>
      </c>
      <c r="E81" s="7">
        <v>43190.0</v>
      </c>
      <c r="F81" s="7">
        <v>43555.0</v>
      </c>
      <c r="G81" s="7">
        <v>43921.0</v>
      </c>
      <c r="H81" s="7">
        <v>44286.0</v>
      </c>
      <c r="I81" s="7">
        <v>44651.0</v>
      </c>
      <c r="J81" s="7">
        <v>45016.0</v>
      </c>
      <c r="K81" s="7">
        <v>45382.0</v>
      </c>
      <c r="L81" s="7"/>
    </row>
    <row r="82" spans="1:12" s="8" customFormat="1">
      <c r="A82" s="10" t="s">
        <v>27</v>
      </c>
      <c r="B82" s="6"/>
      <c r="C82" s="6">
        <v>-16377.5</v>
      </c>
      <c r="D82" s="6">
        <v>-19455.18</v>
      </c>
      <c r="E82" s="6">
        <v>-28076.12</v>
      </c>
      <c r="F82" s="6">
        <v>-41748.19</v>
      </c>
      <c r="G82" s="6">
        <v>-62700.61</v>
      </c>
      <c r="H82" s="6">
        <v>-89906.65</v>
      </c>
      <c r="I82" s="6">
        <v>-64412.28</v>
      </c>
      <c r="J82" s="6">
        <v>-28583.83</v>
      </c>
      <c r="K82" s="6">
        <v>7914.1</v>
      </c>
    </row>
    <row r="83" spans="1:12">
      <c r="A83" s="10" t="s">
        <v>28</v>
      </c>
      <c r="B83" s="6"/>
      <c r="C83" s="6">
        <v>1.94</v>
      </c>
      <c r="D83" s="6">
        <v>1.79</v>
      </c>
      <c r="E83" s="6">
        <v>1.67</v>
      </c>
      <c r="F83" s="6">
        <v>1.31</v>
      </c>
      <c r="G83" s="6">
        <v>1.47</v>
      </c>
      <c r="H83" s="6">
        <v>0.42</v>
      </c>
      <c r="I83" s="6">
        <v>-4.72</v>
      </c>
      <c r="J83" s="6">
        <v>0.09</v>
      </c>
      <c r="K83" s="6">
        <v>-7.54</v>
      </c>
    </row>
    <row r="84" spans="1:12">
      <c r="A84" s="10" t="s">
        <v>29</v>
      </c>
      <c r="B84" s="6"/>
      <c r="C84" s="6">
        <v>17581.7</v>
      </c>
      <c r="D84" s="6">
        <v>18249.71</v>
      </c>
      <c r="E84" s="6">
        <v>28074.63</v>
      </c>
      <c r="F84" s="6">
        <v>41749.45</v>
      </c>
      <c r="G84" s="6">
        <v>62696.81</v>
      </c>
      <c r="H84" s="6">
        <v>90202.04</v>
      </c>
      <c r="I84" s="6">
        <v>64266.3</v>
      </c>
      <c r="J84" s="6">
        <v>28643.28</v>
      </c>
      <c r="K84" s="6">
        <v>-8046.42</v>
      </c>
    </row>
    <row r="85" spans="1:12" s="8" customFormat="1">
      <c r="A85" s="10" t="s">
        <v>30</v>
      </c>
      <c r="B85" s="6"/>
      <c r="C85" s="6">
        <v>1206.14</v>
      </c>
      <c r="D85" s="6">
        <v>-1203.69</v>
      </c>
      <c r="E85" s="6">
        <v>0.18</v>
      </c>
      <c r="F85" s="6">
        <v>2.58</v>
      </c>
      <c r="G85" s="6">
        <v>-2.33</v>
      </c>
      <c r="H85" s="6">
        <v>295.81</v>
      </c>
      <c r="I85" s="6">
        <v>-150.7</v>
      </c>
      <c r="J85" s="6">
        <v>59.54</v>
      </c>
      <c r="K85" s="6">
        <v>-139.87</v>
      </c>
    </row>
    <row r="90" spans="1:12" s="8" customFormat="1">
      <c r="A90" s="8" t="s">
        <v>71</v>
      </c>
      <c r="B90" s="6"/>
      <c r="C90" s="6"/>
      <c r="D90" s="6"/>
      <c r="E90" s="6"/>
      <c r="F90" s="6"/>
      <c r="G90" s="6"/>
      <c r="H90" s="6">
        <v>22.9</v>
      </c>
      <c r="I90" s="6">
        <v>21.45</v>
      </c>
      <c r="J90" s="6">
        <v>26.6</v>
      </c>
      <c r="K90" s="6">
        <v>142.35</v>
      </c>
    </row>
    <row r="92" spans="1:12" s="8" customFormat="1">
      <c r="A92" s="8" t="s">
        <v>70</v>
      </c>
    </row>
    <row r="93" spans="1:12">
      <c r="A93" s="10" t="s">
        <v>83</v>
      </c>
      <c r="B93" s="22">
        <v>3.58</v>
      </c>
      <c r="C93" s="22">
        <v>4.53</v>
      </c>
      <c r="D93" s="22">
        <v>6.53</v>
      </c>
      <c r="E93" s="22">
        <v>652.65</v>
      </c>
      <c r="F93" s="22">
        <v>938.05</v>
      </c>
      <c r="G93" s="22">
        <v>1188.05</v>
      </c>
      <c r="H93" s="22">
        <v>1306.85</v>
      </c>
      <c r="I93" s="22">
        <v>1306.85</v>
      </c>
      <c r="J93" s="22">
        <v>1306.85</v>
      </c>
      <c r="K93" s="22">
        <v>1306.85</v>
      </c>
    </row>
  </sheetData>
  <mergeCells count="2">
    <mergeCell ref="E1:K1"/>
    <mergeCell ref="E2:K2"/>
  </mergeCells>
  <conditionalFormatting sqref="B57:K72">
    <cfRule type="cellIs" dxfId="2" priority="2" operator="lessThan">
      <formula>0</formula>
    </cfRule>
  </conditionalFormatting>
  <conditionalFormatting sqref="B82:K93">
    <cfRule type="cellIs" dxfId="1" priority="1" operator="lessThan">
      <formula>0</formula>
    </cfRule>
  </conditionalFormatting>
  <conditionalFormatting sqref="E1:K1">
    <cfRule type="cellIs" dxfId="0" priority="3" operator="notEqual">
      <formula>""</formula>
    </cfRule>
  </conditionalFormatting>
  <hyperlinks>
    <hyperlink ref="E1:K1" r:id="rId1" display="https://www.screener.in/excel/" xr:uid="{00000000-0004-0000-16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27</vt:i4>
      </vt:variant>
      <vt:variant>
        <vt:lpstr>Named Ranges</vt:lpstr>
      </vt:variant>
      <vt:variant>
        <vt:i4>1</vt:i4>
      </vt:variant>
    </vt:vector>
  </HeadingPairs>
  <TitlesOfParts>
    <vt:vector size="28" baseType="lpstr">
      <vt:lpstr>Instructions</vt:lpstr>
      <vt:lpstr>VM_Checklist</vt:lpstr>
      <vt:lpstr>Phil Fisher</vt:lpstr>
      <vt:lpstr>Buffett</vt:lpstr>
      <vt:lpstr>ChartReport (2)</vt:lpstr>
      <vt:lpstr>VMpara</vt:lpstr>
      <vt:lpstr>ChartsData</vt:lpstr>
      <vt:lpstr>ChartReport</vt:lpstr>
      <vt:lpstr>ppt</vt:lpstr>
      <vt:lpstr>VMAnalysis</vt:lpstr>
      <vt:lpstr>QA</vt:lpstr>
      <vt:lpstr>Key Ratios</vt:lpstr>
      <vt:lpstr>Common Size Analysis</vt:lpstr>
      <vt:lpstr>Profit &amp; Loss</vt:lpstr>
      <vt:lpstr>Balance Sheet</vt:lpstr>
      <vt:lpstr>Cash Flow</vt:lpstr>
      <vt:lpstr>Screener Output</vt:lpstr>
      <vt:lpstr>Quarters</vt:lpstr>
      <vt:lpstr>AtGlance</vt:lpstr>
      <vt:lpstr>FutureEPS</vt:lpstr>
      <vt:lpstr>Intrinsic Values</vt:lpstr>
      <vt:lpstr>Dhandho IV</vt:lpstr>
      <vt:lpstr>Ben Graham Formula</vt:lpstr>
      <vt:lpstr>DCF</vt:lpstr>
      <vt:lpstr>Expected Returns</vt:lpstr>
      <vt:lpstr>Customization</vt:lpstr>
      <vt:lpstr>Data Sheet</vt:lpstr>
      <vt:lpstr>UPDATE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Pratyush</dc:creator>
  <cp:lastModifiedBy>Sumit</cp:lastModifiedBy>
  <cp:lastPrinted>2012-12-06T18:14:13Z</cp:lastPrinted>
  <dcterms:created xsi:type="dcterms:W3CDTF">2012-08-17T09:55:37Z</dcterms:created>
  <dcterms:modified xsi:type="dcterms:W3CDTF">2024-04-14T07:09:15Z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-203067619</vt:i4>
  </property>
  <property fmtid="{D5CDD505-2E9C-101B-9397-08002B2CF9AE}" pid="3" name="_NewReviewCycle">
    <vt:lpwstr/>
  </property>
  <property fmtid="{D5CDD505-2E9C-101B-9397-08002B2CF9AE}" pid="4" name="_EmailSubject">
    <vt:lpwstr>personal || data analytics ||</vt:lpwstr>
  </property>
  <property fmtid="{D5CDD505-2E9C-101B-9397-08002B2CF9AE}" pid="5" name="_AuthorEmail">
    <vt:lpwstr>sumitkumar.malik@airbus.com</vt:lpwstr>
  </property>
  <property fmtid="{D5CDD505-2E9C-101B-9397-08002B2CF9AE}" pid="6" name="_AuthorEmailDisplayName">
    <vt:lpwstr>MALIK, Sumit Kumar</vt:lpwstr>
  </property>
  <property fmtid="{D5CDD505-2E9C-101B-9397-08002B2CF9AE}" pid="7" name="_PreviousAdHocReviewCycleID">
    <vt:i4>722318094</vt:i4>
  </property>
  <property fmtid="{D5CDD505-2E9C-101B-9397-08002B2CF9AE}" pid="8" name="_ReviewingToolsShownOnce">
    <vt:lpwstr/>
  </property>
</Properties>
</file>