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4.xml" ContentType="application/vnd.openxmlformats-officedocument.drawing+xml"/>
  <Override PartName="/xl/comments8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drawings/drawing7.xml" ContentType="application/vnd.openxmlformats-officedocument.drawing+xml"/>
  <Override PartName="/xl/embeddings/oleObject1.bin" ContentType="application/vnd.openxmlformats-officedocument.oleObject"/>
  <Override PartName="/xl/comments10.xml" ContentType="application/vnd.openxmlformats-officedocument.spreadsheetml.comments+xml"/>
  <Override PartName="/xl/drawings/drawing8.xml" ContentType="application/vnd.openxmlformats-officedocument.drawing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gurk\OneDrive\Masaüstü\"/>
    </mc:Choice>
  </mc:AlternateContent>
  <xr:revisionPtr revIDLastSave="0" documentId="8_{3FBAC3F1-3A9D-481C-86F7-14F1F7EAD7E7}" xr6:coauthVersionLast="47" xr6:coauthVersionMax="47" xr10:uidLastSave="{00000000-0000-0000-0000-000000000000}"/>
  <bookViews>
    <workbookView xWindow="-120" yWindow="-120" windowWidth="20730" windowHeight="11160" firstSheet="13" activeTab="14" xr2:uid="{92879BFF-EE77-416C-A132-161E2498C9B8}"/>
  </bookViews>
  <sheets>
    <sheet name="Verilenler" sheetId="1" r:id="rId1"/>
    <sheet name="Özgül Hız" sheetId="2" r:id="rId2"/>
    <sheet name="Genel Verim" sheetId="4" r:id="rId3"/>
    <sheet name="Efektif Güç ve Motor Gücü" sheetId="3" r:id="rId4"/>
    <sheet name="Mil Çapı" sheetId="5" r:id="rId5"/>
    <sheet name="Çark Giriş Hesabı" sheetId="6" r:id="rId6"/>
    <sheet name="Çark Çıkış Hesabı" sheetId="7" r:id="rId7"/>
    <sheet name="Kanat Sayısı ve Kayma" sheetId="8" r:id="rId8"/>
    <sheet name="Çark Genişlikleri" sheetId="9" r:id="rId9"/>
    <sheet name="Minimum Kanat Yüzeyi" sheetId="10" r:id="rId10"/>
    <sheet name="Difüzör" sheetId="11" r:id="rId11"/>
    <sheet name="Salyangoz Hesabı" sheetId="13" r:id="rId12"/>
    <sheet name="İşletme Büyüklüklükleri" sheetId="14" r:id="rId13"/>
    <sheet name="Toplam Kayıplar" sheetId="15" r:id="rId14"/>
    <sheet name="Eksenel-Radyal İtme" sheetId="16" r:id="rId15"/>
    <sheet name="Rulman Seçimi" sheetId="17" r:id="rId16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7" l="1"/>
  <c r="B4" i="17"/>
  <c r="A4" i="17"/>
  <c r="B5" i="16"/>
  <c r="C2" i="16"/>
  <c r="B2" i="16"/>
  <c r="A2" i="16"/>
  <c r="C11" i="6"/>
  <c r="D5" i="15"/>
  <c r="B10" i="15"/>
  <c r="B15" i="14"/>
  <c r="C5" i="15"/>
  <c r="C27" i="14"/>
  <c r="C23" i="14"/>
  <c r="B10" i="14"/>
  <c r="F3" i="14"/>
  <c r="E3" i="14"/>
  <c r="D3" i="14"/>
  <c r="A11" i="6"/>
  <c r="C7" i="14"/>
  <c r="C6" i="14"/>
  <c r="D8" i="13"/>
  <c r="E8" i="13"/>
  <c r="B12" i="13" s="1"/>
  <c r="B14" i="13" s="1"/>
  <c r="C8" i="13"/>
  <c r="B8" i="13"/>
  <c r="A8" i="13"/>
  <c r="C5" i="4"/>
  <c r="C12" i="13" l="1"/>
  <c r="C14" i="13" s="1"/>
  <c r="F8" i="13"/>
  <c r="D12" i="13"/>
  <c r="D14" i="13" s="1"/>
  <c r="A12" i="13"/>
  <c r="A14" i="13" s="1"/>
  <c r="A4" i="7"/>
  <c r="B4" i="7" s="1"/>
  <c r="B7" i="6"/>
  <c r="C2" i="4"/>
  <c r="C7" i="6" l="1"/>
  <c r="F2" i="2"/>
  <c r="B2" i="4"/>
  <c r="A2" i="3" s="1"/>
  <c r="A2" i="2"/>
  <c r="B2" i="2" s="1"/>
  <c r="J28" i="6" l="1" a="1"/>
  <c r="J28" i="6" s="1"/>
  <c r="L33" i="4" a="1"/>
  <c r="L33" i="4" s="1"/>
  <c r="L34" i="4" s="1"/>
  <c r="K33" i="4" a="1"/>
  <c r="K33" i="4" s="1"/>
  <c r="K34" i="4" s="1"/>
  <c r="A5" i="3"/>
  <c r="B2" i="3" s="1"/>
  <c r="C2" i="3" s="1"/>
  <c r="A2" i="5"/>
  <c r="I28" i="6" a="1"/>
  <c r="I28" i="6" s="1"/>
  <c r="B2" i="5" l="1" a="1"/>
  <c r="B2" i="5" s="1"/>
  <c r="C2" i="5" s="1"/>
  <c r="A12" i="6" s="1"/>
  <c r="J32" i="6"/>
  <c r="J30" i="6"/>
  <c r="J31" i="6"/>
  <c r="J29" i="6"/>
  <c r="I29" i="6"/>
  <c r="I31" i="6"/>
  <c r="I30" i="6"/>
  <c r="I32" i="6"/>
  <c r="E7" i="6" l="1"/>
  <c r="C21" i="14" s="1"/>
  <c r="B11" i="6"/>
  <c r="B11" i="14"/>
  <c r="B12" i="14"/>
  <c r="B3" i="6"/>
  <c r="A7" i="7" s="1"/>
  <c r="A14" i="6"/>
  <c r="B14" i="6" s="1"/>
  <c r="D3" i="6"/>
  <c r="A3" i="6"/>
  <c r="E11" i="6"/>
  <c r="C3" i="6"/>
  <c r="D3" i="7" s="1"/>
  <c r="E2" i="15" l="1"/>
  <c r="F2" i="15" s="1"/>
  <c r="A2" i="15" s="1"/>
  <c r="C25" i="14"/>
  <c r="D27" i="14"/>
  <c r="C14" i="6"/>
  <c r="B2" i="10"/>
  <c r="B7" i="7"/>
  <c r="D11" i="6"/>
  <c r="D14" i="6" s="1"/>
  <c r="A2" i="7"/>
  <c r="B2" i="7" s="1"/>
  <c r="D24" i="14" l="1"/>
  <c r="C2" i="7"/>
  <c r="E14" i="6"/>
  <c r="D2" i="8" l="1"/>
  <c r="B2" i="8" s="1"/>
  <c r="C4" i="7"/>
  <c r="A2" i="10"/>
  <c r="C7" i="7"/>
  <c r="B4" i="11" s="1"/>
  <c r="D4" i="11" s="1"/>
  <c r="C5" i="10" l="1"/>
  <c r="B8" i="10"/>
  <c r="C2" i="9"/>
  <c r="B2" i="9" s="1"/>
  <c r="C5" i="9"/>
  <c r="B5" i="9" s="1"/>
  <c r="D7" i="7"/>
  <c r="B5" i="10"/>
  <c r="C2" i="10"/>
  <c r="D2" i="10" s="1"/>
  <c r="A8" i="10" s="1"/>
  <c r="C2" i="8"/>
  <c r="E2" i="8" s="1"/>
  <c r="C6" i="8" s="1"/>
  <c r="D9" i="10" l="1"/>
  <c r="E9" i="10" s="1"/>
  <c r="D6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Uğur Kızılöz</author>
    <author>tc={69D64D88-AD98-438D-B46A-5AAFF90FE4C7}</author>
  </authors>
  <commentList>
    <comment ref="D1" authorId="0" shapeId="0" xr:uid="{7D608896-A7A3-4481-A991-6491B30C92FE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Normal/Temiz su için
    γ=1000 kg/m³</t>
        </r>
      </text>
    </comment>
    <comment ref="A4" authorId="1" shapeId="0" xr:uid="{69D64D88-AD98-438D-B46A-5AAFF90FE4C7}">
      <text>
        <t>[Yorum yazışması]
Excel sürümünüz bu yorum yazışmasını okumanıza izin veriyor, ancak dosya daha yeni bir Excel sürümünde açılırsa, yapılan düzenlemeler kaldırılır. Daha fazla bilgi: https://go.microsoft.com/fwlink/?linkid=870924.
Açıklama:
    Tüm tablolarda sadece mavi renkli hücreler için giriş yapınız. Giriş değerleri; verilen değerler, grafikten okunan değerler veya açılır listeden seçilen değerler olacktır. Girilen mavi hücreler sonucunda renksiz hücreler hesap sonuçlarını verecektir.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Uğur Kızılöz</author>
  </authors>
  <commentList>
    <comment ref="E1" authorId="0" shapeId="0" xr:uid="{B66394F6-C451-4FCC-B7FA-32DD25F194C1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Manometrik Yükseklik 40-50 metrenin üzerinde istendiğinde tek kademe ile sağlamaya çalışmak verimi düşüreceğinden kademe sayısı artırılır.
Her bir kademeye denk gelecek yükseklik 15-30 metre arası seçilir.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Uğur Kızılöz</author>
  </authors>
  <commentList>
    <comment ref="A1" authorId="0" shapeId="0" xr:uid="{6F8D8ECA-AA87-4574-8FED-1E81760C4BAC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Genel verimin değeri,
Özgül hız ve Debiye bağlı olarak yandaki
tablodan okunur.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Uğur Kızılöz</author>
  </authors>
  <commentList>
    <comment ref="A1" authorId="0" shapeId="0" xr:uid="{DDF639B1-E7ED-4956-ADFA-D7A3922C942C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Kayma emniyet gerilmesi τ=120 kg/cm² alınabilen normal mil çeliği için kullanılan formüldür.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Uğur Kızılöz</author>
  </authors>
  <commentList>
    <comment ref="C2" authorId="0" shapeId="0" xr:uid="{5B54EBB3-E4E0-4D8D-AFEB-74CFA2B0900E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Seçilen </t>
        </r>
        <r>
          <rPr>
            <sz val="12"/>
            <color indexed="81"/>
            <rFont val="Tahoma"/>
            <family val="2"/>
            <charset val="162"/>
          </rPr>
          <t>C</t>
        </r>
        <r>
          <rPr>
            <sz val="8"/>
            <color indexed="81"/>
            <rFont val="Tahoma"/>
            <family val="2"/>
            <charset val="162"/>
          </rPr>
          <t>0</t>
        </r>
        <r>
          <rPr>
            <sz val="9"/>
            <color indexed="81"/>
            <rFont val="Tahoma"/>
            <family val="2"/>
            <charset val="162"/>
          </rPr>
          <t xml:space="preserve"> hızına göre hesaplanan </t>
        </r>
        <r>
          <rPr>
            <sz val="12"/>
            <color indexed="81"/>
            <rFont val="Tahoma"/>
            <family val="2"/>
            <charset val="162"/>
          </rPr>
          <t>D</t>
        </r>
        <r>
          <rPr>
            <sz val="8"/>
            <color indexed="81"/>
            <rFont val="Tahoma"/>
            <family val="2"/>
            <charset val="162"/>
          </rPr>
          <t>1</t>
        </r>
        <r>
          <rPr>
            <sz val="9"/>
            <color indexed="81"/>
            <rFont val="Tahoma"/>
            <family val="2"/>
            <charset val="162"/>
          </rPr>
          <t xml:space="preserve"> çapı ve </t>
        </r>
        <r>
          <rPr>
            <sz val="12"/>
            <color indexed="81"/>
            <rFont val="Tahoma"/>
            <family val="2"/>
            <charset val="162"/>
          </rPr>
          <t>D</t>
        </r>
        <r>
          <rPr>
            <sz val="8"/>
            <color indexed="81"/>
            <rFont val="Tahoma"/>
            <family val="2"/>
            <charset val="162"/>
          </rPr>
          <t>2</t>
        </r>
        <r>
          <rPr>
            <sz val="9"/>
            <color indexed="81"/>
            <rFont val="Tahoma"/>
            <family val="2"/>
            <charset val="162"/>
          </rPr>
          <t xml:space="preserve"> çaplarının oranlarının kontrolü için bu hücre kontrol edilir. Bu orana yaklaşan bir </t>
        </r>
        <r>
          <rPr>
            <sz val="12"/>
            <color indexed="81"/>
            <rFont val="Tahoma"/>
            <family val="2"/>
            <charset val="162"/>
          </rPr>
          <t>D</t>
        </r>
        <r>
          <rPr>
            <sz val="8"/>
            <color indexed="81"/>
            <rFont val="Tahoma"/>
            <family val="2"/>
            <charset val="162"/>
          </rPr>
          <t>1</t>
        </r>
        <r>
          <rPr>
            <sz val="9"/>
            <color indexed="81"/>
            <rFont val="Tahoma"/>
            <family val="2"/>
            <charset val="162"/>
          </rPr>
          <t xml:space="preserve"> çapı elde edene kadar </t>
        </r>
        <r>
          <rPr>
            <sz val="12"/>
            <color indexed="81"/>
            <rFont val="Tahoma"/>
            <family val="2"/>
            <charset val="162"/>
          </rPr>
          <t>C</t>
        </r>
        <r>
          <rPr>
            <sz val="8"/>
            <color indexed="81"/>
            <rFont val="Tahoma"/>
            <family val="2"/>
            <charset val="162"/>
          </rPr>
          <t>0</t>
        </r>
        <r>
          <rPr>
            <sz val="9"/>
            <color indexed="81"/>
            <rFont val="Tahoma"/>
            <family val="2"/>
            <charset val="162"/>
          </rPr>
          <t xml:space="preserve"> seçimi değiştirilir.</t>
        </r>
      </text>
    </comment>
    <comment ref="G2" authorId="0" shapeId="0" xr:uid="{5A20CAAE-5FE1-469E-AA2E-5E9B0772E64A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Kanat yer kaplama kat sayıları</t>
        </r>
      </text>
    </comment>
    <comment ref="A6" authorId="0" shapeId="0" xr:uid="{D63FC077-44B7-418B-9101-84D5253809A8}">
      <text>
        <r>
          <rPr>
            <b/>
            <sz val="9"/>
            <color indexed="81"/>
            <rFont val="Tahoma"/>
            <family val="2"/>
            <charset val="162"/>
          </rPr>
          <t xml:space="preserve">Uğur Kızılöz:
</t>
        </r>
        <r>
          <rPr>
            <b/>
            <sz val="12"/>
            <color indexed="81"/>
            <rFont val="Tahoma"/>
            <family val="2"/>
            <charset val="162"/>
          </rPr>
          <t>D</t>
        </r>
        <r>
          <rPr>
            <b/>
            <sz val="8"/>
            <color indexed="81"/>
            <rFont val="Tahoma"/>
            <family val="2"/>
            <charset val="162"/>
          </rPr>
          <t>0</t>
        </r>
        <r>
          <rPr>
            <sz val="11"/>
            <color indexed="81"/>
            <rFont val="Tahoma"/>
            <family val="2"/>
            <charset val="162"/>
          </rPr>
          <t xml:space="preserve"> </t>
        </r>
        <r>
          <rPr>
            <sz val="9"/>
            <color indexed="81"/>
            <rFont val="Tahoma"/>
            <family val="2"/>
            <charset val="162"/>
          </rPr>
          <t xml:space="preserve">çapı belirlenebilmesi için </t>
        </r>
        <r>
          <rPr>
            <b/>
            <sz val="12"/>
            <color indexed="81"/>
            <rFont val="Tahoma"/>
            <family val="2"/>
            <charset val="162"/>
          </rPr>
          <t>C</t>
        </r>
        <r>
          <rPr>
            <b/>
            <sz val="8"/>
            <color indexed="81"/>
            <rFont val="Tahoma"/>
            <family val="2"/>
            <charset val="162"/>
          </rPr>
          <t>0</t>
        </r>
        <r>
          <rPr>
            <sz val="9"/>
            <color indexed="81"/>
            <rFont val="Tahoma"/>
            <family val="2"/>
            <charset val="162"/>
          </rPr>
          <t xml:space="preserve"> değeri </t>
        </r>
        <r>
          <rPr>
            <b/>
            <sz val="9"/>
            <color indexed="81"/>
            <rFont val="Tahoma"/>
            <family val="2"/>
            <charset val="162"/>
          </rPr>
          <t>2.5</t>
        </r>
        <r>
          <rPr>
            <sz val="9"/>
            <color indexed="81"/>
            <rFont val="Tahoma"/>
            <family val="2"/>
            <charset val="162"/>
          </rPr>
          <t xml:space="preserve"> ile </t>
        </r>
        <r>
          <rPr>
            <b/>
            <sz val="9"/>
            <color indexed="81"/>
            <rFont val="Tahoma"/>
            <family val="2"/>
            <charset val="162"/>
          </rPr>
          <t>5 m/s</t>
        </r>
        <r>
          <rPr>
            <sz val="9"/>
            <color indexed="81"/>
            <rFont val="Tahoma"/>
            <family val="2"/>
            <charset val="162"/>
          </rPr>
          <t xml:space="preserve"> arasında olmak şartı ile seçilir.</t>
        </r>
      </text>
    </comment>
    <comment ref="B6" authorId="0" shapeId="0" xr:uid="{67A1A91A-FA23-4BAD-AEDB-0D5CE931BCE9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Çark kanallarına girmedenki yaklaşım hızı.</t>
        </r>
      </text>
    </comment>
    <comment ref="C6" authorId="0" shapeId="0" xr:uid="{BB5674BD-5D9A-42F8-86A2-1FC22A987A4B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Çark kanallarına girdikten sonraki hızı.</t>
        </r>
      </text>
    </comment>
    <comment ref="D6" authorId="0" shapeId="0" xr:uid="{2AE2194B-088F-40FD-8A5E-9C8E9B9A48F4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Emme hızı yandaki grafikten okunur.</t>
        </r>
      </text>
    </comment>
    <comment ref="E6" authorId="0" shapeId="0" xr:uid="{93B66C99-6CCF-4425-B38F-B81EE96EEC33}">
      <text>
        <r>
          <rPr>
            <b/>
            <sz val="9"/>
            <color indexed="81"/>
            <rFont val="Tahoma"/>
            <family val="2"/>
            <charset val="162"/>
          </rPr>
          <t xml:space="preserve">Uğur Kızılöz:
</t>
        </r>
        <r>
          <rPr>
            <sz val="9"/>
            <color indexed="81"/>
            <rFont val="Tahoma"/>
            <family val="2"/>
            <charset val="162"/>
          </rPr>
          <t>Ampirik formülle hesaplanan A12 hücresindeki emme çapı (De=D0) için yeniden hesaplanan emme hızı Ve.</t>
        </r>
      </text>
    </comment>
    <comment ref="A10" authorId="0" shapeId="0" xr:uid="{976E63D4-935F-4F37-AAD4-95891A4CBF58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Boru çapı normlarına  uygun olması açısından formül sonuna ekleme yaparak değiştirilebilir. </t>
        </r>
      </text>
    </comment>
    <comment ref="A12" authorId="0" shapeId="0" xr:uid="{815C5950-D4E5-4836-BDCF-F38DD22A6585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Cahit Özgür Su Makinaları Kitaptaki formüle göre.</t>
        </r>
      </text>
    </comment>
    <comment ref="A13" authorId="0" shapeId="0" xr:uid="{C8705D78-CB80-41F4-B664-0B329878ABD6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Optimum çalışma noktasında, giriş hız üçgeninde α₁=90°, Cu₁=0, C₁=Cm₁ için 
Kanat girişinde akışkanın hızı</t>
        </r>
      </text>
    </comment>
    <comment ref="B13" authorId="0" shapeId="0" xr:uid="{61053BA7-BB43-4CFC-8C37-9FE762F4ABFF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Akışkanın kanala şoksuz ve minimum türbülansla girişi için normalde hesaplanan β₁ açısına 2 derece eklenerek β₁k açısı hesaplanmıştır. </t>
        </r>
      </text>
    </comment>
    <comment ref="E13" authorId="0" shapeId="0" xr:uid="{2EA41618-6D24-4212-9E96-BA66974C0800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Eğer (β₁i - β₁d) &lt; 6° oluyorsa kanatlar silindirik imal edilebilir.</t>
        </r>
      </text>
    </comment>
    <comment ref="H20" authorId="0" shapeId="0" xr:uid="{27FD6AA3-7A17-43FA-9217-12BEDD480767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Tek bir çarkın hesabı yapıldığı için her bir kademedeki çarka denk gelen özgül hız hesaba alınacaktır.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Uğur Kızılöz</author>
  </authors>
  <commentList>
    <comment ref="A1" authorId="0" shapeId="0" xr:uid="{B6410600-2C6B-41D5-8D82-1D876E812D05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Hız katsayısı olan ku2 değeri ile hesaplanan U2 hızıdır.</t>
        </r>
      </text>
    </comment>
    <comment ref="A3" authorId="0" shapeId="0" xr:uid="{1A68D7EC-3B60-4C7A-80F9-25AB3AD96297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Basınç katsayısı olan ψ değeri ile hesaplanan U2 hızıdır.</t>
        </r>
      </text>
    </comment>
    <comment ref="A6" authorId="0" shapeId="0" xr:uid="{9456C3D8-2DCA-41BB-B88E-AB112721222C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Çark çıkışındaki meridyen hız.</t>
        </r>
      </text>
    </comment>
    <comment ref="B6" authorId="0" shapeId="0" xr:uid="{914E02CB-976C-4A69-9167-17C50498506F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Suyun kanadı terkettikten sonraki hızı.</t>
        </r>
      </text>
    </comment>
    <comment ref="C6" authorId="0" shapeId="0" xr:uid="{85E95A87-AAF0-4245-9A4A-3CA139AF7504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Gerçek hız üçgenindeki mutlak hızın teğetsel bileşeni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Uğur Kızılöz</author>
  </authors>
  <commentList>
    <comment ref="C1" authorId="0" shapeId="0" xr:uid="{6BED2371-95E2-40BA-897E-E61C921AE894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Sonsuz Kanat Hali için (Teorik) Teğetsel Hız Bileşeni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Uğur Kızılöz</author>
  </authors>
  <commentList>
    <comment ref="A4" authorId="0" shapeId="0" xr:uid="{BD8E820C-D119-41C4-B85A-D66B05E6839A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α₁=90° olduğu optimum çalışma şartlarında Cu₁=0 ve r₁=0</t>
        </r>
      </text>
    </comment>
    <comment ref="D4" authorId="0" shapeId="0" xr:uid="{B9FE81DF-E0F0-473A-81F5-DB2153B1CD10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Grafikten Okunur.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Uğur Kızılöz</author>
  </authors>
  <commentList>
    <comment ref="E7" authorId="0" shapeId="0" xr:uid="{7AF6521C-DA0B-4725-A2B3-4C3ED7C6B51F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Salyangoz İçindeki Ortalama Hız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Uğur Kızılöz</author>
  </authors>
  <commentList>
    <comment ref="A2" authorId="0" shapeId="0" xr:uid="{15B2F951-26A0-414C-93E0-27E2A0E9EE5C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Kayıpların 0 olduğu mükemmel bir pompanın deniz seviyesindeki maksimum emme yüksekliği 10.33 mSS olur.</t>
        </r>
      </text>
    </comment>
    <comment ref="A5" authorId="0" shapeId="0" xr:uid="{0856EA4F-8884-4042-BC49-6FBB4F43D958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Kavitasyon faktörü özgül hız değerine göre yandaki grafikten okunur.</t>
        </r>
      </text>
    </comment>
    <comment ref="B5" authorId="0" shapeId="0" xr:uid="{527692D6-DFD7-45EF-A035-A3C0AA93D686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Kavitasyon faktörü pompa giriş sayısına göre ampirik formül ile hesaplanır. Kademeli pompalarda emme tarafındaki kademenin özgül hızı ve Hm'ye göre hesaplanır.</t>
        </r>
      </text>
    </comment>
    <comment ref="A9" authorId="0" shapeId="0" xr:uid="{89DF1C0E-9462-419E-BF75-8BC4180ECCC3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Kullanılan malzemeyi açılır listeden seçiniz. Malzemeye göre pürüzlülük katsayısı (ks) gelecektir. Farklı malzemeler için farklı ks araştırılması gerekir.</t>
        </r>
      </text>
    </comment>
    <comment ref="A13" authorId="0" shapeId="0" xr:uid="{91ED143E-C003-42F8-8114-CCBCD27CF5A7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Moody diagramından okunurak mavi alana girilir.</t>
        </r>
      </text>
    </comment>
    <comment ref="A14" authorId="0" shapeId="0" xr:uid="{622C136A-C6EB-4CE4-9128-7DC98B69A1B2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Açılır Listeden Seçiniz.</t>
        </r>
      </text>
    </comment>
    <comment ref="A16" authorId="0" shapeId="0" xr:uid="{D2FAB754-B015-4561-BE2A-73D346ABA6CE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Açılır Listeden Seçiniz.</t>
        </r>
      </text>
    </comment>
    <comment ref="A17" authorId="0" shapeId="0" xr:uid="{3E3C3E36-417E-48F4-A5A9-F0820B7A1612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Açılır listeden seçiniz.</t>
        </r>
      </text>
    </comment>
    <comment ref="C20" authorId="0" shapeId="0" xr:uid="{53FE1337-B704-48BE-80D3-1A133EC9ABAC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Emme tarafındaki toplam basınç kaybını metre su sütunu olarak ifade eder.</t>
        </r>
      </text>
    </comment>
    <comment ref="C22" authorId="0" shapeId="0" xr:uid="{46D018D4-F377-414C-A359-16C720DC9334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</t>
        </r>
        <r>
          <rPr>
            <sz val="14"/>
            <color indexed="81"/>
            <rFont val="Tahoma"/>
            <family val="2"/>
            <charset val="162"/>
          </rPr>
          <t>σ</t>
        </r>
        <r>
          <rPr>
            <sz val="8"/>
            <color indexed="81"/>
            <rFont val="Tahoma"/>
            <family val="2"/>
            <charset val="162"/>
          </rPr>
          <t>mevcut</t>
        </r>
        <r>
          <rPr>
            <sz val="9"/>
            <color indexed="81"/>
            <rFont val="Tahoma"/>
            <family val="2"/>
            <charset val="162"/>
          </rPr>
          <t xml:space="preserve"> yaklaşık olarak </t>
        </r>
        <r>
          <rPr>
            <sz val="14"/>
            <color indexed="81"/>
            <rFont val="Tahoma"/>
            <family val="2"/>
            <charset val="162"/>
          </rPr>
          <t>σ</t>
        </r>
        <r>
          <rPr>
            <sz val="8"/>
            <color indexed="81"/>
            <rFont val="Tahoma"/>
            <family val="2"/>
            <charset val="162"/>
          </rPr>
          <t xml:space="preserve">kritik </t>
        </r>
        <r>
          <rPr>
            <sz val="9"/>
            <color indexed="81"/>
            <rFont val="Tahoma"/>
            <family val="2"/>
            <charset val="162"/>
          </rPr>
          <t>değerinin 1.1 katı olarak alınır. Daha sonra ENPY değeri ile sağlaması yapılır.</t>
        </r>
      </text>
    </comment>
    <comment ref="C24" authorId="0" shapeId="0" xr:uid="{7E518585-ED82-4EAA-BFAD-8AC11E091A0B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Pompanın maksimum emme derinliğinin metre su sütunu cinsinden değeridir.</t>
        </r>
      </text>
    </comment>
    <comment ref="C26" authorId="0" shapeId="0" xr:uid="{0DD063FD-F5C5-4ABE-B130-C79D61A5D7B2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Emmedeki Net Pozitif Yük</t>
        </r>
      </text>
    </comment>
    <comment ref="D26" authorId="0" shapeId="0" xr:uid="{268DE3E7-AD2F-492E-B7F8-3B44B44A7C5E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Bulunan ENPY değeri için Hs-max değeri yeniden hesaplanır ve önceki değeri ile karşılaştırılır.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Uğur Kızılöz</author>
  </authors>
  <commentList>
    <comment ref="E1" authorId="0" shapeId="0" xr:uid="{215F8733-19EB-4A7C-8218-B2E831B58EC2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Toplam Kayıplar</t>
        </r>
      </text>
    </comment>
    <comment ref="F1" authorId="0" shapeId="0" xr:uid="{FE935CD6-C0FD-4979-B8FE-F129B89E41F2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Akan su hızı nedeniyle kayıp eklenmiş toplam kayıp.</t>
        </r>
      </text>
    </comment>
    <comment ref="A4" authorId="0" shapeId="0" xr:uid="{90D44C71-4E0A-4AE2-9F0B-47A847CCB13A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Basma boruları uzunluğu, tasarlanan sistemde pompa çıkışından rezervuara aktarıldığı eksene kadar olan boru uzunluğudur. Çalışma amacına göre tasarlanır veya standartlardan seçilir.</t>
        </r>
      </text>
    </comment>
    <comment ref="B4" authorId="0" shapeId="0" xr:uid="{68B13F90-5498-4E6D-BF8F-CFEF4ACF543E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Basma borularının çapıdır. Çalışma amacına göre tasarlanır veya standartlardan seçilir.</t>
        </r>
      </text>
    </comment>
    <comment ref="A7" authorId="0" shapeId="0" xr:uid="{EE9A0522-D258-4360-A5BE-6DA35F0EDAD7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Açılır listeden seçiniz.</t>
        </r>
      </text>
    </comment>
    <comment ref="A8" authorId="0" shapeId="0" xr:uid="{67C235B4-94D1-4149-A301-0115CF3232F9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Açılır Listeden Seçiniz.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Uğur Kızılöz</author>
  </authors>
  <commentList>
    <comment ref="A1" authorId="0" shapeId="0" xr:uid="{193EA6CA-133D-47DE-9EE1-E8095DAB9838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Çarkı emme tarafına doğru iten kuvvet.</t>
        </r>
      </text>
    </comment>
    <comment ref="B1" authorId="0" shapeId="0" xr:uid="{63DE89B3-272C-400D-9E6C-D8DED3B0F623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Çark girişinde hareket miktarı değişiminden kaynaklanan kuvvet.</t>
        </r>
      </text>
    </comment>
    <comment ref="C1" authorId="0" shapeId="0" xr:uid="{E3265B23-A289-4AC9-AF58-FB190FF44108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Toplam eksenel kuvvet.</t>
        </r>
      </text>
    </comment>
    <comment ref="A4" authorId="0" shapeId="0" xr:uid="{79DE74A4-211D-4B5A-BC46-036E1C54EB36}">
      <text>
        <r>
          <rPr>
            <b/>
            <sz val="9"/>
            <color indexed="81"/>
            <rFont val="Tahoma"/>
            <family val="2"/>
            <charset val="162"/>
          </rPr>
          <t>Uğur Kızılöz:</t>
        </r>
        <r>
          <rPr>
            <sz val="9"/>
            <color indexed="81"/>
            <rFont val="Tahoma"/>
            <family val="2"/>
            <charset val="162"/>
          </rPr>
          <t xml:space="preserve">
Açılır listeden yaklaşık değeri seçiniz.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<sst xmlns="http://schemas.openxmlformats.org/spreadsheetml/2006/main" count="203" uniqueCount="191">
  <si>
    <t>Pompa Tipi</t>
  </si>
  <si>
    <t>Tam Santrifüj</t>
  </si>
  <si>
    <t>Yarı ve Heliko Santrifüj</t>
  </si>
  <si>
    <t>Yarı Eksenel</t>
  </si>
  <si>
    <t>Eksenel</t>
  </si>
  <si>
    <t>Kademe Sayısı (i)</t>
  </si>
  <si>
    <t>α</t>
  </si>
  <si>
    <r>
      <rPr>
        <b/>
        <sz val="18"/>
        <color theme="1"/>
        <rFont val="Calibri"/>
        <family val="2"/>
        <charset val="162"/>
        <scheme val="minor"/>
      </rPr>
      <t>n</t>
    </r>
    <r>
      <rPr>
        <b/>
        <sz val="11"/>
        <color theme="1"/>
        <rFont val="Calibri"/>
        <family val="2"/>
        <charset val="162"/>
        <scheme val="minor"/>
      </rPr>
      <t>s</t>
    </r>
    <r>
      <rPr>
        <sz val="11"/>
        <color theme="1"/>
        <rFont val="Calibri"/>
        <family val="2"/>
        <charset val="162"/>
        <scheme val="minor"/>
      </rPr>
      <t xml:space="preserve"> bir altı</t>
    </r>
  </si>
  <si>
    <r>
      <rPr>
        <b/>
        <sz val="18"/>
        <color theme="1"/>
        <rFont val="Calibri"/>
        <family val="2"/>
        <charset val="162"/>
        <scheme val="minor"/>
      </rPr>
      <t>n</t>
    </r>
    <r>
      <rPr>
        <b/>
        <sz val="11"/>
        <color theme="1"/>
        <rFont val="Calibri"/>
        <family val="2"/>
        <charset val="162"/>
        <scheme val="minor"/>
      </rPr>
      <t>s</t>
    </r>
    <r>
      <rPr>
        <sz val="11"/>
        <color theme="1"/>
        <rFont val="Calibri"/>
        <family val="2"/>
        <charset val="162"/>
        <scheme val="minor"/>
      </rPr>
      <t xml:space="preserve"> bir üzeri</t>
    </r>
  </si>
  <si>
    <r>
      <rPr>
        <b/>
        <sz val="18"/>
        <color theme="1"/>
        <rFont val="Calibri"/>
        <family val="2"/>
        <charset val="162"/>
        <scheme val="minor"/>
      </rPr>
      <t>n</t>
    </r>
    <r>
      <rPr>
        <b/>
        <sz val="11"/>
        <color theme="1"/>
        <rFont val="Calibri"/>
        <family val="2"/>
        <charset val="162"/>
        <scheme val="minor"/>
      </rPr>
      <t>s</t>
    </r>
  </si>
  <si>
    <r>
      <rPr>
        <b/>
        <sz val="16"/>
        <color theme="1"/>
        <rFont val="Calibri"/>
        <family val="2"/>
        <charset val="162"/>
        <scheme val="minor"/>
      </rPr>
      <t>k</t>
    </r>
    <r>
      <rPr>
        <b/>
        <sz val="11"/>
        <color theme="1"/>
        <rFont val="Calibri"/>
        <family val="2"/>
        <charset val="162"/>
        <scheme val="minor"/>
      </rPr>
      <t>u</t>
    </r>
    <r>
      <rPr>
        <b/>
        <sz val="6"/>
        <color theme="1"/>
        <rFont val="Calibri"/>
        <family val="2"/>
        <charset val="162"/>
        <scheme val="minor"/>
      </rPr>
      <t>2</t>
    </r>
  </si>
  <si>
    <r>
      <rPr>
        <b/>
        <sz val="11"/>
        <color theme="1"/>
        <rFont val="Calibri"/>
        <family val="2"/>
        <charset val="162"/>
        <scheme val="minor"/>
      </rPr>
      <t>D</t>
    </r>
    <r>
      <rPr>
        <b/>
        <sz val="6"/>
        <color theme="1"/>
        <rFont val="Calibri"/>
        <family val="2"/>
        <charset val="162"/>
        <scheme val="minor"/>
      </rPr>
      <t>1</t>
    </r>
    <r>
      <rPr>
        <b/>
        <sz val="11"/>
        <color theme="1"/>
        <rFont val="Calibri"/>
        <family val="2"/>
        <charset val="162"/>
        <scheme val="minor"/>
      </rPr>
      <t>/D</t>
    </r>
    <r>
      <rPr>
        <b/>
        <sz val="6"/>
        <color theme="1"/>
        <rFont val="Calibri"/>
        <family val="2"/>
        <charset val="162"/>
        <scheme val="minor"/>
      </rPr>
      <t>2</t>
    </r>
  </si>
  <si>
    <r>
      <rPr>
        <b/>
        <sz val="11"/>
        <color theme="1"/>
        <rFont val="Calibri"/>
        <family val="2"/>
        <charset val="162"/>
        <scheme val="minor"/>
      </rPr>
      <t>b</t>
    </r>
    <r>
      <rPr>
        <b/>
        <sz val="6"/>
        <color theme="1"/>
        <rFont val="Calibri"/>
        <family val="2"/>
        <charset val="162"/>
        <scheme val="minor"/>
      </rPr>
      <t>2</t>
    </r>
    <r>
      <rPr>
        <b/>
        <sz val="11"/>
        <color theme="1"/>
        <rFont val="Calibri"/>
        <family val="2"/>
        <charset val="162"/>
        <scheme val="minor"/>
      </rPr>
      <t>/D</t>
    </r>
    <r>
      <rPr>
        <b/>
        <sz val="6"/>
        <color theme="1"/>
        <rFont val="Calibri"/>
        <family val="2"/>
        <charset val="162"/>
        <scheme val="minor"/>
      </rPr>
      <t>2</t>
    </r>
  </si>
  <si>
    <r>
      <rPr>
        <b/>
        <sz val="16"/>
        <color theme="1"/>
        <rFont val="Calibri"/>
        <family val="2"/>
        <charset val="162"/>
        <scheme val="minor"/>
      </rPr>
      <t>k</t>
    </r>
    <r>
      <rPr>
        <b/>
        <sz val="11"/>
        <color theme="1"/>
        <rFont val="Calibri"/>
        <family val="2"/>
        <charset val="162"/>
        <scheme val="minor"/>
      </rPr>
      <t>cm2</t>
    </r>
  </si>
  <si>
    <r>
      <t>D</t>
    </r>
    <r>
      <rPr>
        <b/>
        <sz val="6"/>
        <color theme="1"/>
        <rFont val="Calibri"/>
        <family val="2"/>
        <charset val="162"/>
        <scheme val="minor"/>
      </rPr>
      <t>1</t>
    </r>
    <r>
      <rPr>
        <b/>
        <sz val="11"/>
        <color theme="1"/>
        <rFont val="Calibri"/>
        <family val="2"/>
        <charset val="162"/>
        <scheme val="minor"/>
      </rPr>
      <t>/D</t>
    </r>
    <r>
      <rPr>
        <b/>
        <sz val="6"/>
        <color theme="1"/>
        <rFont val="Calibri"/>
        <family val="2"/>
        <charset val="162"/>
        <scheme val="minor"/>
      </rPr>
      <t>2</t>
    </r>
  </si>
  <si>
    <r>
      <t>b</t>
    </r>
    <r>
      <rPr>
        <b/>
        <sz val="6"/>
        <color theme="1"/>
        <rFont val="Calibri"/>
        <family val="2"/>
        <charset val="162"/>
        <scheme val="minor"/>
      </rPr>
      <t>2</t>
    </r>
    <r>
      <rPr>
        <b/>
        <sz val="11"/>
        <color theme="1"/>
        <rFont val="Calibri"/>
        <family val="2"/>
        <charset val="162"/>
        <scheme val="minor"/>
      </rPr>
      <t>/D</t>
    </r>
    <r>
      <rPr>
        <b/>
        <sz val="6"/>
        <color theme="1"/>
        <rFont val="Calibri"/>
        <family val="2"/>
        <charset val="162"/>
        <scheme val="minor"/>
      </rPr>
      <t>2</t>
    </r>
  </si>
  <si>
    <t>İNTERPOLASYONLU DEĞERLER</t>
  </si>
  <si>
    <r>
      <rPr>
        <b/>
        <sz val="18"/>
        <color rgb="FFC00000"/>
        <rFont val="Calibri"/>
        <family val="2"/>
        <charset val="162"/>
        <scheme val="minor"/>
      </rPr>
      <t>k</t>
    </r>
    <r>
      <rPr>
        <b/>
        <sz val="11"/>
        <color rgb="FFC00000"/>
        <rFont val="Calibri"/>
        <family val="2"/>
        <charset val="162"/>
        <scheme val="minor"/>
      </rPr>
      <t>cm</t>
    </r>
    <r>
      <rPr>
        <b/>
        <sz val="8"/>
        <color rgb="FFC00000"/>
        <rFont val="Calibri"/>
        <family val="2"/>
        <charset val="162"/>
        <scheme val="minor"/>
      </rPr>
      <t>2</t>
    </r>
  </si>
  <si>
    <r>
      <rPr>
        <b/>
        <sz val="18"/>
        <color rgb="FFC00000"/>
        <rFont val="Calibri"/>
        <family val="2"/>
        <charset val="162"/>
        <scheme val="minor"/>
      </rPr>
      <t>D</t>
    </r>
    <r>
      <rPr>
        <b/>
        <sz val="10"/>
        <color rgb="FFC00000"/>
        <rFont val="Calibri"/>
        <family val="2"/>
        <charset val="162"/>
        <scheme val="minor"/>
      </rPr>
      <t>1</t>
    </r>
    <r>
      <rPr>
        <b/>
        <sz val="11"/>
        <color rgb="FFC00000"/>
        <rFont val="Calibri"/>
        <family val="2"/>
        <charset val="162"/>
        <scheme val="minor"/>
      </rPr>
      <t>/</t>
    </r>
    <r>
      <rPr>
        <b/>
        <sz val="18"/>
        <color rgb="FFC00000"/>
        <rFont val="Calibri"/>
        <family val="2"/>
        <charset val="162"/>
        <scheme val="minor"/>
      </rPr>
      <t>D</t>
    </r>
    <r>
      <rPr>
        <b/>
        <sz val="10"/>
        <color rgb="FFC00000"/>
        <rFont val="Calibri"/>
        <family val="2"/>
        <charset val="162"/>
        <scheme val="minor"/>
      </rPr>
      <t>2</t>
    </r>
  </si>
  <si>
    <r>
      <rPr>
        <b/>
        <sz val="18"/>
        <color rgb="FFC00000"/>
        <rFont val="Calibri"/>
        <family val="2"/>
        <charset val="162"/>
        <scheme val="minor"/>
      </rPr>
      <t>b</t>
    </r>
    <r>
      <rPr>
        <b/>
        <sz val="10"/>
        <color rgb="FFC00000"/>
        <rFont val="Calibri"/>
        <family val="2"/>
        <charset val="162"/>
        <scheme val="minor"/>
      </rPr>
      <t>2</t>
    </r>
    <r>
      <rPr>
        <b/>
        <sz val="11"/>
        <color rgb="FFC00000"/>
        <rFont val="Calibri"/>
        <family val="2"/>
        <charset val="162"/>
        <scheme val="minor"/>
      </rPr>
      <t>/</t>
    </r>
    <r>
      <rPr>
        <b/>
        <sz val="18"/>
        <color rgb="FFC00000"/>
        <rFont val="Calibri"/>
        <family val="2"/>
        <charset val="162"/>
        <scheme val="minor"/>
      </rPr>
      <t>D</t>
    </r>
    <r>
      <rPr>
        <b/>
        <sz val="10"/>
        <color rgb="FFC00000"/>
        <rFont val="Calibri"/>
        <family val="2"/>
        <charset val="162"/>
        <scheme val="minor"/>
      </rPr>
      <t>2</t>
    </r>
  </si>
  <si>
    <r>
      <rPr>
        <b/>
        <sz val="18"/>
        <color rgb="FFC00000"/>
        <rFont val="Calibri"/>
        <family val="2"/>
        <charset val="162"/>
        <scheme val="minor"/>
      </rPr>
      <t>C</t>
    </r>
    <r>
      <rPr>
        <b/>
        <sz val="11"/>
        <color rgb="FFC00000"/>
        <rFont val="Calibri"/>
        <family val="2"/>
        <charset val="162"/>
        <scheme val="minor"/>
      </rPr>
      <t>m</t>
    </r>
    <r>
      <rPr>
        <b/>
        <sz val="8"/>
        <color rgb="FFC00000"/>
        <rFont val="Calibri"/>
        <family val="2"/>
        <charset val="162"/>
        <scheme val="minor"/>
      </rPr>
      <t>2</t>
    </r>
    <r>
      <rPr>
        <sz val="11"/>
        <color theme="1"/>
        <rFont val="Calibri"/>
        <family val="2"/>
        <charset val="162"/>
        <scheme val="minor"/>
      </rPr>
      <t xml:space="preserve"> Hızı [m/s]</t>
    </r>
  </si>
  <si>
    <r>
      <t>C</t>
    </r>
    <r>
      <rPr>
        <b/>
        <sz val="6"/>
        <color theme="1"/>
        <rFont val="Calibri"/>
        <family val="2"/>
        <charset val="162"/>
        <scheme val="minor"/>
      </rPr>
      <t>0</t>
    </r>
  </si>
  <si>
    <t>ηk</t>
  </si>
  <si>
    <r>
      <rPr>
        <b/>
        <sz val="14"/>
        <color theme="1"/>
        <rFont val="Arial Tur"/>
        <charset val="162"/>
      </rPr>
      <t>λ</t>
    </r>
    <r>
      <rPr>
        <b/>
        <sz val="14"/>
        <color theme="1"/>
        <rFont val="Times New Roman"/>
        <family val="1"/>
        <charset val="162"/>
      </rPr>
      <t>₂</t>
    </r>
  </si>
  <si>
    <r>
      <rPr>
        <b/>
        <sz val="14"/>
        <color theme="1"/>
        <rFont val="Arial Tur"/>
        <charset val="162"/>
      </rPr>
      <t>λ</t>
    </r>
    <r>
      <rPr>
        <b/>
        <sz val="14"/>
        <color theme="1"/>
        <rFont val="Times New Roman"/>
        <family val="1"/>
        <charset val="162"/>
      </rPr>
      <t>₁</t>
    </r>
  </si>
  <si>
    <t>λ</t>
  </si>
  <si>
    <t>Önemli Açıklama</t>
  </si>
  <si>
    <t>Kanatlar Silindirik İmal Edilebilir mi?</t>
  </si>
  <si>
    <t>Kademeler</t>
  </si>
  <si>
    <r>
      <rPr>
        <b/>
        <sz val="18"/>
        <color rgb="FFC00000"/>
        <rFont val="Calibri"/>
        <family val="2"/>
        <charset val="162"/>
        <scheme val="minor"/>
      </rPr>
      <t>U</t>
    </r>
    <r>
      <rPr>
        <b/>
        <sz val="18"/>
        <color rgb="FFC00000"/>
        <rFont val="Times New Roman"/>
        <family val="1"/>
        <charset val="162"/>
      </rPr>
      <t>₂</t>
    </r>
    <r>
      <rPr>
        <b/>
        <sz val="14"/>
        <color rgb="FFC00000"/>
        <rFont val="Calibri"/>
        <family val="2"/>
        <charset val="162"/>
        <scheme val="minor"/>
      </rPr>
      <t>(k</t>
    </r>
    <r>
      <rPr>
        <b/>
        <sz val="9"/>
        <color rgb="FFC00000"/>
        <rFont val="Calibri"/>
        <family val="2"/>
        <charset val="162"/>
        <scheme val="minor"/>
      </rPr>
      <t>u</t>
    </r>
    <r>
      <rPr>
        <b/>
        <sz val="14"/>
        <color rgb="FFC00000"/>
        <rFont val="Calibri"/>
        <family val="2"/>
        <charset val="162"/>
        <scheme val="minor"/>
      </rPr>
      <t>)</t>
    </r>
    <r>
      <rPr>
        <sz val="11"/>
        <color theme="1"/>
        <rFont val="Calibri"/>
        <family val="2"/>
        <charset val="162"/>
        <scheme val="minor"/>
      </rPr>
      <t xml:space="preserve"> Hızı [m/s]</t>
    </r>
  </si>
  <si>
    <r>
      <rPr>
        <b/>
        <sz val="18"/>
        <color rgb="FFC00000"/>
        <rFont val="Calibri"/>
        <family val="2"/>
        <charset val="162"/>
        <scheme val="minor"/>
      </rPr>
      <t>U</t>
    </r>
    <r>
      <rPr>
        <b/>
        <sz val="18"/>
        <color rgb="FFC00000"/>
        <rFont val="Times New Roman"/>
        <family val="1"/>
        <charset val="162"/>
      </rPr>
      <t>₂</t>
    </r>
    <r>
      <rPr>
        <b/>
        <sz val="14"/>
        <color rgb="FFC00000"/>
        <rFont val="Times New Roman"/>
        <family val="1"/>
        <charset val="162"/>
      </rPr>
      <t>(ψ)</t>
    </r>
    <r>
      <rPr>
        <sz val="14"/>
        <color theme="1"/>
        <rFont val="Times New Roman"/>
        <family val="1"/>
        <charset val="162"/>
      </rPr>
      <t xml:space="preserve"> </t>
    </r>
    <r>
      <rPr>
        <sz val="11"/>
        <color theme="1"/>
        <rFont val="Calibri"/>
        <family val="2"/>
        <charset val="162"/>
        <scheme val="minor"/>
      </rPr>
      <t>Hızı [m/s]</t>
    </r>
  </si>
  <si>
    <r>
      <t xml:space="preserve">Hız Katsayısı - </t>
    </r>
    <r>
      <rPr>
        <b/>
        <sz val="18"/>
        <color rgb="FFC00000"/>
        <rFont val="Calibri"/>
        <family val="2"/>
        <charset val="162"/>
        <scheme val="minor"/>
      </rPr>
      <t>k</t>
    </r>
    <r>
      <rPr>
        <b/>
        <sz val="11"/>
        <color rgb="FFC00000"/>
        <rFont val="Calibri"/>
        <family val="2"/>
        <charset val="162"/>
        <scheme val="minor"/>
      </rPr>
      <t>u</t>
    </r>
    <r>
      <rPr>
        <b/>
        <sz val="11"/>
        <color rgb="FFC00000"/>
        <rFont val="Times New Roman"/>
        <family val="1"/>
        <charset val="162"/>
      </rPr>
      <t>₂</t>
    </r>
  </si>
  <si>
    <r>
      <rPr>
        <b/>
        <sz val="14"/>
        <color rgb="FFC00000"/>
        <rFont val="Calibri"/>
        <family val="2"/>
        <charset val="162"/>
        <scheme val="minor"/>
      </rPr>
      <t>D</t>
    </r>
    <r>
      <rPr>
        <b/>
        <sz val="14"/>
        <color rgb="FFC00000"/>
        <rFont val="Times New Roman"/>
        <family val="1"/>
        <charset val="162"/>
      </rPr>
      <t>₁</t>
    </r>
    <r>
      <rPr>
        <b/>
        <sz val="14"/>
        <color rgb="FFC00000"/>
        <rFont val="Calibri"/>
        <family val="2"/>
        <charset val="162"/>
        <scheme val="minor"/>
      </rPr>
      <t>/D</t>
    </r>
    <r>
      <rPr>
        <b/>
        <sz val="14"/>
        <color rgb="FFC00000"/>
        <rFont val="Times New Roman"/>
        <family val="1"/>
        <charset val="162"/>
      </rPr>
      <t>₂</t>
    </r>
    <r>
      <rPr>
        <sz val="11"/>
        <color theme="1"/>
        <rFont val="Calibri"/>
        <family val="2"/>
        <charset val="162"/>
        <scheme val="minor"/>
      </rPr>
      <t xml:space="preserve"> oranı sınırlar içinde mi?</t>
    </r>
  </si>
  <si>
    <t>ns [d/d]</t>
  </si>
  <si>
    <r>
      <t xml:space="preserve">ηₕ </t>
    </r>
    <r>
      <rPr>
        <sz val="11"/>
        <color theme="1"/>
        <rFont val="Times New Roman"/>
        <family val="1"/>
        <charset val="162"/>
      </rPr>
      <t>[%]</t>
    </r>
  </si>
  <si>
    <t>Sonraki Adım</t>
  </si>
  <si>
    <t>Uyarı!</t>
  </si>
  <si>
    <t>Açı değerini seçmeye en yüksek değerden başlayın.</t>
  </si>
  <si>
    <t>Kanat Yüzey Uygunluğu</t>
  </si>
  <si>
    <t>α₂</t>
  </si>
  <si>
    <t>Difüzör Ekleme Gereği:</t>
  </si>
  <si>
    <t>kv</t>
  </si>
  <si>
    <t>δₒ</t>
  </si>
  <si>
    <t>(D₃-D₂)/D₃</t>
  </si>
  <si>
    <t>İnterpolasyonlu Değerler</t>
  </si>
  <si>
    <r>
      <rPr>
        <b/>
        <sz val="14"/>
        <color theme="1"/>
        <rFont val="Calibri"/>
        <family val="2"/>
        <charset val="162"/>
        <scheme val="minor"/>
      </rPr>
      <t>n</t>
    </r>
    <r>
      <rPr>
        <b/>
        <sz val="8"/>
        <color theme="1"/>
        <rFont val="Calibri"/>
        <family val="2"/>
        <charset val="162"/>
        <scheme val="minor"/>
      </rPr>
      <t>s</t>
    </r>
  </si>
  <si>
    <r>
      <rPr>
        <b/>
        <sz val="14"/>
        <color theme="1"/>
        <rFont val="Calibri"/>
        <family val="2"/>
        <charset val="162"/>
        <scheme val="minor"/>
      </rPr>
      <t>k</t>
    </r>
    <r>
      <rPr>
        <b/>
        <sz val="11"/>
        <color theme="1"/>
        <rFont val="Calibri"/>
        <family val="2"/>
        <charset val="162"/>
        <scheme val="minor"/>
      </rPr>
      <t>v</t>
    </r>
  </si>
  <si>
    <r>
      <t>δₒ</t>
    </r>
    <r>
      <rPr>
        <b/>
        <sz val="11"/>
        <color theme="1"/>
        <rFont val="Arial Tur"/>
        <charset val="162"/>
      </rPr>
      <t>°</t>
    </r>
  </si>
  <si>
    <r>
      <t>(D</t>
    </r>
    <r>
      <rPr>
        <b/>
        <sz val="11"/>
        <color theme="1"/>
        <rFont val="Times New Roman"/>
        <family val="1"/>
        <charset val="162"/>
      </rPr>
      <t>₃-</t>
    </r>
    <r>
      <rPr>
        <b/>
        <sz val="11"/>
        <color theme="1"/>
        <rFont val="Calibri"/>
        <family val="2"/>
        <charset val="162"/>
        <scheme val="minor"/>
      </rPr>
      <t>D</t>
    </r>
    <r>
      <rPr>
        <b/>
        <sz val="11"/>
        <color theme="1"/>
        <rFont val="Times New Roman"/>
        <family val="1"/>
        <charset val="162"/>
      </rPr>
      <t>₂</t>
    </r>
    <r>
      <rPr>
        <b/>
        <sz val="11"/>
        <color theme="1"/>
        <rFont val="Calibri"/>
        <family val="2"/>
        <charset val="162"/>
        <scheme val="minor"/>
      </rPr>
      <t>)/D</t>
    </r>
    <r>
      <rPr>
        <b/>
        <sz val="11"/>
        <color theme="1"/>
        <rFont val="Times New Roman"/>
        <family val="1"/>
        <charset val="162"/>
      </rPr>
      <t>₃</t>
    </r>
  </si>
  <si>
    <t>Ω₁</t>
  </si>
  <si>
    <t>Ω₂</t>
  </si>
  <si>
    <t>Ω₃</t>
  </si>
  <si>
    <t>Ω₄</t>
  </si>
  <si>
    <t>Q/V</t>
  </si>
  <si>
    <r>
      <t>Meridyen Kesit İçin Alanlar [mm</t>
    </r>
    <r>
      <rPr>
        <b/>
        <sz val="11"/>
        <color theme="1"/>
        <rFont val="Calibri"/>
        <family val="2"/>
        <charset val="162"/>
      </rPr>
      <t>²]</t>
    </r>
  </si>
  <si>
    <t>D₃ [m]</t>
  </si>
  <si>
    <t xml:space="preserve">Kabul: </t>
  </si>
  <si>
    <t>Atmosfer Basıncı Ha [mSS]</t>
  </si>
  <si>
    <t>Tek Giriş</t>
  </si>
  <si>
    <t>Çift Giriş</t>
  </si>
  <si>
    <t>d/r</t>
  </si>
  <si>
    <t>Kd</t>
  </si>
  <si>
    <t>Yoğunluk (kg/m3)</t>
  </si>
  <si>
    <r>
      <t>Sıcaklık (</t>
    </r>
    <r>
      <rPr>
        <sz val="11"/>
        <color theme="1"/>
        <rFont val="Arial Tur"/>
        <charset val="162"/>
      </rPr>
      <t>°</t>
    </r>
    <r>
      <rPr>
        <sz val="11"/>
        <color theme="1"/>
        <rFont val="Calibri"/>
        <family val="2"/>
        <charset val="162"/>
      </rPr>
      <t>C)</t>
    </r>
  </si>
  <si>
    <t>Buhar Basıncı (kPa)</t>
  </si>
  <si>
    <r>
      <t xml:space="preserve">Dinamik Viskozite </t>
    </r>
    <r>
      <rPr>
        <sz val="11"/>
        <color theme="1"/>
        <rFont val="Arial Tur"/>
        <charset val="162"/>
      </rPr>
      <t>μ</t>
    </r>
    <r>
      <rPr>
        <sz val="11"/>
        <color theme="1"/>
        <rFont val="Calibri"/>
        <family val="2"/>
        <charset val="162"/>
      </rPr>
      <t xml:space="preserve"> x10^(-3)</t>
    </r>
  </si>
  <si>
    <t>Emme Tarafında Reynolds Sayısı (Re)</t>
  </si>
  <si>
    <t>Yoğunluk (kg/m³)</t>
  </si>
  <si>
    <t>Bağıl Pürüzlülük (ks/De)</t>
  </si>
  <si>
    <t>Pürüzlülük Katsayısı (ks)</t>
  </si>
  <si>
    <t>Emme Tarafında kullanılan malzeme</t>
  </si>
  <si>
    <t>Boru Malzemesi</t>
  </si>
  <si>
    <t>Bakır</t>
  </si>
  <si>
    <t>PVC/Plastik</t>
  </si>
  <si>
    <t>Paslanmaz Çelik</t>
  </si>
  <si>
    <t>Galvanizli Çelik</t>
  </si>
  <si>
    <t>Siyah Çelik</t>
  </si>
  <si>
    <t>ks x 10^(-3)</t>
  </si>
  <si>
    <t>Moody Diagramı</t>
  </si>
  <si>
    <t>Ks</t>
  </si>
  <si>
    <t>Kv</t>
  </si>
  <si>
    <t>Dirsek iç çap/dönme yarıçapı (d/r) oranı</t>
  </si>
  <si>
    <t>Dirsek Kayıp Katsayısı Kd (Yaklaşık)</t>
  </si>
  <si>
    <t>Klape ve Süzgeç Kayıp Katsayısı Ks (yaklaşık)</t>
  </si>
  <si>
    <t>Sürgülü Vana Kayıp Katsayısı Kv (Yaklaşık)</t>
  </si>
  <si>
    <t>0 metre rakım</t>
  </si>
  <si>
    <t>Kavitasyon Kontrolü</t>
  </si>
  <si>
    <t>Su Buharlaşma Basıncı Hv [mSS]</t>
  </si>
  <si>
    <r>
      <t>H</t>
    </r>
    <r>
      <rPr>
        <i/>
        <sz val="7"/>
        <color theme="1"/>
        <rFont val="Times New Roman"/>
        <family val="1"/>
        <charset val="162"/>
      </rPr>
      <t xml:space="preserve">S </t>
    </r>
    <r>
      <rPr>
        <sz val="7"/>
        <color theme="1"/>
        <rFont val="Times New Roman"/>
        <family val="1"/>
        <charset val="162"/>
      </rPr>
      <t xml:space="preserve">max </t>
    </r>
    <r>
      <rPr>
        <sz val="12"/>
        <color theme="1"/>
        <rFont val="Symbol"/>
        <family val="1"/>
        <charset val="2"/>
      </rPr>
      <t>=</t>
    </r>
    <r>
      <rPr>
        <sz val="12"/>
        <color theme="1"/>
        <rFont val="Times New Roman"/>
        <family val="1"/>
        <charset val="162"/>
      </rPr>
      <t xml:space="preserve"> </t>
    </r>
    <r>
      <rPr>
        <i/>
        <sz val="12"/>
        <color theme="1"/>
        <rFont val="Times New Roman"/>
        <family val="1"/>
        <charset val="162"/>
      </rPr>
      <t>H</t>
    </r>
    <r>
      <rPr>
        <i/>
        <sz val="7"/>
        <color theme="1"/>
        <rFont val="Times New Roman"/>
        <family val="1"/>
        <charset val="162"/>
      </rPr>
      <t xml:space="preserve">a </t>
    </r>
    <r>
      <rPr>
        <sz val="12"/>
        <color theme="1"/>
        <rFont val="Symbol"/>
        <family val="1"/>
        <charset val="2"/>
      </rPr>
      <t>-</t>
    </r>
    <r>
      <rPr>
        <i/>
        <sz val="12.5"/>
        <color theme="1"/>
        <rFont val="Symbol"/>
        <family val="1"/>
        <charset val="2"/>
      </rPr>
      <t>s</t>
    </r>
    <r>
      <rPr>
        <i/>
        <sz val="7"/>
        <color theme="1"/>
        <rFont val="Times New Roman"/>
        <family val="1"/>
        <charset val="162"/>
      </rPr>
      <t xml:space="preserve">mevcut </t>
    </r>
    <r>
      <rPr>
        <sz val="12"/>
        <color theme="1"/>
        <rFont val="Symbol"/>
        <family val="1"/>
        <charset val="2"/>
      </rPr>
      <t>´</t>
    </r>
    <r>
      <rPr>
        <sz val="12"/>
        <color theme="1"/>
        <rFont val="Times New Roman"/>
        <family val="1"/>
        <charset val="162"/>
      </rPr>
      <t xml:space="preserve"> </t>
    </r>
    <r>
      <rPr>
        <i/>
        <sz val="12"/>
        <color theme="1"/>
        <rFont val="Times New Roman"/>
        <family val="1"/>
        <charset val="162"/>
      </rPr>
      <t>H</t>
    </r>
    <r>
      <rPr>
        <i/>
        <sz val="7"/>
        <color theme="1"/>
        <rFont val="Times New Roman"/>
        <family val="1"/>
        <charset val="162"/>
      </rPr>
      <t xml:space="preserve">m </t>
    </r>
    <r>
      <rPr>
        <sz val="12"/>
        <color theme="1"/>
        <rFont val="Symbol"/>
        <family val="1"/>
        <charset val="2"/>
      </rPr>
      <t>-</t>
    </r>
    <r>
      <rPr>
        <sz val="12"/>
        <color theme="1"/>
        <rFont val="Times New Roman"/>
        <family val="1"/>
        <charset val="162"/>
      </rPr>
      <t xml:space="preserve"> </t>
    </r>
    <r>
      <rPr>
        <i/>
        <sz val="12"/>
        <color theme="1"/>
        <rFont val="Times New Roman"/>
        <family val="1"/>
        <charset val="162"/>
      </rPr>
      <t>H</t>
    </r>
    <r>
      <rPr>
        <i/>
        <sz val="7"/>
        <color theme="1"/>
        <rFont val="Times New Roman"/>
        <family val="1"/>
        <charset val="162"/>
      </rPr>
      <t xml:space="preserve">v </t>
    </r>
    <r>
      <rPr>
        <sz val="12"/>
        <color theme="1"/>
        <rFont val="Symbol"/>
        <family val="1"/>
        <charset val="2"/>
      </rPr>
      <t>-</t>
    </r>
    <r>
      <rPr>
        <sz val="12"/>
        <color theme="1"/>
        <rFont val="Times New Roman"/>
        <family val="1"/>
        <charset val="162"/>
      </rPr>
      <t xml:space="preserve"> </t>
    </r>
    <r>
      <rPr>
        <i/>
        <sz val="12"/>
        <color theme="1"/>
        <rFont val="Times New Roman"/>
        <family val="1"/>
        <charset val="162"/>
      </rPr>
      <t>H</t>
    </r>
    <r>
      <rPr>
        <i/>
        <sz val="7"/>
        <color theme="1"/>
        <rFont val="Times New Roman"/>
        <family val="1"/>
        <charset val="162"/>
      </rPr>
      <t>ke</t>
    </r>
  </si>
  <si>
    <r>
      <rPr>
        <b/>
        <sz val="14"/>
        <color theme="1"/>
        <rFont val="Calibri"/>
        <family val="2"/>
        <charset val="162"/>
      </rPr>
      <t>σ</t>
    </r>
    <r>
      <rPr>
        <b/>
        <sz val="8"/>
        <color theme="1"/>
        <rFont val="Calibri"/>
        <family val="2"/>
        <charset val="162"/>
      </rPr>
      <t>mevcut</t>
    </r>
  </si>
  <si>
    <r>
      <rPr>
        <b/>
        <sz val="14"/>
        <color theme="1"/>
        <rFont val="Calibri"/>
        <family val="2"/>
        <charset val="162"/>
        <scheme val="minor"/>
      </rPr>
      <t>H</t>
    </r>
    <r>
      <rPr>
        <b/>
        <sz val="8"/>
        <color theme="1"/>
        <rFont val="Calibri"/>
        <family val="2"/>
        <charset val="162"/>
        <scheme val="minor"/>
      </rPr>
      <t>ke</t>
    </r>
    <r>
      <rPr>
        <b/>
        <sz val="11"/>
        <color theme="1"/>
        <rFont val="Calibri"/>
        <family val="2"/>
        <charset val="162"/>
        <scheme val="minor"/>
      </rPr>
      <t xml:space="preserve"> [mSS]</t>
    </r>
  </si>
  <si>
    <r>
      <t>Sürtünme Katsayısı (</t>
    </r>
    <r>
      <rPr>
        <b/>
        <sz val="11"/>
        <color theme="1"/>
        <rFont val="Calibri"/>
        <family val="2"/>
        <charset val="162"/>
      </rPr>
      <t>λ</t>
    </r>
    <r>
      <rPr>
        <b/>
        <sz val="11"/>
        <color theme="1"/>
        <rFont val="Calibri"/>
        <family val="2"/>
        <charset val="162"/>
        <scheme val="minor"/>
      </rPr>
      <t>)</t>
    </r>
  </si>
  <si>
    <r>
      <t>Su Sıcaklığı T</t>
    </r>
    <r>
      <rPr>
        <b/>
        <sz val="11"/>
        <color theme="1"/>
        <rFont val="Arial Tur"/>
        <charset val="162"/>
      </rPr>
      <t>°</t>
    </r>
    <r>
      <rPr>
        <b/>
        <sz val="11"/>
        <color theme="1"/>
        <rFont val="Calibri"/>
        <family val="2"/>
        <charset val="162"/>
      </rPr>
      <t>C</t>
    </r>
    <r>
      <rPr>
        <b/>
        <sz val="11"/>
        <color theme="1"/>
        <rFont val="Calibri"/>
        <family val="2"/>
        <charset val="162"/>
        <scheme val="minor"/>
      </rPr>
      <t xml:space="preserve"> (Açılır Listeden Seçiniz)</t>
    </r>
  </si>
  <si>
    <r>
      <t xml:space="preserve">Dinamik Viskozite </t>
    </r>
    <r>
      <rPr>
        <b/>
        <sz val="11"/>
        <color theme="1"/>
        <rFont val="Arial Tur"/>
        <charset val="162"/>
      </rPr>
      <t>μ</t>
    </r>
    <r>
      <rPr>
        <b/>
        <sz val="11"/>
        <color theme="1"/>
        <rFont val="Calibri"/>
        <family val="2"/>
        <charset val="162"/>
      </rPr>
      <t xml:space="preserve"> x10^(-3)</t>
    </r>
  </si>
  <si>
    <r>
      <t xml:space="preserve"> </t>
    </r>
    <r>
      <rPr>
        <b/>
        <sz val="16"/>
        <color theme="1"/>
        <rFont val="Calibri"/>
        <family val="2"/>
        <charset val="162"/>
        <scheme val="minor"/>
      </rPr>
      <t>σ</t>
    </r>
    <r>
      <rPr>
        <b/>
        <sz val="8"/>
        <color theme="1"/>
        <rFont val="Calibri"/>
        <family val="2"/>
        <charset val="162"/>
        <scheme val="minor"/>
      </rPr>
      <t>kritik (</t>
    </r>
    <r>
      <rPr>
        <b/>
        <sz val="11"/>
        <color theme="1"/>
        <rFont val="Calibri"/>
        <family val="2"/>
        <charset val="162"/>
        <scheme val="minor"/>
      </rPr>
      <t>Grafikten)</t>
    </r>
  </si>
  <si>
    <r>
      <t xml:space="preserve"> </t>
    </r>
    <r>
      <rPr>
        <b/>
        <sz val="16"/>
        <color theme="1"/>
        <rFont val="Calibri"/>
        <family val="2"/>
        <charset val="162"/>
        <scheme val="minor"/>
      </rPr>
      <t>σ</t>
    </r>
    <r>
      <rPr>
        <b/>
        <sz val="8"/>
        <color theme="1"/>
        <rFont val="Calibri"/>
        <family val="2"/>
        <charset val="162"/>
        <scheme val="minor"/>
      </rPr>
      <t>kr (</t>
    </r>
    <r>
      <rPr>
        <b/>
        <sz val="11"/>
        <color theme="1"/>
        <rFont val="Calibri"/>
        <family val="2"/>
        <charset val="162"/>
        <scheme val="minor"/>
      </rPr>
      <t>Ampirik)</t>
    </r>
  </si>
  <si>
    <r>
      <t>H</t>
    </r>
    <r>
      <rPr>
        <b/>
        <sz val="7"/>
        <color theme="1"/>
        <rFont val="Times New Roman"/>
        <family val="1"/>
        <charset val="162"/>
      </rPr>
      <t>S max</t>
    </r>
    <r>
      <rPr>
        <b/>
        <sz val="12"/>
        <color theme="1"/>
        <rFont val="Times New Roman"/>
        <family val="1"/>
        <charset val="162"/>
      </rPr>
      <t xml:space="preserve"> </t>
    </r>
    <r>
      <rPr>
        <b/>
        <sz val="11"/>
        <color theme="1"/>
        <rFont val="Calibri"/>
        <family val="2"/>
        <charset val="162"/>
        <scheme val="minor"/>
      </rPr>
      <t>[mSS]</t>
    </r>
  </si>
  <si>
    <t>ENPY</t>
  </si>
  <si>
    <r>
      <t xml:space="preserve">ENPY </t>
    </r>
    <r>
      <rPr>
        <sz val="12"/>
        <color theme="1"/>
        <rFont val="Symbol"/>
        <family val="1"/>
        <charset val="2"/>
      </rPr>
      <t>=</t>
    </r>
    <r>
      <rPr>
        <sz val="12"/>
        <color theme="1"/>
        <rFont val="Times New Roman"/>
        <family val="1"/>
        <charset val="162"/>
      </rPr>
      <t xml:space="preserve"> 12, 2</t>
    </r>
    <r>
      <rPr>
        <sz val="12"/>
        <color theme="1"/>
        <rFont val="Symbol"/>
        <family val="1"/>
        <charset val="2"/>
      </rPr>
      <t>´</t>
    </r>
    <r>
      <rPr>
        <sz val="12"/>
        <color theme="1"/>
        <rFont val="Times New Roman"/>
        <family val="1"/>
        <charset val="162"/>
      </rPr>
      <t>10</t>
    </r>
    <r>
      <rPr>
        <sz val="7"/>
        <color theme="1"/>
        <rFont val="Symbol"/>
        <family val="1"/>
        <charset val="2"/>
      </rPr>
      <t>-</t>
    </r>
    <r>
      <rPr>
        <sz val="7"/>
        <color theme="1"/>
        <rFont val="Times New Roman"/>
        <family val="1"/>
        <charset val="162"/>
      </rPr>
      <t xml:space="preserve">4 </t>
    </r>
    <r>
      <rPr>
        <sz val="12"/>
        <color theme="1"/>
        <rFont val="Symbol"/>
        <family val="1"/>
        <charset val="2"/>
      </rPr>
      <t>´</t>
    </r>
    <r>
      <rPr>
        <i/>
        <sz val="12"/>
        <color theme="1"/>
        <rFont val="Times New Roman"/>
        <family val="1"/>
        <charset val="162"/>
      </rPr>
      <t>Q</t>
    </r>
    <r>
      <rPr>
        <sz val="7"/>
        <color theme="1"/>
        <rFont val="Times New Roman"/>
        <family val="1"/>
        <charset val="162"/>
      </rPr>
      <t xml:space="preserve">2/3 </t>
    </r>
    <r>
      <rPr>
        <sz val="12"/>
        <color theme="1"/>
        <rFont val="Symbol"/>
        <family val="1"/>
        <charset val="2"/>
      </rPr>
      <t>´</t>
    </r>
    <r>
      <rPr>
        <sz val="12"/>
        <color theme="1"/>
        <rFont val="Times New Roman"/>
        <family val="1"/>
        <charset val="162"/>
      </rPr>
      <t xml:space="preserve"> </t>
    </r>
    <r>
      <rPr>
        <i/>
        <sz val="12"/>
        <color theme="1"/>
        <rFont val="Times New Roman"/>
        <family val="1"/>
        <charset val="162"/>
      </rPr>
      <t>n</t>
    </r>
    <r>
      <rPr>
        <sz val="7"/>
        <color theme="1"/>
        <rFont val="Times New Roman"/>
        <family val="1"/>
        <charset val="162"/>
      </rPr>
      <t>4/3</t>
    </r>
  </si>
  <si>
    <r>
      <t>H</t>
    </r>
    <r>
      <rPr>
        <b/>
        <sz val="7"/>
        <color theme="1"/>
        <rFont val="Times New Roman"/>
        <family val="1"/>
        <charset val="162"/>
      </rPr>
      <t>S max</t>
    </r>
    <r>
      <rPr>
        <b/>
        <sz val="12"/>
        <color theme="1"/>
        <rFont val="Times New Roman"/>
        <family val="1"/>
        <charset val="162"/>
      </rPr>
      <t xml:space="preserve"> Kontrolü </t>
    </r>
    <r>
      <rPr>
        <b/>
        <sz val="11"/>
        <color theme="1"/>
        <rFont val="Calibri"/>
        <family val="2"/>
        <charset val="162"/>
        <scheme val="minor"/>
      </rPr>
      <t>[mSS]</t>
    </r>
  </si>
  <si>
    <t>→→→→→→→→→→→→→→→→</t>
  </si>
  <si>
    <t>Geometrik Yükseklik Hg [mSS]</t>
  </si>
  <si>
    <t>Db [m]</t>
  </si>
  <si>
    <t>Lb [m]</t>
  </si>
  <si>
    <t>Kaç adet Dirsek?</t>
  </si>
  <si>
    <t>Basma Tarafı Dirsek Adedi</t>
  </si>
  <si>
    <r>
      <rPr>
        <b/>
        <sz val="14"/>
        <color theme="1"/>
        <rFont val="Calibri"/>
        <family val="2"/>
        <charset val="162"/>
        <scheme val="minor"/>
      </rPr>
      <t>V</t>
    </r>
    <r>
      <rPr>
        <b/>
        <sz val="8"/>
        <color theme="1"/>
        <rFont val="Calibri"/>
        <family val="2"/>
        <charset val="162"/>
        <scheme val="minor"/>
      </rPr>
      <t>b</t>
    </r>
    <r>
      <rPr>
        <b/>
        <sz val="11"/>
        <color theme="1"/>
        <rFont val="Calibri"/>
        <family val="2"/>
        <charset val="162"/>
        <scheme val="minor"/>
      </rPr>
      <t xml:space="preserve"> basma hızı (m/s)</t>
    </r>
  </si>
  <si>
    <r>
      <rPr>
        <b/>
        <sz val="14"/>
        <color theme="1"/>
        <rFont val="Calibri"/>
        <family val="2"/>
        <charset val="162"/>
        <scheme val="minor"/>
      </rPr>
      <t>H</t>
    </r>
    <r>
      <rPr>
        <b/>
        <sz val="8"/>
        <color theme="1"/>
        <rFont val="Calibri"/>
        <family val="2"/>
        <charset val="162"/>
        <scheme val="minor"/>
      </rPr>
      <t>kb</t>
    </r>
    <r>
      <rPr>
        <b/>
        <sz val="11"/>
        <color theme="1"/>
        <rFont val="Calibri"/>
        <family val="2"/>
        <charset val="162"/>
        <scheme val="minor"/>
      </rPr>
      <t xml:space="preserve"> [mSS]</t>
    </r>
  </si>
  <si>
    <r>
      <rPr>
        <b/>
        <sz val="14"/>
        <color theme="1"/>
        <rFont val="Calibri"/>
        <family val="2"/>
        <charset val="162"/>
        <scheme val="minor"/>
      </rPr>
      <t>H</t>
    </r>
    <r>
      <rPr>
        <b/>
        <sz val="8"/>
        <color theme="1"/>
        <rFont val="Calibri"/>
        <family val="2"/>
        <charset val="162"/>
        <scheme val="minor"/>
      </rPr>
      <t>kt</t>
    </r>
    <r>
      <rPr>
        <b/>
        <sz val="11"/>
        <color theme="1"/>
        <rFont val="Calibri"/>
        <family val="2"/>
        <charset val="162"/>
        <scheme val="minor"/>
      </rPr>
      <t xml:space="preserve"> [mSS]</t>
    </r>
  </si>
  <si>
    <r>
      <rPr>
        <b/>
        <sz val="14"/>
        <color theme="1"/>
        <rFont val="Calibri"/>
        <family val="2"/>
        <charset val="162"/>
      </rPr>
      <t>∑H</t>
    </r>
    <r>
      <rPr>
        <b/>
        <sz val="8"/>
        <color theme="1"/>
        <rFont val="Calibri"/>
        <family val="2"/>
        <charset val="162"/>
      </rPr>
      <t>kt</t>
    </r>
    <r>
      <rPr>
        <b/>
        <sz val="11"/>
        <color theme="1"/>
        <rFont val="Calibri"/>
        <family val="2"/>
        <charset val="162"/>
      </rPr>
      <t xml:space="preserve"> [mSS]</t>
    </r>
  </si>
  <si>
    <t>d1 (mm)</t>
  </si>
  <si>
    <t>d2 (mm)</t>
  </si>
  <si>
    <t>d3 (mm)</t>
  </si>
  <si>
    <t>d4 (mm)</t>
  </si>
  <si>
    <t>V (m/s)</t>
  </si>
  <si>
    <t>1atm = 10,33 mSS</t>
  </si>
  <si>
    <r>
      <t xml:space="preserve">Çıkış hız üçgeninde </t>
    </r>
    <r>
      <rPr>
        <b/>
        <sz val="14"/>
        <color theme="1"/>
        <rFont val="Times New Roman"/>
        <family val="1"/>
        <charset val="162"/>
      </rPr>
      <t xml:space="preserve">α₂ </t>
    </r>
    <r>
      <rPr>
        <b/>
        <sz val="11"/>
        <color theme="1"/>
        <rFont val="Times New Roman"/>
        <family val="1"/>
        <charset val="162"/>
      </rPr>
      <t>&gt; 10</t>
    </r>
    <r>
      <rPr>
        <b/>
        <sz val="11"/>
        <color theme="1"/>
        <rFont val="Arial Tur"/>
        <charset val="162"/>
      </rPr>
      <t>°</t>
    </r>
    <r>
      <rPr>
        <b/>
        <sz val="11"/>
        <color theme="1"/>
        <rFont val="Times New Roman"/>
        <family val="1"/>
        <charset val="162"/>
      </rPr>
      <t xml:space="preserve"> </t>
    </r>
    <r>
      <rPr>
        <b/>
        <sz val="11"/>
        <color theme="1"/>
        <rFont val="Calibri"/>
        <family val="2"/>
        <charset val="162"/>
        <scheme val="minor"/>
      </rPr>
      <t>olursa difüzöre gerek yoktur.</t>
    </r>
  </si>
  <si>
    <r>
      <rPr>
        <b/>
        <sz val="18"/>
        <color rgb="FFC00000"/>
        <rFont val="Monotype Corsiva"/>
        <family val="4"/>
        <charset val="162"/>
      </rPr>
      <t>l</t>
    </r>
    <r>
      <rPr>
        <b/>
        <sz val="18"/>
        <color theme="1"/>
        <rFont val="Monotype Corsiva"/>
        <family val="4"/>
        <charset val="162"/>
      </rPr>
      <t xml:space="preserve"> </t>
    </r>
    <r>
      <rPr>
        <b/>
        <sz val="11"/>
        <color theme="1"/>
        <rFont val="Calibri"/>
        <family val="2"/>
        <charset val="162"/>
        <scheme val="minor"/>
      </rPr>
      <t>Kanat Boyu [m]</t>
    </r>
  </si>
  <si>
    <r>
      <t>β</t>
    </r>
    <r>
      <rPr>
        <b/>
        <sz val="14"/>
        <color rgb="FFC00000"/>
        <rFont val="Times New Roman"/>
        <family val="1"/>
        <charset val="162"/>
      </rPr>
      <t>ₘ</t>
    </r>
    <r>
      <rPr>
        <b/>
        <sz val="14"/>
        <color rgb="FFC00000"/>
        <rFont val="Calibri"/>
        <family val="2"/>
        <charset val="162"/>
      </rPr>
      <t xml:space="preserve"> = (β</t>
    </r>
    <r>
      <rPr>
        <b/>
        <sz val="14"/>
        <color rgb="FFC00000"/>
        <rFont val="Times New Roman"/>
        <family val="1"/>
        <charset val="162"/>
      </rPr>
      <t>₁ₖ₊</t>
    </r>
    <r>
      <rPr>
        <b/>
        <sz val="14"/>
        <color rgb="FFC00000"/>
        <rFont val="Calibri"/>
        <family val="2"/>
        <charset val="162"/>
      </rPr>
      <t>β</t>
    </r>
    <r>
      <rPr>
        <b/>
        <sz val="14"/>
        <color rgb="FFC00000"/>
        <rFont val="Times New Roman"/>
        <family val="1"/>
        <charset val="162"/>
      </rPr>
      <t>₂ₖ)/2</t>
    </r>
  </si>
  <si>
    <r>
      <rPr>
        <b/>
        <sz val="16"/>
        <color theme="1"/>
        <rFont val="Calibri"/>
        <family val="2"/>
        <charset val="162"/>
      </rPr>
      <t>β</t>
    </r>
    <r>
      <rPr>
        <b/>
        <sz val="11"/>
        <color theme="1"/>
        <rFont val="Times New Roman"/>
        <family val="1"/>
        <charset val="162"/>
      </rPr>
      <t>∞</t>
    </r>
  </si>
  <si>
    <r>
      <rPr>
        <b/>
        <sz val="16"/>
        <color theme="1"/>
        <rFont val="Calibri"/>
        <family val="2"/>
        <charset val="162"/>
        <scheme val="minor"/>
      </rPr>
      <t>W</t>
    </r>
    <r>
      <rPr>
        <b/>
        <sz val="11"/>
        <color theme="1"/>
        <rFont val="Times New Roman"/>
        <family val="1"/>
        <charset val="162"/>
      </rPr>
      <t>∞</t>
    </r>
    <r>
      <rPr>
        <b/>
        <sz val="11"/>
        <color theme="1"/>
        <rFont val="Times New Roman"/>
        <family val="2"/>
        <charset val="162"/>
      </rPr>
      <t xml:space="preserve"> </t>
    </r>
    <r>
      <rPr>
        <b/>
        <sz val="11"/>
        <color theme="1"/>
        <rFont val="Calibri"/>
        <family val="2"/>
        <charset val="162"/>
        <scheme val="minor"/>
      </rPr>
      <t>[m/s]</t>
    </r>
  </si>
  <si>
    <r>
      <rPr>
        <b/>
        <sz val="16"/>
        <color rgb="FFC00000"/>
        <rFont val="Calibri"/>
        <family val="2"/>
        <charset val="162"/>
        <scheme val="minor"/>
      </rPr>
      <t>r</t>
    </r>
    <r>
      <rPr>
        <b/>
        <sz val="16"/>
        <color rgb="FFC00000"/>
        <rFont val="Times New Roman"/>
        <family val="1"/>
        <charset val="162"/>
      </rPr>
      <t>₁</t>
    </r>
    <r>
      <rPr>
        <b/>
        <sz val="11"/>
        <color theme="1"/>
        <rFont val="Calibri"/>
        <family val="2"/>
        <charset val="162"/>
        <scheme val="minor"/>
      </rPr>
      <t xml:space="preserve"> Girişteki Sirkülasyon</t>
    </r>
  </si>
  <si>
    <r>
      <rPr>
        <b/>
        <sz val="16"/>
        <color rgb="FFC00000"/>
        <rFont val="Calibri"/>
        <family val="2"/>
        <charset val="162"/>
        <scheme val="minor"/>
      </rPr>
      <t>r</t>
    </r>
    <r>
      <rPr>
        <b/>
        <sz val="16"/>
        <color rgb="FFC00000"/>
        <rFont val="Times New Roman"/>
        <family val="1"/>
        <charset val="162"/>
      </rPr>
      <t>₂</t>
    </r>
    <r>
      <rPr>
        <b/>
        <sz val="11"/>
        <color theme="1"/>
        <rFont val="Calibri"/>
        <family val="2"/>
        <charset val="162"/>
        <scheme val="minor"/>
      </rPr>
      <t xml:space="preserve">  Çıkıştaki Sirkülasyon</t>
    </r>
  </si>
  <si>
    <r>
      <rPr>
        <b/>
        <sz val="16"/>
        <color rgb="FFC00000"/>
        <rFont val="Calibri"/>
        <family val="2"/>
        <charset val="162"/>
        <scheme val="minor"/>
      </rPr>
      <t>t/</t>
    </r>
    <r>
      <rPr>
        <b/>
        <sz val="16"/>
        <color rgb="FFC00000"/>
        <rFont val="Monotype Corsiva"/>
        <family val="4"/>
        <charset val="162"/>
      </rPr>
      <t xml:space="preserve">l </t>
    </r>
    <r>
      <rPr>
        <b/>
        <sz val="11"/>
        <color theme="1"/>
        <rFont val="Calibri"/>
        <family val="2"/>
        <charset val="162"/>
        <scheme val="minor"/>
      </rPr>
      <t>Kanat hatvesi/kanat uzunluğu</t>
    </r>
  </si>
  <si>
    <r>
      <rPr>
        <b/>
        <sz val="16"/>
        <color rgb="FFC00000"/>
        <rFont val="Arial"/>
        <family val="2"/>
        <charset val="162"/>
      </rPr>
      <t>ζₚ</t>
    </r>
    <r>
      <rPr>
        <b/>
        <sz val="16"/>
        <color rgb="FFC00000"/>
        <rFont val="Calibri"/>
        <family val="2"/>
        <charset val="162"/>
      </rPr>
      <t>'/</t>
    </r>
    <r>
      <rPr>
        <b/>
        <sz val="16"/>
        <color rgb="FFC00000"/>
        <rFont val="Arial"/>
        <family val="2"/>
        <charset val="162"/>
      </rPr>
      <t xml:space="preserve">ζₚ </t>
    </r>
    <r>
      <rPr>
        <b/>
        <sz val="11"/>
        <rFont val="Calibri"/>
        <family val="2"/>
        <charset val="162"/>
        <scheme val="minor"/>
      </rPr>
      <t>Kanat Kaldırma Katsayılar Oranı</t>
    </r>
  </si>
  <si>
    <r>
      <t>(z</t>
    </r>
    <r>
      <rPr>
        <b/>
        <sz val="16"/>
        <color rgb="FFC00000"/>
        <rFont val="Times New Roman"/>
        <family val="1"/>
        <charset val="162"/>
      </rPr>
      <t>∙</t>
    </r>
    <r>
      <rPr>
        <b/>
        <sz val="16"/>
        <color rgb="FFC00000"/>
        <rFont val="Monotype Corsiva"/>
        <family val="4"/>
        <charset val="162"/>
      </rPr>
      <t xml:space="preserve">l </t>
    </r>
    <r>
      <rPr>
        <b/>
        <sz val="16"/>
        <color rgb="FFC00000"/>
        <rFont val="Calibri"/>
        <family val="2"/>
        <charset val="162"/>
        <scheme val="minor"/>
      </rPr>
      <t>)</t>
    </r>
    <r>
      <rPr>
        <b/>
        <sz val="10"/>
        <rFont val="Calibri"/>
        <family val="2"/>
        <charset val="162"/>
        <scheme val="minor"/>
      </rPr>
      <t>min</t>
    </r>
  </si>
  <si>
    <r>
      <t>(z</t>
    </r>
    <r>
      <rPr>
        <b/>
        <sz val="16"/>
        <color rgb="FFC00000"/>
        <rFont val="Times New Roman"/>
        <family val="1"/>
        <charset val="162"/>
      </rPr>
      <t>∙</t>
    </r>
    <r>
      <rPr>
        <b/>
        <sz val="16"/>
        <color rgb="FFC00000"/>
        <rFont val="Monotype Corsiva"/>
        <family val="4"/>
        <charset val="162"/>
      </rPr>
      <t xml:space="preserve">l </t>
    </r>
    <r>
      <rPr>
        <b/>
        <sz val="16"/>
        <color rgb="FFC00000"/>
        <rFont val="Calibri"/>
        <family val="2"/>
        <charset val="162"/>
        <scheme val="minor"/>
      </rPr>
      <t>)</t>
    </r>
    <r>
      <rPr>
        <b/>
        <sz val="10"/>
        <rFont val="Calibri"/>
        <family val="2"/>
        <charset val="162"/>
        <scheme val="minor"/>
      </rPr>
      <t>gerçek</t>
    </r>
  </si>
  <si>
    <r>
      <rPr>
        <b/>
        <sz val="18"/>
        <color rgb="FFC00000"/>
        <rFont val="Calibri"/>
        <family val="2"/>
        <charset val="162"/>
        <scheme val="minor"/>
      </rPr>
      <t>e</t>
    </r>
    <r>
      <rPr>
        <b/>
        <sz val="11"/>
        <color theme="1"/>
        <rFont val="Calibri"/>
        <family val="2"/>
        <charset val="162"/>
        <scheme val="minor"/>
      </rPr>
      <t xml:space="preserve"> Kanat Kalınlığı [mm]</t>
    </r>
  </si>
  <si>
    <r>
      <rPr>
        <b/>
        <sz val="16"/>
        <color rgb="FFC00000"/>
        <rFont val="Calibri"/>
        <family val="2"/>
        <charset val="162"/>
        <scheme val="minor"/>
      </rPr>
      <t>b</t>
    </r>
    <r>
      <rPr>
        <b/>
        <sz val="16"/>
        <color rgb="FFC00000"/>
        <rFont val="Times New Roman"/>
        <family val="1"/>
        <charset val="162"/>
      </rPr>
      <t>₂</t>
    </r>
    <r>
      <rPr>
        <b/>
        <sz val="11"/>
        <color theme="1"/>
        <rFont val="Calibri"/>
        <family val="2"/>
        <charset val="162"/>
      </rPr>
      <t xml:space="preserve"> Çark Çıkış Genişliği [mm]</t>
    </r>
  </si>
  <si>
    <r>
      <rPr>
        <b/>
        <sz val="18"/>
        <color rgb="FFC00000"/>
        <rFont val="Arial Tur"/>
        <charset val="162"/>
      </rPr>
      <t>λ</t>
    </r>
    <r>
      <rPr>
        <b/>
        <sz val="18"/>
        <color rgb="FFC00000"/>
        <rFont val="Times New Roman"/>
        <family val="1"/>
        <charset val="162"/>
      </rPr>
      <t xml:space="preserve">₂ </t>
    </r>
    <r>
      <rPr>
        <b/>
        <sz val="11"/>
        <rFont val="Calibri"/>
        <family val="2"/>
        <charset val="162"/>
        <scheme val="minor"/>
      </rPr>
      <t>Daralma Katsayısı</t>
    </r>
  </si>
  <si>
    <r>
      <rPr>
        <b/>
        <sz val="16"/>
        <color rgb="FFC00000"/>
        <rFont val="Calibri"/>
        <family val="2"/>
        <charset val="162"/>
        <scheme val="minor"/>
      </rPr>
      <t>b</t>
    </r>
    <r>
      <rPr>
        <b/>
        <sz val="16"/>
        <color rgb="FFC00000"/>
        <rFont val="Times New Roman"/>
        <family val="1"/>
        <charset val="162"/>
      </rPr>
      <t>₁</t>
    </r>
    <r>
      <rPr>
        <b/>
        <sz val="11"/>
        <color theme="1"/>
        <rFont val="Calibri"/>
        <family val="2"/>
        <charset val="162"/>
      </rPr>
      <t xml:space="preserve"> Çark Giriş Genişliği [mm]</t>
    </r>
  </si>
  <si>
    <r>
      <rPr>
        <b/>
        <sz val="18"/>
        <color rgb="FFC00000"/>
        <rFont val="Arial Tur"/>
        <charset val="162"/>
      </rPr>
      <t>λ</t>
    </r>
    <r>
      <rPr>
        <b/>
        <sz val="18"/>
        <color rgb="FFC00000"/>
        <rFont val="Times New Roman"/>
        <family val="1"/>
        <charset val="162"/>
      </rPr>
      <t xml:space="preserve">₁ </t>
    </r>
    <r>
      <rPr>
        <b/>
        <sz val="11"/>
        <rFont val="Calibri"/>
        <family val="2"/>
        <charset val="162"/>
        <scheme val="minor"/>
      </rPr>
      <t>Daralma Katsayısı</t>
    </r>
  </si>
  <si>
    <r>
      <rPr>
        <b/>
        <sz val="14"/>
        <color rgb="FFC00000"/>
        <rFont val="Calibri"/>
        <family val="2"/>
        <charset val="162"/>
      </rPr>
      <t>β</t>
    </r>
    <r>
      <rPr>
        <b/>
        <sz val="14"/>
        <color rgb="FFC00000"/>
        <rFont val="Times New Roman"/>
        <family val="1"/>
        <charset val="162"/>
      </rPr>
      <t>₂ₖ</t>
    </r>
    <r>
      <rPr>
        <b/>
        <sz val="11"/>
        <color theme="1"/>
        <rFont val="Calibri"/>
        <family val="2"/>
        <charset val="162"/>
      </rPr>
      <t xml:space="preserve">  Açı değerini açılır listeden seçiniz.</t>
    </r>
  </si>
  <si>
    <r>
      <rPr>
        <b/>
        <sz val="16"/>
        <color rgb="FFC00000"/>
        <rFont val="Calibri"/>
        <family val="2"/>
        <charset val="162"/>
        <scheme val="minor"/>
      </rPr>
      <t>K</t>
    </r>
    <r>
      <rPr>
        <b/>
        <sz val="11"/>
        <color theme="1"/>
        <rFont val="Calibri"/>
        <family val="2"/>
        <charset val="162"/>
        <scheme val="minor"/>
      </rPr>
      <t xml:space="preserve"> Kayma Faktörü</t>
    </r>
  </si>
  <si>
    <r>
      <rPr>
        <b/>
        <sz val="18"/>
        <color rgb="FFC00000"/>
        <rFont val="Calibri"/>
        <family val="2"/>
        <charset val="162"/>
        <scheme val="minor"/>
      </rPr>
      <t>C</t>
    </r>
    <r>
      <rPr>
        <b/>
        <sz val="11"/>
        <color rgb="FFC00000"/>
        <rFont val="Calibri"/>
        <family val="2"/>
        <charset val="162"/>
        <scheme val="minor"/>
      </rPr>
      <t>u</t>
    </r>
    <r>
      <rPr>
        <b/>
        <sz val="11"/>
        <color rgb="FFC00000"/>
        <rFont val="Times New Roman"/>
        <family val="1"/>
        <charset val="162"/>
      </rPr>
      <t>₂</t>
    </r>
    <r>
      <rPr>
        <b/>
        <sz val="9"/>
        <color rgb="FFC00000"/>
        <rFont val="Times New Roman"/>
        <family val="1"/>
        <charset val="162"/>
      </rPr>
      <t xml:space="preserve">∞ </t>
    </r>
    <r>
      <rPr>
        <b/>
        <sz val="11"/>
        <rFont val="Times New Roman"/>
        <family val="1"/>
        <charset val="162"/>
      </rPr>
      <t>[mm]</t>
    </r>
  </si>
  <si>
    <r>
      <rPr>
        <b/>
        <sz val="18"/>
        <color rgb="FFC00000"/>
        <rFont val="Calibri"/>
        <family val="2"/>
        <charset val="162"/>
        <scheme val="minor"/>
      </rPr>
      <t>z</t>
    </r>
    <r>
      <rPr>
        <b/>
        <sz val="11"/>
        <color theme="1"/>
        <rFont val="Calibri"/>
        <family val="2"/>
        <charset val="162"/>
        <scheme val="minor"/>
      </rPr>
      <t xml:space="preserve"> Kanat sayısı</t>
    </r>
  </si>
  <si>
    <r>
      <rPr>
        <b/>
        <sz val="14"/>
        <color rgb="FFC00000"/>
        <rFont val="Calibri"/>
        <family val="2"/>
        <charset val="162"/>
      </rPr>
      <t>β'</t>
    </r>
    <r>
      <rPr>
        <b/>
        <sz val="14"/>
        <color rgb="FFC00000"/>
        <rFont val="Times New Roman"/>
        <family val="1"/>
        <charset val="162"/>
      </rPr>
      <t>₂ₖ</t>
    </r>
    <r>
      <rPr>
        <b/>
        <sz val="11"/>
        <color theme="1"/>
        <rFont val="Calibri"/>
        <family val="2"/>
        <charset val="162"/>
      </rPr>
      <t xml:space="preserve">  Kontrol Açısı</t>
    </r>
  </si>
  <si>
    <r>
      <rPr>
        <b/>
        <sz val="11"/>
        <rFont val="Calibri"/>
        <family val="2"/>
        <charset val="162"/>
      </rPr>
      <t xml:space="preserve">Seçilen </t>
    </r>
    <r>
      <rPr>
        <b/>
        <sz val="14"/>
        <color rgb="FFC00000"/>
        <rFont val="Calibri"/>
        <family val="2"/>
        <charset val="162"/>
      </rPr>
      <t>β</t>
    </r>
    <r>
      <rPr>
        <b/>
        <sz val="14"/>
        <color rgb="FFC00000"/>
        <rFont val="Times New Roman"/>
        <family val="1"/>
        <charset val="162"/>
      </rPr>
      <t>₂ₖ</t>
    </r>
    <r>
      <rPr>
        <b/>
        <sz val="11"/>
        <color theme="1"/>
        <rFont val="Calibri"/>
        <family val="2"/>
        <charset val="162"/>
      </rPr>
      <t xml:space="preserve">  Açısı Uygun   mu?</t>
    </r>
  </si>
  <si>
    <r>
      <rPr>
        <b/>
        <sz val="18"/>
        <color rgb="FFC00000"/>
        <rFont val="Calibri"/>
        <family val="2"/>
        <charset val="162"/>
        <scheme val="minor"/>
      </rPr>
      <t>D</t>
    </r>
    <r>
      <rPr>
        <b/>
        <sz val="18"/>
        <color rgb="FFC00000"/>
        <rFont val="Times New Roman"/>
        <family val="1"/>
        <charset val="162"/>
      </rPr>
      <t>₂</t>
    </r>
    <r>
      <rPr>
        <b/>
        <sz val="14"/>
        <color rgb="FFC00000"/>
        <rFont val="Calibri"/>
        <family val="2"/>
        <charset val="162"/>
        <scheme val="minor"/>
      </rPr>
      <t>(k</t>
    </r>
    <r>
      <rPr>
        <b/>
        <sz val="9"/>
        <color rgb="FFC00000"/>
        <rFont val="Calibri"/>
        <family val="2"/>
        <charset val="162"/>
        <scheme val="minor"/>
      </rPr>
      <t>u</t>
    </r>
    <r>
      <rPr>
        <b/>
        <sz val="14"/>
        <color rgb="FFC00000"/>
        <rFont val="Calibri"/>
        <family val="2"/>
        <charset val="162"/>
        <scheme val="minor"/>
      </rPr>
      <t>)</t>
    </r>
    <r>
      <rPr>
        <b/>
        <sz val="11"/>
        <color theme="1"/>
        <rFont val="Calibri"/>
        <family val="2"/>
        <charset val="162"/>
        <scheme val="minor"/>
      </rPr>
      <t xml:space="preserve"> Çapı [m]</t>
    </r>
  </si>
  <si>
    <r>
      <t xml:space="preserve">Emniyetli </t>
    </r>
    <r>
      <rPr>
        <b/>
        <sz val="18"/>
        <color rgb="FFC00000"/>
        <rFont val="Calibri"/>
        <family val="2"/>
        <charset val="162"/>
        <scheme val="minor"/>
      </rPr>
      <t>D</t>
    </r>
    <r>
      <rPr>
        <b/>
        <sz val="18"/>
        <color rgb="FFC00000"/>
        <rFont val="Times New Roman"/>
        <family val="1"/>
        <charset val="162"/>
      </rPr>
      <t>₂</t>
    </r>
    <r>
      <rPr>
        <b/>
        <sz val="11"/>
        <color theme="1"/>
        <rFont val="Calibri"/>
        <family val="2"/>
        <charset val="162"/>
        <scheme val="minor"/>
      </rPr>
      <t xml:space="preserve"> Çapı [m]</t>
    </r>
  </si>
  <si>
    <r>
      <rPr>
        <b/>
        <sz val="18"/>
        <color rgb="FFC00000"/>
        <rFont val="Calibri"/>
        <family val="2"/>
        <charset val="162"/>
        <scheme val="minor"/>
      </rPr>
      <t>D</t>
    </r>
    <r>
      <rPr>
        <b/>
        <sz val="18"/>
        <color rgb="FFC00000"/>
        <rFont val="Times New Roman"/>
        <family val="1"/>
        <charset val="162"/>
      </rPr>
      <t>₂</t>
    </r>
    <r>
      <rPr>
        <b/>
        <sz val="14"/>
        <color rgb="FFC00000"/>
        <rFont val="Times New Roman"/>
        <family val="1"/>
        <charset val="162"/>
      </rPr>
      <t>(ψ)</t>
    </r>
    <r>
      <rPr>
        <b/>
        <sz val="10"/>
        <color rgb="FFC00000"/>
        <rFont val="Calibri"/>
        <family val="2"/>
        <charset val="162"/>
        <scheme val="minor"/>
      </rPr>
      <t xml:space="preserve"> </t>
    </r>
    <r>
      <rPr>
        <b/>
        <sz val="11"/>
        <color theme="1"/>
        <rFont val="Calibri"/>
        <family val="2"/>
        <charset val="162"/>
        <scheme val="minor"/>
      </rPr>
      <t>Çapı [m]</t>
    </r>
  </si>
  <si>
    <r>
      <rPr>
        <b/>
        <sz val="11"/>
        <rFont val="Calibri"/>
        <family val="2"/>
        <charset val="162"/>
        <scheme val="minor"/>
      </rPr>
      <t xml:space="preserve">Emniyetli </t>
    </r>
    <r>
      <rPr>
        <b/>
        <sz val="18"/>
        <color rgb="FFC00000"/>
        <rFont val="Calibri"/>
        <family val="2"/>
        <charset val="162"/>
        <scheme val="minor"/>
      </rPr>
      <t>U</t>
    </r>
    <r>
      <rPr>
        <b/>
        <sz val="18"/>
        <color rgb="FFC00000"/>
        <rFont val="Times New Roman"/>
        <family val="1"/>
        <charset val="162"/>
      </rPr>
      <t>₂</t>
    </r>
    <r>
      <rPr>
        <b/>
        <sz val="14"/>
        <color theme="1"/>
        <rFont val="Times New Roman"/>
        <family val="1"/>
        <charset val="162"/>
      </rPr>
      <t xml:space="preserve"> </t>
    </r>
    <r>
      <rPr>
        <b/>
        <sz val="11"/>
        <color theme="1"/>
        <rFont val="Calibri"/>
        <family val="2"/>
        <charset val="162"/>
        <scheme val="minor"/>
      </rPr>
      <t>Hızı [m/s]</t>
    </r>
  </si>
  <si>
    <r>
      <rPr>
        <b/>
        <sz val="18"/>
        <color rgb="FFC00000"/>
        <rFont val="Calibri"/>
        <family val="2"/>
        <charset val="162"/>
        <scheme val="minor"/>
      </rPr>
      <t>C</t>
    </r>
    <r>
      <rPr>
        <b/>
        <sz val="11"/>
        <color rgb="FFC00000"/>
        <rFont val="Calibri"/>
        <family val="2"/>
        <charset val="162"/>
        <scheme val="minor"/>
      </rPr>
      <t>m</t>
    </r>
    <r>
      <rPr>
        <b/>
        <sz val="8"/>
        <color rgb="FFC00000"/>
        <rFont val="Calibri"/>
        <family val="2"/>
        <charset val="162"/>
        <scheme val="minor"/>
      </rPr>
      <t>2</t>
    </r>
    <r>
      <rPr>
        <b/>
        <sz val="18"/>
        <color rgb="FFC00000"/>
        <rFont val="Calibri"/>
        <family val="2"/>
        <charset val="162"/>
        <scheme val="minor"/>
      </rPr>
      <t>'</t>
    </r>
    <r>
      <rPr>
        <b/>
        <sz val="11"/>
        <color theme="1"/>
        <rFont val="Calibri"/>
        <family val="2"/>
        <charset val="162"/>
        <scheme val="minor"/>
      </rPr>
      <t xml:space="preserve"> Hızı [m/s]</t>
    </r>
  </si>
  <si>
    <r>
      <rPr>
        <b/>
        <sz val="18"/>
        <color rgb="FFC00000"/>
        <rFont val="Calibri"/>
        <family val="2"/>
        <charset val="162"/>
        <scheme val="minor"/>
      </rPr>
      <t>Cu</t>
    </r>
    <r>
      <rPr>
        <b/>
        <sz val="8"/>
        <color rgb="FFC00000"/>
        <rFont val="Calibri"/>
        <family val="2"/>
        <charset val="162"/>
        <scheme val="minor"/>
      </rPr>
      <t xml:space="preserve">2 </t>
    </r>
    <r>
      <rPr>
        <b/>
        <sz val="11"/>
        <rFont val="Calibri"/>
        <family val="2"/>
        <charset val="162"/>
        <scheme val="minor"/>
      </rPr>
      <t xml:space="preserve">Teğetsel </t>
    </r>
    <r>
      <rPr>
        <b/>
        <sz val="11"/>
        <color theme="1"/>
        <rFont val="Calibri"/>
        <family val="2"/>
        <charset val="162"/>
        <scheme val="minor"/>
      </rPr>
      <t>Hız Bileşeni [m/s]</t>
    </r>
  </si>
  <si>
    <r>
      <rPr>
        <b/>
        <sz val="18"/>
        <color rgb="FFC00000"/>
        <rFont val="Calibri"/>
        <family val="2"/>
        <charset val="162"/>
      </rPr>
      <t>β</t>
    </r>
    <r>
      <rPr>
        <b/>
        <sz val="18"/>
        <color rgb="FFC00000"/>
        <rFont val="Times New Roman"/>
        <family val="1"/>
        <charset val="162"/>
      </rPr>
      <t>₂</t>
    </r>
    <r>
      <rPr>
        <b/>
        <sz val="11"/>
        <color theme="1"/>
        <rFont val="Calibri"/>
        <family val="2"/>
        <charset val="162"/>
        <scheme val="minor"/>
      </rPr>
      <t xml:space="preserve"> Akışkanın Kanattan Çıkış Açısı</t>
    </r>
  </si>
  <si>
    <r>
      <rPr>
        <b/>
        <sz val="16"/>
        <color theme="1"/>
        <rFont val="Times New Roman"/>
        <family val="1"/>
        <charset val="162"/>
      </rPr>
      <t xml:space="preserve">ψ </t>
    </r>
    <r>
      <rPr>
        <b/>
        <sz val="11"/>
        <color theme="1"/>
        <rFont val="Calibri"/>
        <family val="2"/>
        <charset val="162"/>
        <scheme val="minor"/>
      </rPr>
      <t>Grafikten Okunan Basınç Katsayısı</t>
    </r>
  </si>
  <si>
    <r>
      <rPr>
        <b/>
        <sz val="18"/>
        <color rgb="FFC00000"/>
        <rFont val="Calibri"/>
        <family val="2"/>
        <charset val="162"/>
        <scheme val="minor"/>
      </rPr>
      <t>U</t>
    </r>
    <r>
      <rPr>
        <b/>
        <sz val="18"/>
        <color rgb="FFC00000"/>
        <rFont val="Times New Roman"/>
        <family val="1"/>
        <charset val="162"/>
      </rPr>
      <t>₁</t>
    </r>
    <r>
      <rPr>
        <b/>
        <sz val="11"/>
        <color theme="1"/>
        <rFont val="Calibri"/>
        <family val="2"/>
        <charset val="162"/>
        <scheme val="minor"/>
      </rPr>
      <t xml:space="preserve"> Hızı [m/s]</t>
    </r>
  </si>
  <si>
    <r>
      <rPr>
        <b/>
        <sz val="18"/>
        <color rgb="FFC00000"/>
        <rFont val="Calibri"/>
        <family val="2"/>
        <charset val="162"/>
      </rPr>
      <t>β</t>
    </r>
    <r>
      <rPr>
        <b/>
        <sz val="18"/>
        <color rgb="FFC00000"/>
        <rFont val="Times New Roman"/>
        <family val="1"/>
        <charset val="162"/>
      </rPr>
      <t>₁</t>
    </r>
    <r>
      <rPr>
        <b/>
        <sz val="10"/>
        <color rgb="FFC00000"/>
        <rFont val="Times New Roman"/>
        <family val="1"/>
        <charset val="162"/>
      </rPr>
      <t>k</t>
    </r>
    <r>
      <rPr>
        <b/>
        <sz val="11"/>
        <color theme="1"/>
        <rFont val="Calibri"/>
        <family val="2"/>
        <charset val="162"/>
        <scheme val="minor"/>
      </rPr>
      <t xml:space="preserve"> Akışkanın Kanata Giriş Açısı</t>
    </r>
  </si>
  <si>
    <r>
      <rPr>
        <b/>
        <sz val="18"/>
        <color rgb="FFC00000"/>
        <rFont val="Calibri"/>
        <family val="2"/>
        <charset val="162"/>
      </rPr>
      <t>β</t>
    </r>
    <r>
      <rPr>
        <b/>
        <sz val="10"/>
        <color rgb="FFC00000"/>
        <rFont val="Calibri"/>
        <family val="2"/>
        <charset val="162"/>
      </rPr>
      <t>1d</t>
    </r>
    <r>
      <rPr>
        <b/>
        <sz val="11"/>
        <color theme="1"/>
        <rFont val="Calibri"/>
        <family val="2"/>
        <charset val="162"/>
        <scheme val="minor"/>
      </rPr>
      <t xml:space="preserve"> Akışkanın Kanat Giriş Dış Kenarı Açısı</t>
    </r>
  </si>
  <si>
    <r>
      <rPr>
        <b/>
        <sz val="18"/>
        <color rgb="FFC00000"/>
        <rFont val="Calibri"/>
        <family val="2"/>
        <charset val="162"/>
      </rPr>
      <t>β</t>
    </r>
    <r>
      <rPr>
        <b/>
        <sz val="10"/>
        <color rgb="FFC00000"/>
        <rFont val="Calibri"/>
        <family val="2"/>
        <charset val="162"/>
      </rPr>
      <t>1i</t>
    </r>
    <r>
      <rPr>
        <b/>
        <sz val="11"/>
        <color theme="1"/>
        <rFont val="Calibri"/>
        <family val="2"/>
        <charset val="162"/>
        <scheme val="minor"/>
      </rPr>
      <t xml:space="preserve"> Akışkanın Kanat Giriş İç Kenarı Açısı</t>
    </r>
  </si>
  <si>
    <r>
      <rPr>
        <b/>
        <sz val="18"/>
        <color rgb="FFC00000"/>
        <rFont val="Calibri"/>
        <family val="2"/>
        <charset val="162"/>
        <scheme val="minor"/>
      </rPr>
      <t>D</t>
    </r>
    <r>
      <rPr>
        <b/>
        <sz val="10"/>
        <color rgb="FFC00000"/>
        <rFont val="Calibri"/>
        <family val="2"/>
        <charset val="162"/>
        <scheme val="minor"/>
      </rPr>
      <t>0</t>
    </r>
    <r>
      <rPr>
        <b/>
        <sz val="10"/>
        <color theme="1"/>
        <rFont val="Calibri"/>
        <family val="2"/>
        <charset val="162"/>
        <scheme val="minor"/>
      </rPr>
      <t xml:space="preserve"> </t>
    </r>
    <r>
      <rPr>
        <b/>
        <sz val="11"/>
        <color theme="1"/>
        <rFont val="Calibri"/>
        <family val="2"/>
        <charset val="162"/>
        <scheme val="minor"/>
      </rPr>
      <t>Çapı [m]</t>
    </r>
  </si>
  <si>
    <r>
      <rPr>
        <b/>
        <sz val="18"/>
        <color rgb="FFC00000"/>
        <rFont val="Calibri"/>
        <family val="2"/>
        <charset val="162"/>
        <scheme val="minor"/>
      </rPr>
      <t>D</t>
    </r>
    <r>
      <rPr>
        <b/>
        <sz val="10"/>
        <color rgb="FFC00000"/>
        <rFont val="Calibri"/>
        <family val="2"/>
        <charset val="162"/>
        <scheme val="minor"/>
      </rPr>
      <t>1</t>
    </r>
    <r>
      <rPr>
        <b/>
        <sz val="11"/>
        <color theme="1"/>
        <rFont val="Calibri"/>
        <family val="2"/>
        <charset val="162"/>
        <scheme val="minor"/>
      </rPr>
      <t xml:space="preserve"> Çapı [m]</t>
    </r>
  </si>
  <si>
    <r>
      <rPr>
        <b/>
        <sz val="18"/>
        <color rgb="FFC00000"/>
        <rFont val="Calibri"/>
        <family val="2"/>
        <charset val="162"/>
        <scheme val="minor"/>
      </rPr>
      <t>D</t>
    </r>
    <r>
      <rPr>
        <b/>
        <sz val="10"/>
        <color rgb="FFC00000"/>
        <rFont val="Calibri"/>
        <family val="2"/>
        <charset val="162"/>
        <scheme val="minor"/>
      </rPr>
      <t>1</t>
    </r>
    <r>
      <rPr>
        <b/>
        <sz val="11"/>
        <color rgb="FFC00000"/>
        <rFont val="Calibri"/>
        <family val="2"/>
        <charset val="162"/>
        <scheme val="minor"/>
      </rPr>
      <t>d</t>
    </r>
    <r>
      <rPr>
        <b/>
        <sz val="14"/>
        <color rgb="FFC00000"/>
        <rFont val="Calibri"/>
        <family val="2"/>
        <charset val="162"/>
        <scheme val="minor"/>
      </rPr>
      <t xml:space="preserve"> </t>
    </r>
    <r>
      <rPr>
        <b/>
        <sz val="11"/>
        <rFont val="Calibri"/>
        <family val="2"/>
        <charset val="162"/>
        <scheme val="minor"/>
      </rPr>
      <t>Kanat Giriş</t>
    </r>
    <r>
      <rPr>
        <b/>
        <sz val="11"/>
        <color theme="1"/>
        <rFont val="Calibri"/>
        <family val="2"/>
        <charset val="162"/>
        <scheme val="minor"/>
      </rPr>
      <t xml:space="preserve"> Dış Çapı [mm]</t>
    </r>
  </si>
  <si>
    <r>
      <rPr>
        <b/>
        <sz val="18"/>
        <color rgb="FFC00000"/>
        <rFont val="Calibri"/>
        <family val="2"/>
        <charset val="162"/>
        <scheme val="minor"/>
      </rPr>
      <t>D</t>
    </r>
    <r>
      <rPr>
        <b/>
        <sz val="10"/>
        <color rgb="FFC00000"/>
        <rFont val="Calibri"/>
        <family val="2"/>
        <charset val="162"/>
        <scheme val="minor"/>
      </rPr>
      <t>1</t>
    </r>
    <r>
      <rPr>
        <b/>
        <sz val="11"/>
        <color rgb="FFC00000"/>
        <rFont val="Calibri"/>
        <family val="2"/>
        <charset val="162"/>
        <scheme val="minor"/>
      </rPr>
      <t>i</t>
    </r>
    <r>
      <rPr>
        <b/>
        <sz val="16"/>
        <color rgb="FFC00000"/>
        <rFont val="Calibri"/>
        <family val="2"/>
        <charset val="162"/>
        <scheme val="minor"/>
      </rPr>
      <t xml:space="preserve"> </t>
    </r>
    <r>
      <rPr>
        <b/>
        <sz val="11"/>
        <rFont val="Calibri"/>
        <family val="2"/>
        <charset val="162"/>
        <scheme val="minor"/>
      </rPr>
      <t>Kanat Giriş İç</t>
    </r>
    <r>
      <rPr>
        <b/>
        <sz val="11"/>
        <color theme="1"/>
        <rFont val="Calibri"/>
        <family val="2"/>
        <charset val="162"/>
        <scheme val="minor"/>
      </rPr>
      <t xml:space="preserve"> Çapı [mm]</t>
    </r>
  </si>
  <si>
    <r>
      <t>b</t>
    </r>
    <r>
      <rPr>
        <b/>
        <sz val="18"/>
        <color rgb="FFC00000"/>
        <rFont val="Times New Roman"/>
        <family val="1"/>
        <charset val="162"/>
      </rPr>
      <t>₁</t>
    </r>
    <r>
      <rPr>
        <b/>
        <sz val="18"/>
        <color rgb="FFC00000"/>
        <rFont val="Calibri"/>
        <family val="2"/>
        <charset val="162"/>
        <scheme val="minor"/>
      </rPr>
      <t xml:space="preserve"> </t>
    </r>
    <r>
      <rPr>
        <b/>
        <sz val="11"/>
        <rFont val="Calibri"/>
        <family val="2"/>
        <charset val="162"/>
        <scheme val="minor"/>
      </rPr>
      <t>Kanat Giriş Genişliği [m]</t>
    </r>
  </si>
  <si>
    <r>
      <rPr>
        <b/>
        <sz val="18"/>
        <color rgb="FFC00000"/>
        <rFont val="Calibri"/>
        <family val="2"/>
        <charset val="162"/>
        <scheme val="minor"/>
      </rPr>
      <t>C</t>
    </r>
    <r>
      <rPr>
        <b/>
        <sz val="8"/>
        <color rgb="FFC00000"/>
        <rFont val="Calibri"/>
        <family val="2"/>
        <charset val="162"/>
        <scheme val="minor"/>
      </rPr>
      <t>0</t>
    </r>
    <r>
      <rPr>
        <b/>
        <sz val="11"/>
        <color theme="1"/>
        <rFont val="Calibri"/>
        <family val="2"/>
        <charset val="162"/>
        <scheme val="minor"/>
      </rPr>
      <t xml:space="preserve"> Hızı [m/s] (Açılır Listeden Seçiniz)</t>
    </r>
  </si>
  <si>
    <r>
      <rPr>
        <b/>
        <sz val="18"/>
        <color rgb="FFC00000"/>
        <rFont val="Calibri"/>
        <family val="2"/>
        <charset val="162"/>
        <scheme val="minor"/>
      </rPr>
      <t>C</t>
    </r>
    <r>
      <rPr>
        <b/>
        <sz val="8"/>
        <color rgb="FFC00000"/>
        <rFont val="Calibri"/>
        <family val="2"/>
        <charset val="162"/>
        <scheme val="minor"/>
      </rPr>
      <t>1</t>
    </r>
    <r>
      <rPr>
        <b/>
        <sz val="11"/>
        <color theme="1"/>
        <rFont val="Calibri"/>
        <family val="2"/>
        <charset val="162"/>
        <scheme val="minor"/>
      </rPr>
      <t xml:space="preserve"> Hızı [m/s]</t>
    </r>
  </si>
  <si>
    <r>
      <rPr>
        <b/>
        <sz val="18"/>
        <color rgb="FFC00000"/>
        <rFont val="Calibri"/>
        <family val="2"/>
        <charset val="162"/>
        <scheme val="minor"/>
      </rPr>
      <t>C</t>
    </r>
    <r>
      <rPr>
        <b/>
        <sz val="11"/>
        <color rgb="FFC00000"/>
        <rFont val="Calibri"/>
        <family val="2"/>
        <charset val="162"/>
        <scheme val="minor"/>
      </rPr>
      <t>m</t>
    </r>
    <r>
      <rPr>
        <b/>
        <sz val="8"/>
        <color rgb="FFC00000"/>
        <rFont val="Calibri"/>
        <family val="2"/>
        <charset val="162"/>
        <scheme val="minor"/>
      </rPr>
      <t>1</t>
    </r>
    <r>
      <rPr>
        <b/>
        <sz val="18"/>
        <color rgb="FFC00000"/>
        <rFont val="Calibri"/>
        <family val="2"/>
        <charset val="162"/>
        <scheme val="minor"/>
      </rPr>
      <t>'</t>
    </r>
    <r>
      <rPr>
        <b/>
        <sz val="11"/>
        <color theme="1"/>
        <rFont val="Calibri"/>
        <family val="2"/>
        <charset val="162"/>
        <scheme val="minor"/>
      </rPr>
      <t xml:space="preserve"> Hızı [m/s]</t>
    </r>
  </si>
  <si>
    <r>
      <rPr>
        <b/>
        <sz val="16"/>
        <color rgb="FFC00000"/>
        <rFont val="Calibri"/>
        <family val="2"/>
        <charset val="162"/>
        <scheme val="minor"/>
      </rPr>
      <t>V</t>
    </r>
    <r>
      <rPr>
        <b/>
        <sz val="11"/>
        <color rgb="FFC00000"/>
        <rFont val="Calibri"/>
        <family val="2"/>
        <charset val="162"/>
        <scheme val="minor"/>
      </rPr>
      <t xml:space="preserve">e </t>
    </r>
    <r>
      <rPr>
        <b/>
        <sz val="11"/>
        <rFont val="Calibri"/>
        <family val="2"/>
        <charset val="162"/>
        <scheme val="minor"/>
      </rPr>
      <t>Emme Hızı [m/s]</t>
    </r>
  </si>
  <si>
    <r>
      <rPr>
        <b/>
        <sz val="11"/>
        <color theme="1"/>
        <rFont val="Arial Tur"/>
        <charset val="162"/>
      </rPr>
      <t>λ</t>
    </r>
    <r>
      <rPr>
        <b/>
        <sz val="11"/>
        <color theme="1"/>
        <rFont val="Calibri"/>
        <family val="2"/>
        <charset val="162"/>
      </rPr>
      <t xml:space="preserve"> değerlerini açılır listeden seçiniz</t>
    </r>
  </si>
  <si>
    <r>
      <t xml:space="preserve">Hesaplanan Mil Çapı - </t>
    </r>
    <r>
      <rPr>
        <b/>
        <sz val="18"/>
        <color rgb="FFC00000"/>
        <rFont val="Calibri"/>
        <family val="2"/>
        <charset val="162"/>
        <scheme val="minor"/>
      </rPr>
      <t>d</t>
    </r>
    <r>
      <rPr>
        <b/>
        <sz val="11"/>
        <color theme="1"/>
        <rFont val="Calibri"/>
        <family val="2"/>
        <charset val="162"/>
        <scheme val="minor"/>
      </rPr>
      <t xml:space="preserve"> [cm]</t>
    </r>
  </si>
  <si>
    <r>
      <t xml:space="preserve">Normlardan Seçilen Mil Çapı - </t>
    </r>
    <r>
      <rPr>
        <b/>
        <sz val="18"/>
        <color rgb="FFC00000"/>
        <rFont val="Calibri"/>
        <family val="2"/>
        <charset val="162"/>
        <scheme val="minor"/>
      </rPr>
      <t>d</t>
    </r>
    <r>
      <rPr>
        <b/>
        <sz val="11"/>
        <color rgb="FFC00000"/>
        <rFont val="Calibri"/>
        <family val="2"/>
        <charset val="162"/>
        <scheme val="minor"/>
      </rPr>
      <t>m</t>
    </r>
    <r>
      <rPr>
        <b/>
        <sz val="11"/>
        <color theme="1"/>
        <rFont val="Calibri"/>
        <family val="2"/>
        <charset val="162"/>
        <scheme val="minor"/>
      </rPr>
      <t xml:space="preserve"> [mm]</t>
    </r>
  </si>
  <si>
    <r>
      <t xml:space="preserve">Göbek Çapı - </t>
    </r>
    <r>
      <rPr>
        <b/>
        <sz val="18"/>
        <color rgb="FFC00000"/>
        <rFont val="Calibri"/>
        <family val="2"/>
        <charset val="162"/>
        <scheme val="minor"/>
      </rPr>
      <t>d</t>
    </r>
    <r>
      <rPr>
        <b/>
        <sz val="11"/>
        <color rgb="FFC00000"/>
        <rFont val="Calibri"/>
        <family val="2"/>
        <charset val="162"/>
        <scheme val="minor"/>
      </rPr>
      <t>g</t>
    </r>
    <r>
      <rPr>
        <b/>
        <sz val="11"/>
        <color theme="1"/>
        <rFont val="Calibri"/>
        <family val="2"/>
        <charset val="162"/>
        <scheme val="minor"/>
      </rPr>
      <t xml:space="preserve"> [mm]</t>
    </r>
  </si>
  <si>
    <r>
      <t xml:space="preserve">Mil Çapı Normları - </t>
    </r>
    <r>
      <rPr>
        <b/>
        <sz val="16"/>
        <color theme="1"/>
        <rFont val="Arial Tur"/>
        <charset val="162"/>
      </rPr>
      <t>ø</t>
    </r>
    <r>
      <rPr>
        <b/>
        <sz val="11"/>
        <color theme="1"/>
        <rFont val="Arial Tur"/>
        <charset val="162"/>
      </rPr>
      <t xml:space="preserve"> [mm]</t>
    </r>
    <r>
      <rPr>
        <b/>
        <sz val="11"/>
        <color theme="1"/>
        <rFont val="Calibri"/>
        <family val="2"/>
        <charset val="162"/>
      </rPr>
      <t xml:space="preserve"> </t>
    </r>
  </si>
  <si>
    <r>
      <t xml:space="preserve">Efektif Güç - </t>
    </r>
    <r>
      <rPr>
        <b/>
        <sz val="18"/>
        <color rgb="FFC00000"/>
        <rFont val="Calibri"/>
        <family val="2"/>
        <charset val="162"/>
        <scheme val="minor"/>
      </rPr>
      <t>N</t>
    </r>
    <r>
      <rPr>
        <b/>
        <sz val="11"/>
        <color rgb="FFC00000"/>
        <rFont val="Calibri"/>
        <family val="2"/>
        <charset val="162"/>
        <scheme val="minor"/>
      </rPr>
      <t>e</t>
    </r>
    <r>
      <rPr>
        <b/>
        <sz val="11"/>
        <color theme="1"/>
        <rFont val="Calibri"/>
        <family val="2"/>
        <charset val="162"/>
        <scheme val="minor"/>
      </rPr>
      <t xml:space="preserve"> [B.G.]</t>
    </r>
  </si>
  <si>
    <r>
      <t xml:space="preserve">Motor Gücü - </t>
    </r>
    <r>
      <rPr>
        <b/>
        <sz val="18"/>
        <color rgb="FFC00000"/>
        <rFont val="Calibri"/>
        <family val="2"/>
        <charset val="162"/>
        <scheme val="minor"/>
      </rPr>
      <t>N</t>
    </r>
    <r>
      <rPr>
        <b/>
        <sz val="11"/>
        <color rgb="FFC00000"/>
        <rFont val="Calibri"/>
        <family val="2"/>
        <charset val="162"/>
        <scheme val="minor"/>
      </rPr>
      <t>m</t>
    </r>
    <r>
      <rPr>
        <b/>
        <sz val="11"/>
        <color theme="1"/>
        <rFont val="Calibri"/>
        <family val="2"/>
        <charset val="162"/>
        <scheme val="minor"/>
      </rPr>
      <t xml:space="preserve"> [B.G.]</t>
    </r>
  </si>
  <si>
    <r>
      <rPr>
        <b/>
        <sz val="18"/>
        <color rgb="FFC00000"/>
        <rFont val="Calibri"/>
        <family val="2"/>
        <charset val="162"/>
        <scheme val="minor"/>
      </rPr>
      <t>N</t>
    </r>
    <r>
      <rPr>
        <b/>
        <sz val="11"/>
        <color rgb="FFC00000"/>
        <rFont val="Calibri"/>
        <family val="2"/>
        <charset val="162"/>
        <scheme val="minor"/>
      </rPr>
      <t>m</t>
    </r>
    <r>
      <rPr>
        <b/>
        <sz val="11"/>
        <color theme="1"/>
        <rFont val="Calibri"/>
        <family val="2"/>
        <charset val="162"/>
        <scheme val="minor"/>
      </rPr>
      <t xml:space="preserve"> [kW]</t>
    </r>
  </si>
  <si>
    <r>
      <rPr>
        <b/>
        <sz val="14"/>
        <color rgb="FFC00000"/>
        <rFont val="Calibri"/>
        <family val="2"/>
        <charset val="162"/>
        <scheme val="minor"/>
      </rPr>
      <t>N</t>
    </r>
    <r>
      <rPr>
        <b/>
        <sz val="11"/>
        <color rgb="FFC00000"/>
        <rFont val="Calibri"/>
        <family val="2"/>
        <charset val="162"/>
        <scheme val="minor"/>
      </rPr>
      <t>e</t>
    </r>
    <r>
      <rPr>
        <b/>
        <sz val="11"/>
        <color theme="1"/>
        <rFont val="Calibri"/>
        <family val="2"/>
        <charset val="162"/>
        <scheme val="minor"/>
      </rPr>
      <t xml:space="preserve"> değer aralıkları</t>
    </r>
  </si>
  <si>
    <r>
      <t xml:space="preserve">Genel Verim </t>
    </r>
    <r>
      <rPr>
        <b/>
        <sz val="18"/>
        <color theme="1"/>
        <rFont val="Arial Tur"/>
        <charset val="162"/>
      </rPr>
      <t>η</t>
    </r>
  </si>
  <si>
    <r>
      <t xml:space="preserve">Emniyetli Verim </t>
    </r>
    <r>
      <rPr>
        <b/>
        <sz val="18"/>
        <color rgb="FFC00000"/>
        <rFont val="Arial Tur"/>
        <charset val="162"/>
      </rPr>
      <t>η</t>
    </r>
    <r>
      <rPr>
        <b/>
        <sz val="11"/>
        <color rgb="FFC00000"/>
        <rFont val="Calibri"/>
        <family val="2"/>
        <charset val="162"/>
      </rPr>
      <t>g</t>
    </r>
  </si>
  <si>
    <r>
      <t xml:space="preserve">Emniyetli Debi </t>
    </r>
    <r>
      <rPr>
        <b/>
        <sz val="18"/>
        <color rgb="FFC00000"/>
        <rFont val="Arial Tur"/>
        <charset val="162"/>
      </rPr>
      <t>Q</t>
    </r>
    <r>
      <rPr>
        <b/>
        <sz val="11"/>
        <color rgb="FFC00000"/>
        <rFont val="Calibri"/>
        <family val="2"/>
        <charset val="162"/>
      </rPr>
      <t>T</t>
    </r>
    <r>
      <rPr>
        <b/>
        <sz val="11"/>
        <color theme="1"/>
        <rFont val="Calibri"/>
        <family val="2"/>
        <charset val="162"/>
        <scheme val="minor"/>
      </rPr>
      <t xml:space="preserve"> [m³/s]</t>
    </r>
  </si>
  <si>
    <r>
      <t xml:space="preserve">Kaçak Verim </t>
    </r>
    <r>
      <rPr>
        <b/>
        <sz val="18"/>
        <rFont val="Arial Tur"/>
        <charset val="162"/>
      </rPr>
      <t>η</t>
    </r>
    <r>
      <rPr>
        <b/>
        <sz val="11"/>
        <rFont val="Calibri"/>
        <family val="2"/>
        <charset val="162"/>
      </rPr>
      <t>k</t>
    </r>
    <r>
      <rPr>
        <b/>
        <sz val="11"/>
        <color theme="1"/>
        <rFont val="Calibri"/>
        <family val="2"/>
        <charset val="162"/>
        <scheme val="minor"/>
      </rPr>
      <t xml:space="preserve"> (Açılır Listeden Seçiniz)</t>
    </r>
  </si>
  <si>
    <r>
      <t xml:space="preserve">Emniyetli Hidrolik Verim </t>
    </r>
    <r>
      <rPr>
        <b/>
        <sz val="18"/>
        <color rgb="FFC00000"/>
        <rFont val="Arial Tur"/>
        <charset val="162"/>
      </rPr>
      <t>η</t>
    </r>
    <r>
      <rPr>
        <b/>
        <sz val="10"/>
        <color rgb="FFC00000"/>
        <rFont val="Arial Tur"/>
        <charset val="162"/>
      </rPr>
      <t>h</t>
    </r>
  </si>
  <si>
    <r>
      <t xml:space="preserve">Tek Kademeli Özgül Hız </t>
    </r>
    <r>
      <rPr>
        <b/>
        <sz val="18"/>
        <color rgb="FFC00000"/>
        <rFont val="Calibri"/>
        <family val="2"/>
        <charset val="162"/>
        <scheme val="minor"/>
      </rPr>
      <t>n</t>
    </r>
    <r>
      <rPr>
        <b/>
        <sz val="11"/>
        <color rgb="FFC00000"/>
        <rFont val="Calibri"/>
        <family val="2"/>
        <charset val="162"/>
        <scheme val="minor"/>
      </rPr>
      <t>s</t>
    </r>
    <r>
      <rPr>
        <b/>
        <sz val="11"/>
        <color theme="1"/>
        <rFont val="Calibri"/>
        <family val="2"/>
        <charset val="162"/>
        <scheme val="minor"/>
      </rPr>
      <t xml:space="preserve"> [d/d]</t>
    </r>
  </si>
  <si>
    <r>
      <t xml:space="preserve">(i) Kademeli Özgül Hız </t>
    </r>
    <r>
      <rPr>
        <b/>
        <sz val="11"/>
        <color rgb="FFC00000"/>
        <rFont val="Calibri"/>
        <family val="2"/>
        <charset val="162"/>
        <scheme val="minor"/>
      </rPr>
      <t>(</t>
    </r>
    <r>
      <rPr>
        <b/>
        <sz val="18"/>
        <color rgb="FFC00000"/>
        <rFont val="Calibri"/>
        <family val="2"/>
        <charset val="162"/>
        <scheme val="minor"/>
      </rPr>
      <t>n</t>
    </r>
    <r>
      <rPr>
        <b/>
        <sz val="11"/>
        <color rgb="FFC00000"/>
        <rFont val="Calibri"/>
        <family val="2"/>
        <charset val="162"/>
        <scheme val="minor"/>
      </rPr>
      <t>s)</t>
    </r>
    <r>
      <rPr>
        <b/>
        <sz val="9"/>
        <color rgb="FFC00000"/>
        <rFont val="Calibri"/>
        <family val="2"/>
        <charset val="162"/>
        <scheme val="minor"/>
      </rPr>
      <t>i</t>
    </r>
    <r>
      <rPr>
        <b/>
        <sz val="11"/>
        <color rgb="FFC00000"/>
        <rFont val="Calibri"/>
        <family val="2"/>
        <charset val="162"/>
        <scheme val="minor"/>
      </rPr>
      <t xml:space="preserve"> </t>
    </r>
    <r>
      <rPr>
        <b/>
        <sz val="11"/>
        <color theme="1"/>
        <rFont val="Calibri"/>
        <family val="2"/>
        <charset val="162"/>
        <scheme val="minor"/>
      </rPr>
      <t>[d/d]</t>
    </r>
  </si>
  <si>
    <r>
      <t>Özgül Hız (</t>
    </r>
    <r>
      <rPr>
        <b/>
        <sz val="18"/>
        <color rgb="FFC00000"/>
        <rFont val="Calibri"/>
        <family val="2"/>
        <charset val="162"/>
        <scheme val="minor"/>
      </rPr>
      <t>n</t>
    </r>
    <r>
      <rPr>
        <b/>
        <sz val="11"/>
        <color rgb="FFC00000"/>
        <rFont val="Calibri"/>
        <family val="2"/>
        <charset val="162"/>
        <scheme val="minor"/>
      </rPr>
      <t>s</t>
    </r>
    <r>
      <rPr>
        <b/>
        <sz val="11"/>
        <rFont val="Calibri"/>
        <family val="2"/>
        <charset val="162"/>
        <scheme val="minor"/>
      </rPr>
      <t>)</t>
    </r>
    <r>
      <rPr>
        <b/>
        <sz val="11"/>
        <color theme="1"/>
        <rFont val="Calibri"/>
        <family val="2"/>
        <charset val="162"/>
        <scheme val="minor"/>
      </rPr>
      <t xml:space="preserve"> Aralıkları</t>
    </r>
  </si>
  <si>
    <r>
      <t xml:space="preserve">Debi - </t>
    </r>
    <r>
      <rPr>
        <b/>
        <sz val="16"/>
        <color rgb="FFC00000"/>
        <rFont val="Calibri"/>
        <family val="2"/>
        <charset val="162"/>
        <scheme val="minor"/>
      </rPr>
      <t>Q</t>
    </r>
    <r>
      <rPr>
        <b/>
        <sz val="11"/>
        <color theme="1"/>
        <rFont val="Calibri"/>
        <family val="2"/>
        <charset val="162"/>
        <scheme val="minor"/>
      </rPr>
      <t xml:space="preserve"> [m</t>
    </r>
    <r>
      <rPr>
        <b/>
        <sz val="11"/>
        <color theme="1"/>
        <rFont val="Arial Tur"/>
        <charset val="162"/>
      </rPr>
      <t>³</t>
    </r>
    <r>
      <rPr>
        <b/>
        <sz val="11"/>
        <color theme="1"/>
        <rFont val="Calibri"/>
        <family val="2"/>
        <charset val="162"/>
      </rPr>
      <t>/s]</t>
    </r>
  </si>
  <si>
    <r>
      <t xml:space="preserve">Manometrik Yükseklik </t>
    </r>
    <r>
      <rPr>
        <b/>
        <sz val="18"/>
        <color rgb="FFC00000"/>
        <rFont val="Calibri"/>
        <family val="2"/>
        <charset val="162"/>
        <scheme val="minor"/>
      </rPr>
      <t>H</t>
    </r>
    <r>
      <rPr>
        <b/>
        <sz val="10"/>
        <color rgb="FFC00000"/>
        <rFont val="Calibri"/>
        <family val="2"/>
        <charset val="162"/>
        <scheme val="minor"/>
      </rPr>
      <t>m</t>
    </r>
    <r>
      <rPr>
        <b/>
        <sz val="11"/>
        <color theme="1"/>
        <rFont val="Calibri"/>
        <family val="2"/>
        <charset val="162"/>
        <scheme val="minor"/>
      </rPr>
      <t xml:space="preserve"> [mSS]</t>
    </r>
  </si>
  <si>
    <r>
      <t xml:space="preserve">Devir Sayısı </t>
    </r>
    <r>
      <rPr>
        <b/>
        <sz val="18"/>
        <color rgb="FFC00000"/>
        <rFont val="Calibri"/>
        <family val="2"/>
        <charset val="162"/>
        <scheme val="minor"/>
      </rPr>
      <t>n</t>
    </r>
    <r>
      <rPr>
        <b/>
        <sz val="11"/>
        <color theme="1"/>
        <rFont val="Calibri"/>
        <family val="2"/>
        <charset val="162"/>
        <scheme val="minor"/>
      </rPr>
      <t xml:space="preserve"> [dev/dk.]</t>
    </r>
  </si>
  <si>
    <r>
      <t xml:space="preserve">Suyun Öz Kütlesi </t>
    </r>
    <r>
      <rPr>
        <b/>
        <sz val="18"/>
        <color rgb="FFC00000"/>
        <rFont val="Arial Tur"/>
        <charset val="162"/>
      </rPr>
      <t>γ</t>
    </r>
    <r>
      <rPr>
        <b/>
        <sz val="11"/>
        <color theme="1"/>
        <rFont val="Calibri"/>
        <family val="2"/>
        <charset val="162"/>
        <scheme val="minor"/>
      </rPr>
      <t xml:space="preserve"> [kg/m</t>
    </r>
    <r>
      <rPr>
        <b/>
        <sz val="11"/>
        <color theme="1"/>
        <rFont val="Arial Tur"/>
        <charset val="162"/>
      </rPr>
      <t>³</t>
    </r>
    <r>
      <rPr>
        <b/>
        <sz val="11"/>
        <color theme="1"/>
        <rFont val="Calibri"/>
        <family val="2"/>
        <charset val="162"/>
      </rPr>
      <t>]</t>
    </r>
  </si>
  <si>
    <t>P1 [kg]</t>
  </si>
  <si>
    <t>P2 [kg]</t>
  </si>
  <si>
    <t>Pt [kg]</t>
  </si>
  <si>
    <t>kr</t>
  </si>
  <si>
    <t>Fr (kN)</t>
  </si>
  <si>
    <t>İki noktadan yataklı</t>
  </si>
  <si>
    <t>A</t>
  </si>
  <si>
    <t>B</t>
  </si>
  <si>
    <r>
      <rPr>
        <b/>
        <sz val="14"/>
        <color theme="1"/>
        <rFont val="Calibri"/>
        <family val="2"/>
        <charset val="162"/>
        <scheme val="minor"/>
      </rPr>
      <t>F</t>
    </r>
    <r>
      <rPr>
        <b/>
        <sz val="8"/>
        <color theme="1"/>
        <rFont val="Calibri"/>
        <family val="2"/>
        <charset val="162"/>
        <scheme val="minor"/>
      </rPr>
      <t>Be</t>
    </r>
    <r>
      <rPr>
        <b/>
        <sz val="11"/>
        <color theme="1"/>
        <rFont val="Calibri"/>
        <family val="2"/>
        <charset val="162"/>
        <scheme val="minor"/>
      </rPr>
      <t xml:space="preserve"> [kN]</t>
    </r>
  </si>
  <si>
    <r>
      <rPr>
        <b/>
        <sz val="14"/>
        <color theme="1"/>
        <rFont val="Calibri"/>
        <family val="2"/>
        <charset val="162"/>
        <scheme val="minor"/>
      </rPr>
      <t>F</t>
    </r>
    <r>
      <rPr>
        <b/>
        <sz val="8"/>
        <color theme="1"/>
        <rFont val="Calibri"/>
        <family val="2"/>
        <charset val="162"/>
        <scheme val="minor"/>
      </rPr>
      <t>Ae</t>
    </r>
    <r>
      <rPr>
        <b/>
        <sz val="11"/>
        <color theme="1"/>
        <rFont val="Calibri"/>
        <family val="2"/>
        <charset val="162"/>
        <scheme val="minor"/>
      </rPr>
      <t xml:space="preserve"> [kN]</t>
    </r>
  </si>
  <si>
    <r>
      <rPr>
        <b/>
        <sz val="14"/>
        <color theme="1"/>
        <rFont val="Calibri"/>
        <family val="2"/>
        <charset val="162"/>
        <scheme val="minor"/>
      </rPr>
      <t>F</t>
    </r>
    <r>
      <rPr>
        <b/>
        <sz val="8"/>
        <color theme="1"/>
        <rFont val="Calibri"/>
        <family val="2"/>
        <charset val="162"/>
        <scheme val="minor"/>
      </rPr>
      <t>Br</t>
    </r>
    <r>
      <rPr>
        <b/>
        <sz val="11"/>
        <color theme="1"/>
        <rFont val="Calibri"/>
        <family val="2"/>
        <charset val="162"/>
        <scheme val="minor"/>
      </rPr>
      <t xml:space="preserve"> [kN]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</si>
</sst>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79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</font>
    <font>
      <sz val="11"/>
      <color theme="1"/>
      <name val="Arial Tur"/>
      <charset val="162"/>
    </font>
    <font>
      <b/>
      <sz val="11"/>
      <color rgb="FFC00000"/>
      <name val="Calibri"/>
      <family val="2"/>
      <charset val="162"/>
      <scheme val="minor"/>
    </font>
    <font>
      <b/>
      <sz val="14"/>
      <color rgb="FFC00000"/>
      <name val="Calibri"/>
      <family val="2"/>
      <charset val="162"/>
      <scheme val="minor"/>
    </font>
    <font>
      <b/>
      <sz val="16"/>
      <color rgb="FFC00000"/>
      <name val="Calibri"/>
      <family val="2"/>
      <charset val="162"/>
      <scheme val="minor"/>
    </font>
    <font>
      <b/>
      <sz val="18"/>
      <color rgb="FFC00000"/>
      <name val="Calibri"/>
      <family val="2"/>
      <charset val="162"/>
      <scheme val="minor"/>
    </font>
    <font>
      <b/>
      <sz val="18"/>
      <color rgb="FFC00000"/>
      <name val="Arial Tur"/>
      <charset val="162"/>
    </font>
    <font>
      <sz val="9"/>
      <color indexed="81"/>
      <name val="Tahoma"/>
      <family val="2"/>
      <charset val="162"/>
    </font>
    <font>
      <b/>
      <sz val="9"/>
      <color indexed="81"/>
      <name val="Tahoma"/>
      <family val="2"/>
      <charset val="162"/>
    </font>
    <font>
      <sz val="11"/>
      <name val="Calibri"/>
      <family val="2"/>
      <charset val="162"/>
      <scheme val="minor"/>
    </font>
    <font>
      <b/>
      <sz val="18"/>
      <color theme="1"/>
      <name val="Calibri"/>
      <family val="2"/>
      <charset val="162"/>
      <scheme val="minor"/>
    </font>
    <font>
      <b/>
      <sz val="8"/>
      <color rgb="FFC00000"/>
      <name val="Calibri"/>
      <family val="2"/>
      <charset val="162"/>
      <scheme val="minor"/>
    </font>
    <font>
      <b/>
      <sz val="16"/>
      <color theme="1"/>
      <name val="Calibri"/>
      <family val="2"/>
      <charset val="162"/>
      <scheme val="minor"/>
    </font>
    <font>
      <b/>
      <sz val="6"/>
      <color theme="1"/>
      <name val="Calibri"/>
      <family val="2"/>
      <charset val="162"/>
      <scheme val="minor"/>
    </font>
    <font>
      <b/>
      <sz val="10"/>
      <color rgb="FFC00000"/>
      <name val="Calibri"/>
      <family val="2"/>
      <charset val="162"/>
      <scheme val="minor"/>
    </font>
    <font>
      <sz val="14"/>
      <color theme="1"/>
      <name val="Calibri"/>
      <family val="2"/>
      <charset val="162"/>
      <scheme val="minor"/>
    </font>
    <font>
      <b/>
      <sz val="9"/>
      <color rgb="FFC00000"/>
      <name val="Calibri"/>
      <family val="2"/>
      <charset val="162"/>
      <scheme val="minor"/>
    </font>
    <font>
      <sz val="12"/>
      <color indexed="81"/>
      <name val="Tahoma"/>
      <family val="2"/>
      <charset val="162"/>
    </font>
    <font>
      <sz val="8"/>
      <color indexed="81"/>
      <name val="Tahoma"/>
      <family val="2"/>
      <charset val="162"/>
    </font>
    <font>
      <sz val="11"/>
      <color indexed="81"/>
      <name val="Tahoma"/>
      <family val="2"/>
      <charset val="162"/>
    </font>
    <font>
      <b/>
      <sz val="12"/>
      <color indexed="81"/>
      <name val="Tahoma"/>
      <family val="2"/>
      <charset val="162"/>
    </font>
    <font>
      <b/>
      <sz val="8"/>
      <color indexed="81"/>
      <name val="Tahoma"/>
      <family val="2"/>
      <charset val="162"/>
    </font>
    <font>
      <b/>
      <sz val="14"/>
      <color theme="1"/>
      <name val="Arial Tur"/>
      <charset val="162"/>
    </font>
    <font>
      <b/>
      <sz val="14"/>
      <color theme="1"/>
      <name val="Times New Roman"/>
      <family val="1"/>
      <charset val="162"/>
    </font>
    <font>
      <b/>
      <sz val="14"/>
      <color theme="1"/>
      <name val="Calibri"/>
      <family val="2"/>
      <charset val="162"/>
    </font>
    <font>
      <b/>
      <sz val="18"/>
      <color rgb="FFC00000"/>
      <name val="Calibri"/>
      <family val="2"/>
      <charset val="162"/>
    </font>
    <font>
      <b/>
      <sz val="18"/>
      <color rgb="FFC00000"/>
      <name val="Times New Roman"/>
      <family val="1"/>
      <charset val="162"/>
    </font>
    <font>
      <b/>
      <sz val="10"/>
      <color rgb="FFC00000"/>
      <name val="Times New Roman"/>
      <family val="1"/>
      <charset val="162"/>
    </font>
    <font>
      <b/>
      <sz val="10"/>
      <color rgb="FFC00000"/>
      <name val="Calibri"/>
      <family val="2"/>
      <charset val="162"/>
    </font>
    <font>
      <sz val="11"/>
      <color theme="1"/>
      <name val="Times New Roman"/>
      <family val="1"/>
      <charset val="162"/>
    </font>
    <font>
      <sz val="14"/>
      <color theme="1"/>
      <name val="Times New Roman"/>
      <family val="1"/>
      <charset val="162"/>
    </font>
    <font>
      <b/>
      <sz val="11"/>
      <color rgb="FFC00000"/>
      <name val="Times New Roman"/>
      <family val="1"/>
      <charset val="162"/>
    </font>
    <font>
      <b/>
      <sz val="14"/>
      <color rgb="FFC00000"/>
      <name val="Times New Roman"/>
      <family val="1"/>
      <charset val="162"/>
    </font>
    <font>
      <b/>
      <sz val="9"/>
      <color rgb="FFC00000"/>
      <name val="Times New Roman"/>
      <family val="1"/>
      <charset val="162"/>
    </font>
    <font>
      <b/>
      <sz val="11"/>
      <name val="Calibri"/>
      <family val="2"/>
      <charset val="162"/>
      <scheme val="minor"/>
    </font>
    <font>
      <b/>
      <sz val="14"/>
      <color rgb="FFC00000"/>
      <name val="Calibri"/>
      <family val="2"/>
      <charset val="162"/>
    </font>
    <font>
      <b/>
      <sz val="20"/>
      <color theme="1"/>
      <name val="Calibri"/>
      <family val="2"/>
      <charset val="162"/>
      <scheme val="minor"/>
    </font>
    <font>
      <b/>
      <sz val="16"/>
      <color rgb="FFC00000"/>
      <name val="Times New Roman"/>
      <family val="1"/>
      <charset val="162"/>
    </font>
    <font>
      <b/>
      <sz val="16"/>
      <color rgb="FFC00000"/>
      <name val="Calibri"/>
      <family val="2"/>
      <charset val="162"/>
    </font>
    <font>
      <b/>
      <sz val="18"/>
      <color rgb="FFC00000"/>
      <name val="Monotype Corsiva"/>
      <family val="4"/>
      <charset val="162"/>
    </font>
    <font>
      <b/>
      <sz val="16"/>
      <color rgb="FFC00000"/>
      <name val="Monotype Corsiva"/>
      <family val="4"/>
      <charset val="162"/>
    </font>
    <font>
      <b/>
      <sz val="16"/>
      <color rgb="FFC00000"/>
      <name val="Arial"/>
      <family val="2"/>
      <charset val="162"/>
    </font>
    <font>
      <b/>
      <sz val="24"/>
      <color rgb="FFFF0000"/>
      <name val="Calibri"/>
      <family val="2"/>
      <charset val="162"/>
      <scheme val="minor"/>
    </font>
    <font>
      <b/>
      <sz val="14"/>
      <color theme="1"/>
      <name val="Calibri"/>
      <family val="2"/>
      <charset val="162"/>
      <scheme val="minor"/>
    </font>
    <font>
      <b/>
      <sz val="8"/>
      <color theme="1"/>
      <name val="Calibri"/>
      <family val="2"/>
      <charset val="162"/>
      <scheme val="minor"/>
    </font>
    <font>
      <b/>
      <sz val="11"/>
      <color theme="1"/>
      <name val="Arial"/>
      <family val="2"/>
      <charset val="162"/>
    </font>
    <font>
      <b/>
      <sz val="11"/>
      <color theme="1"/>
      <name val="Arial Tur"/>
      <charset val="162"/>
    </font>
    <font>
      <b/>
      <sz val="11"/>
      <color theme="1"/>
      <name val="Times New Roman"/>
      <family val="1"/>
      <charset val="162"/>
    </font>
    <font>
      <b/>
      <sz val="11"/>
      <color theme="1"/>
      <name val="Calibri"/>
      <family val="2"/>
      <charset val="162"/>
    </font>
    <font>
      <b/>
      <sz val="12"/>
      <color theme="1"/>
      <name val="Calibri"/>
      <family val="2"/>
      <charset val="162"/>
    </font>
    <font>
      <sz val="14"/>
      <color indexed="81"/>
      <name val="Tahoma"/>
      <family val="2"/>
      <charset val="162"/>
    </font>
    <font>
      <i/>
      <sz val="12"/>
      <color theme="1"/>
      <name val="Times New Roman"/>
      <family val="1"/>
      <charset val="162"/>
    </font>
    <font>
      <i/>
      <sz val="7"/>
      <color theme="1"/>
      <name val="Times New Roman"/>
      <family val="1"/>
      <charset val="162"/>
    </font>
    <font>
      <sz val="7"/>
      <color theme="1"/>
      <name val="Times New Roman"/>
      <family val="1"/>
      <charset val="162"/>
    </font>
    <font>
      <sz val="12"/>
      <color theme="1"/>
      <name val="Symbol"/>
      <family val="1"/>
      <charset val="2"/>
    </font>
    <font>
      <sz val="12"/>
      <color theme="1"/>
      <name val="Times New Roman"/>
      <family val="1"/>
      <charset val="162"/>
    </font>
    <font>
      <i/>
      <sz val="12.5"/>
      <color theme="1"/>
      <name val="Symbol"/>
      <family val="1"/>
      <charset val="2"/>
    </font>
    <font>
      <b/>
      <sz val="7"/>
      <color theme="1"/>
      <name val="Times New Roman"/>
      <family val="1"/>
      <charset val="162"/>
    </font>
    <font>
      <b/>
      <sz val="8"/>
      <color theme="1"/>
      <name val="Calibri"/>
      <family val="2"/>
      <charset val="162"/>
    </font>
    <font>
      <b/>
      <sz val="12"/>
      <color theme="1"/>
      <name val="Times New Roman"/>
      <family val="1"/>
      <charset val="162"/>
    </font>
    <font>
      <sz val="7"/>
      <color theme="1"/>
      <name val="Symbol"/>
      <family val="1"/>
      <charset val="2"/>
    </font>
    <font>
      <b/>
      <sz val="12"/>
      <color rgb="FFFF0000"/>
      <name val="Calibri"/>
      <family val="2"/>
      <charset val="162"/>
      <scheme val="minor"/>
    </font>
    <font>
      <b/>
      <sz val="16"/>
      <color rgb="FFFF0000"/>
      <name val="Calibri"/>
      <family val="2"/>
      <charset val="162"/>
      <scheme val="minor"/>
    </font>
    <font>
      <b/>
      <sz val="18"/>
      <color theme="1"/>
      <name val="Monotype Corsiva"/>
      <family val="4"/>
      <charset val="162"/>
    </font>
    <font>
      <b/>
      <sz val="16"/>
      <color theme="1"/>
      <name val="Calibri"/>
      <family val="2"/>
      <charset val="162"/>
    </font>
    <font>
      <b/>
      <sz val="11"/>
      <color theme="1"/>
      <name val="Times New Roman"/>
      <family val="2"/>
      <charset val="162"/>
    </font>
    <font>
      <b/>
      <sz val="10"/>
      <name val="Calibri"/>
      <family val="2"/>
      <charset val="162"/>
      <scheme val="minor"/>
    </font>
    <font>
      <b/>
      <sz val="11"/>
      <name val="Times New Roman"/>
      <family val="1"/>
      <charset val="162"/>
    </font>
    <font>
      <b/>
      <sz val="11"/>
      <name val="Calibri"/>
      <family val="2"/>
      <charset val="162"/>
    </font>
    <font>
      <b/>
      <sz val="11"/>
      <color theme="1"/>
      <name val="Calibri"/>
      <family val="1"/>
      <charset val="162"/>
      <scheme val="minor"/>
    </font>
    <font>
      <b/>
      <sz val="16"/>
      <color theme="1"/>
      <name val="Times New Roman"/>
      <family val="1"/>
      <charset val="162"/>
    </font>
    <font>
      <b/>
      <sz val="10"/>
      <color theme="1"/>
      <name val="Calibri"/>
      <family val="2"/>
      <charset val="162"/>
      <scheme val="minor"/>
    </font>
    <font>
      <b/>
      <sz val="16"/>
      <color theme="1"/>
      <name val="Arial Tur"/>
      <charset val="162"/>
    </font>
    <font>
      <b/>
      <sz val="18"/>
      <color theme="1"/>
      <name val="Arial Tur"/>
      <charset val="162"/>
    </font>
    <font>
      <b/>
      <sz val="11"/>
      <color rgb="FFC00000"/>
      <name val="Calibri"/>
      <family val="2"/>
      <charset val="162"/>
    </font>
    <font>
      <b/>
      <sz val="18"/>
      <name val="Arial Tur"/>
      <charset val="162"/>
    </font>
    <font>
      <b/>
      <sz val="10"/>
      <color rgb="FFC00000"/>
      <name val="Arial Tur"/>
      <charset val="162"/>
    </font>
  </fonts>
  <fills count="1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0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0" borderId="0" xfId="0" applyBorder="1"/>
    <xf numFmtId="0" fontId="1" fillId="7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2" fontId="0" fillId="5" borderId="1" xfId="0" applyNumberForma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 wrapText="1"/>
    </xf>
    <xf numFmtId="0" fontId="17" fillId="10" borderId="0" xfId="0" applyFont="1" applyFill="1" applyAlignment="1">
      <alignment horizontal="center" vertical="center" wrapText="1"/>
    </xf>
    <xf numFmtId="0" fontId="26" fillId="11" borderId="1" xfId="0" applyFont="1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9" borderId="1" xfId="0" applyFill="1" applyBorder="1" applyAlignment="1">
      <alignment horizontal="center" vertical="center"/>
    </xf>
    <xf numFmtId="0" fontId="32" fillId="9" borderId="1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0" fontId="32" fillId="9" borderId="1" xfId="0" applyFont="1" applyFill="1" applyBorder="1" applyAlignment="1">
      <alignment horizontal="center" vertical="center" wrapText="1"/>
    </xf>
    <xf numFmtId="0" fontId="0" fillId="12" borderId="1" xfId="0" applyFill="1" applyBorder="1" applyAlignment="1">
      <alignment horizontal="center" vertical="center" wrapText="1"/>
    </xf>
    <xf numFmtId="0" fontId="7" fillId="12" borderId="1" xfId="0" applyFont="1" applyFill="1" applyBorder="1" applyAlignment="1">
      <alignment horizontal="center" vertical="center" wrapText="1"/>
    </xf>
    <xf numFmtId="0" fontId="4" fillId="12" borderId="1" xfId="0" applyFont="1" applyFill="1" applyBorder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0" fontId="37" fillId="12" borderId="1" xfId="0" applyFont="1" applyFill="1" applyBorder="1" applyAlignment="1">
      <alignment horizontal="center" vertical="center" wrapText="1"/>
    </xf>
    <xf numFmtId="1" fontId="0" fillId="0" borderId="1" xfId="0" applyNumberFormat="1" applyFill="1" applyBorder="1" applyAlignment="1">
      <alignment horizontal="center" vertical="center" wrapText="1"/>
    </xf>
    <xf numFmtId="0" fontId="38" fillId="10" borderId="4" xfId="0" applyFont="1" applyFill="1" applyBorder="1" applyAlignment="1">
      <alignment horizontal="center" vertical="center"/>
    </xf>
    <xf numFmtId="0" fontId="1" fillId="10" borderId="5" xfId="0" applyFont="1" applyFill="1" applyBorder="1" applyAlignment="1">
      <alignment horizontal="center" vertical="center" wrapText="1"/>
    </xf>
    <xf numFmtId="0" fontId="0" fillId="13" borderId="1" xfId="0" applyFill="1" applyBorder="1" applyAlignment="1">
      <alignment horizontal="center" vertical="center" wrapText="1"/>
    </xf>
    <xf numFmtId="0" fontId="4" fillId="9" borderId="1" xfId="0" applyFont="1" applyFill="1" applyBorder="1" applyAlignment="1">
      <alignment horizontal="center" vertical="center" wrapText="1"/>
    </xf>
    <xf numFmtId="0" fontId="6" fillId="12" borderId="1" xfId="0" applyFont="1" applyFill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6" fillId="10" borderId="1" xfId="0" applyFont="1" applyFill="1" applyBorder="1" applyAlignment="1">
      <alignment horizontal="center" vertical="center" wrapText="1"/>
    </xf>
    <xf numFmtId="0" fontId="44" fillId="10" borderId="3" xfId="0" applyFont="1" applyFill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47" fillId="2" borderId="1" xfId="0" applyFont="1" applyFill="1" applyBorder="1" applyAlignment="1">
      <alignment horizontal="center" vertical="center" wrapText="1"/>
    </xf>
    <xf numFmtId="0" fontId="51" fillId="10" borderId="1" xfId="0" applyFon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2" fontId="45" fillId="10" borderId="1" xfId="0" applyNumberFormat="1" applyFont="1" applyFill="1" applyBorder="1" applyAlignment="1">
      <alignment horizontal="center" vertical="center" wrapText="1"/>
    </xf>
    <xf numFmtId="0" fontId="1" fillId="10" borderId="1" xfId="0" applyFont="1" applyFill="1" applyBorder="1"/>
    <xf numFmtId="165" fontId="0" fillId="0" borderId="1" xfId="0" applyNumberFormat="1" applyBorder="1"/>
    <xf numFmtId="0" fontId="0" fillId="0" borderId="0" xfId="0" applyFill="1" applyBorder="1" applyAlignment="1">
      <alignment vertical="center"/>
    </xf>
    <xf numFmtId="0" fontId="0" fillId="0" borderId="0" xfId="0" applyBorder="1" applyAlignment="1">
      <alignment horizontal="center" vertical="center" wrapText="1"/>
    </xf>
    <xf numFmtId="0" fontId="0" fillId="14" borderId="1" xfId="0" applyFill="1" applyBorder="1" applyAlignment="1">
      <alignment horizontal="center" vertical="center" wrapText="1"/>
    </xf>
    <xf numFmtId="0" fontId="0" fillId="1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 wrapText="1"/>
    </xf>
    <xf numFmtId="0" fontId="0" fillId="0" borderId="1" xfId="0" applyBorder="1" applyAlignment="1"/>
    <xf numFmtId="0" fontId="0" fillId="10" borderId="9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50" fillId="10" borderId="3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0" borderId="6" xfId="0" applyFont="1" applyFill="1" applyBorder="1" applyAlignment="1">
      <alignment horizontal="center" vertical="center" wrapText="1"/>
    </xf>
    <xf numFmtId="0" fontId="61" fillId="10" borderId="1" xfId="0" applyFont="1" applyFill="1" applyBorder="1" applyAlignment="1">
      <alignment horizontal="center" vertical="center"/>
    </xf>
    <xf numFmtId="0" fontId="0" fillId="0" borderId="4" xfId="0" applyBorder="1"/>
    <xf numFmtId="164" fontId="0" fillId="0" borderId="1" xfId="0" applyNumberFormat="1" applyFon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0" fontId="0" fillId="0" borderId="9" xfId="0" applyBorder="1"/>
    <xf numFmtId="0" fontId="0" fillId="0" borderId="5" xfId="0" applyBorder="1"/>
    <xf numFmtId="0" fontId="12" fillId="0" borderId="0" xfId="0" applyFont="1" applyBorder="1" applyAlignment="1">
      <alignment vertical="center" wrapText="1"/>
    </xf>
    <xf numFmtId="1" fontId="0" fillId="14" borderId="2" xfId="0" applyNumberFormat="1" applyFill="1" applyBorder="1" applyAlignment="1">
      <alignment horizontal="center" vertical="center"/>
    </xf>
    <xf numFmtId="0" fontId="1" fillId="10" borderId="3" xfId="0" applyFon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50" fillId="10" borderId="1" xfId="0" applyFont="1" applyFill="1" applyBorder="1" applyAlignment="1">
      <alignment horizontal="center" vertical="center"/>
    </xf>
    <xf numFmtId="0" fontId="39" fillId="12" borderId="1" xfId="0" applyFont="1" applyFill="1" applyBorder="1" applyAlignment="1">
      <alignment horizontal="center" vertical="center" wrapText="1"/>
    </xf>
    <xf numFmtId="0" fontId="65" fillId="12" borderId="1" xfId="0" applyFont="1" applyFill="1" applyBorder="1" applyAlignment="1">
      <alignment horizontal="center" vertical="center" wrapText="1"/>
    </xf>
    <xf numFmtId="0" fontId="50" fillId="12" borderId="1" xfId="0" applyFont="1" applyFill="1" applyBorder="1" applyAlignment="1">
      <alignment horizontal="center" vertical="center" wrapText="1"/>
    </xf>
    <xf numFmtId="0" fontId="67" fillId="12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/>
    </xf>
    <xf numFmtId="0" fontId="71" fillId="12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48" fillId="7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12" borderId="1" xfId="0" applyFont="1" applyFill="1" applyBorder="1"/>
    <xf numFmtId="0" fontId="63" fillId="10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4" fillId="10" borderId="1" xfId="0" applyFont="1" applyFill="1" applyBorder="1" applyAlignment="1">
      <alignment horizontal="center" vertical="center" wrapText="1"/>
    </xf>
    <xf numFmtId="0" fontId="1" fillId="10" borderId="8" xfId="0" applyFont="1" applyFill="1" applyBorder="1" applyAlignment="1">
      <alignment horizontal="center" vertical="center" wrapText="1"/>
    </xf>
    <xf numFmtId="0" fontId="1" fillId="10" borderId="11" xfId="0" applyFont="1" applyFill="1" applyBorder="1" applyAlignment="1">
      <alignment horizontal="center" vertical="center" wrapText="1"/>
    </xf>
    <xf numFmtId="0" fontId="1" fillId="12" borderId="2" xfId="0" applyFont="1" applyFill="1" applyBorder="1" applyAlignment="1">
      <alignment horizontal="center"/>
    </xf>
    <xf numFmtId="0" fontId="1" fillId="12" borderId="3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50" fillId="11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64" fillId="10" borderId="1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/>
    </xf>
    <xf numFmtId="0" fontId="1" fillId="10" borderId="10" xfId="0" applyFont="1" applyFill="1" applyBorder="1" applyAlignment="1">
      <alignment horizontal="center"/>
    </xf>
    <xf numFmtId="0" fontId="1" fillId="10" borderId="3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 vertical="center" wrapText="1"/>
    </xf>
    <xf numFmtId="0" fontId="53" fillId="0" borderId="1" xfId="0" applyFont="1" applyBorder="1" applyAlignment="1">
      <alignment horizontal="center"/>
    </xf>
    <xf numFmtId="0" fontId="53" fillId="0" borderId="1" xfId="0" applyFont="1" applyBorder="1" applyAlignment="1">
      <alignment horizontal="left" vertical="center"/>
    </xf>
    <xf numFmtId="0" fontId="63" fillId="10" borderId="1" xfId="0" applyFont="1" applyFill="1" applyBorder="1" applyAlignment="1">
      <alignment horizontal="center" wrapText="1"/>
    </xf>
    <xf numFmtId="0" fontId="45" fillId="0" borderId="0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10" borderId="1" xfId="0" applyFont="1" applyFill="1" applyBorder="1" applyAlignment="1">
      <alignment horizont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66"/>
      <color rgb="FFFF66CC"/>
      <color rgb="FFCC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g"/><Relationship Id="rId1" Type="http://schemas.openxmlformats.org/officeDocument/2006/relationships/image" Target="../media/image6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180975</xdr:colOff>
      <xdr:row>0</xdr:row>
      <xdr:rowOff>0</xdr:rowOff>
    </xdr:from>
    <xdr:to>
      <xdr:col>13</xdr:col>
      <xdr:colOff>307163</xdr:colOff>
      <xdr:row>18</xdr:row>
      <xdr:rowOff>95250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49219DC9-51F7-418C-82EB-23D133F86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2925" y="0"/>
          <a:ext cx="6222188" cy="44958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257175</xdr:colOff>
      <xdr:row>6</xdr:row>
      <xdr:rowOff>66675</xdr:rowOff>
    </xdr:from>
    <xdr:ext cx="65" cy="172227"/>
    <xdr:sp macro="" textlink="">
      <xdr:nvSpPr>
        <xdr:cNvPr id="2" name="Metin kutusu 1">
          <a:extLst>
            <a:ext uri="{FF2B5EF4-FFF2-40B4-BE49-F238E27FC236}">
              <a16:creationId xmlns:a16="http://schemas.microsoft.com/office/drawing/2014/main" id="{0A795403-7A45-4031-ACD1-2C5445858708}"/>
            </a:ext>
          </a:extLst>
        </xdr:cNvPr>
        <xdr:cNvSpPr txBox="1"/>
      </xdr:nvSpPr>
      <xdr:spPr>
        <a:xfrm>
          <a:off x="5819775" y="16954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tr-TR" sz="1100"/>
        </a:p>
      </xdr:txBody>
    </xdr:sp>
    <xdr:clientData/>
  </xdr:oneCellAnchor>
  <xdr:oneCellAnchor>
    <xdr:from>
      <xdr:col>0</xdr:col>
      <xdr:colOff>104775</xdr:colOff>
      <xdr:row>7</xdr:row>
      <xdr:rowOff>95250</xdr:rowOff>
    </xdr:from>
    <xdr:ext cx="1198598" cy="22448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Metin kutusu 2">
              <a:extLst>
                <a:ext uri="{FF2B5EF4-FFF2-40B4-BE49-F238E27FC236}">
                  <a16:creationId xmlns:a16="http://schemas.microsoft.com/office/drawing/2014/main" id="{160BA492-B55E-4BC0-AE03-20387D913D69}"/>
                </a:ext>
              </a:extLst>
            </xdr:cNvPr>
            <xdr:cNvSpPr txBox="1"/>
          </xdr:nvSpPr>
          <xdr:spPr>
            <a:xfrm>
              <a:off x="104775" y="2486025"/>
              <a:ext cx="1198598" cy="2244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tr-TR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tr-TR" sz="1100" b="0" i="1">
                          <a:latin typeface="Cambria Math" panose="02040503050406030204" pitchFamily="18" charset="0"/>
                        </a:rPr>
                        <m:t>𝑄</m:t>
                      </m:r>
                    </m:e>
                    <m:sub>
                      <m:r>
                        <a:rPr lang="tr-TR" sz="1100" b="0" i="1">
                          <a:latin typeface="Cambria Math" panose="02040503050406030204" pitchFamily="18" charset="0"/>
                        </a:rPr>
                        <m:t>𝑇</m:t>
                      </m:r>
                    </m:sub>
                  </m:sSub>
                  <m:r>
                    <a:rPr lang="tr-TR" sz="1100" b="0" i="1">
                      <a:latin typeface="Cambria Math" panose="02040503050406030204" pitchFamily="18" charset="0"/>
                    </a:rPr>
                    <m:t>=</m:t>
                  </m:r>
                  <m:sSub>
                    <m:sSubPr>
                      <m:ctrlPr>
                        <a:rPr lang="tr-TR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tr-TR" sz="1100" b="0" i="1">
                          <a:latin typeface="Cambria Math" panose="02040503050406030204" pitchFamily="18" charset="0"/>
                        </a:rPr>
                        <m:t>𝐶</m:t>
                      </m:r>
                    </m:e>
                    <m:sub>
                      <m:r>
                        <a:rPr lang="tr-TR" sz="1100" b="0" i="1">
                          <a:latin typeface="Cambria Math" panose="02040503050406030204" pitchFamily="18" charset="0"/>
                        </a:rPr>
                        <m:t>0</m:t>
                      </m:r>
                    </m:sub>
                  </m:sSub>
                  <m:f>
                    <m:fPr>
                      <m:ctrlPr>
                        <a:rPr lang="tr-TR" sz="11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tr-TR" sz="1100" b="0" i="1">
                          <a:latin typeface="Cambria Math" panose="02040503050406030204" pitchFamily="18" charset="0"/>
                        </a:rPr>
                        <m:t>𝜋</m:t>
                      </m:r>
                    </m:num>
                    <m:den>
                      <m:r>
                        <a:rPr lang="tr-TR" sz="1100" b="0" i="1">
                          <a:latin typeface="Cambria Math" panose="02040503050406030204" pitchFamily="18" charset="0"/>
                        </a:rPr>
                        <m:t>4</m:t>
                      </m:r>
                    </m:den>
                  </m:f>
                  <m:r>
                    <a:rPr lang="tr-TR" sz="1100" b="0" i="1">
                      <a:latin typeface="Cambria Math" panose="02040503050406030204" pitchFamily="18" charset="0"/>
                    </a:rPr>
                    <m:t>(</m:t>
                  </m:r>
                  <m:sSubSup>
                    <m:sSubSupPr>
                      <m:ctrlPr>
                        <a:rPr lang="tr-TR" sz="1100" b="0" i="1">
                          <a:latin typeface="Cambria Math" panose="02040503050406030204" pitchFamily="18" charset="0"/>
                        </a:rPr>
                      </m:ctrlPr>
                    </m:sSubSupPr>
                    <m:e>
                      <m:r>
                        <a:rPr lang="tr-TR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tr-TR" sz="1100" b="0" i="1">
                          <a:latin typeface="Cambria Math" panose="02040503050406030204" pitchFamily="18" charset="0"/>
                        </a:rPr>
                        <m:t>0</m:t>
                      </m:r>
                    </m:sub>
                    <m:sup>
                      <m:r>
                        <a:rPr lang="tr-T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bSup>
                  <m:r>
                    <a:rPr lang="tr-TR" sz="1100" b="0" i="1">
                      <a:latin typeface="Cambria Math" panose="02040503050406030204" pitchFamily="18" charset="0"/>
                    </a:rPr>
                    <m:t>−</m:t>
                  </m:r>
                  <m:sSubSup>
                    <m:sSubSupPr>
                      <m:ctrlPr>
                        <a:rPr lang="tr-TR" sz="1100" b="0" i="1">
                          <a:latin typeface="Cambria Math" panose="02040503050406030204" pitchFamily="18" charset="0"/>
                        </a:rPr>
                      </m:ctrlPr>
                    </m:sSubSupPr>
                    <m:e>
                      <m:r>
                        <a:rPr lang="tr-TR" sz="1100" b="0" i="1">
                          <a:latin typeface="Cambria Math" panose="02040503050406030204" pitchFamily="18" charset="0"/>
                        </a:rPr>
                        <m:t>𝑑</m:t>
                      </m:r>
                    </m:e>
                    <m:sub>
                      <m:r>
                        <a:rPr lang="tr-TR" sz="1100" b="0" i="1">
                          <a:latin typeface="Cambria Math" panose="02040503050406030204" pitchFamily="18" charset="0"/>
                        </a:rPr>
                        <m:t>𝑔</m:t>
                      </m:r>
                    </m:sub>
                    <m:sup>
                      <m:r>
                        <a:rPr lang="tr-T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bSup>
                </m:oMath>
              </a14:m>
              <a:r>
                <a:rPr lang="tr-TR" sz="1100"/>
                <a:t>)</a:t>
              </a:r>
            </a:p>
          </xdr:txBody>
        </xdr:sp>
      </mc:Choice>
      <mc:Fallback xmlns="">
        <xdr:sp macro="" textlink="">
          <xdr:nvSpPr>
            <xdr:cNvPr id="3" name="Metin kutusu 2">
              <a:extLst>
                <a:ext uri="{FF2B5EF4-FFF2-40B4-BE49-F238E27FC236}">
                  <a16:creationId xmlns:a16="http://schemas.microsoft.com/office/drawing/2014/main" id="{160BA492-B55E-4BC0-AE03-20387D913D69}"/>
                </a:ext>
              </a:extLst>
            </xdr:cNvPr>
            <xdr:cNvSpPr txBox="1"/>
          </xdr:nvSpPr>
          <xdr:spPr>
            <a:xfrm>
              <a:off x="104775" y="2486025"/>
              <a:ext cx="1198598" cy="2244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tr-TR" sz="1100" b="0" i="0">
                  <a:latin typeface="Cambria Math" panose="02040503050406030204" pitchFamily="18" charset="0"/>
                </a:rPr>
                <a:t>𝑄_𝑇=𝐶_0  𝜋/4(𝐷_0^2−𝑑_𝑔^2</a:t>
              </a:r>
              <a:r>
                <a:rPr lang="tr-TR" sz="1100"/>
                <a:t>)</a:t>
              </a:r>
            </a:p>
          </xdr:txBody>
        </xdr:sp>
      </mc:Fallback>
    </mc:AlternateContent>
    <xdr:clientData/>
  </xdr:oneCellAnchor>
  <xdr:oneCellAnchor>
    <xdr:from>
      <xdr:col>1</xdr:col>
      <xdr:colOff>66675</xdr:colOff>
      <xdr:row>7</xdr:row>
      <xdr:rowOff>114300</xdr:rowOff>
    </xdr:from>
    <xdr:ext cx="129695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Metin kutusu 3">
              <a:extLst>
                <a:ext uri="{FF2B5EF4-FFF2-40B4-BE49-F238E27FC236}">
                  <a16:creationId xmlns:a16="http://schemas.microsoft.com/office/drawing/2014/main" id="{DBEE50B8-EC34-468D-AD9D-DA9BA61CFA58}"/>
                </a:ext>
              </a:extLst>
            </xdr:cNvPr>
            <xdr:cNvSpPr txBox="1"/>
          </xdr:nvSpPr>
          <xdr:spPr>
            <a:xfrm>
              <a:off x="1457325" y="2505075"/>
              <a:ext cx="129695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tr-TR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tr-TR" sz="11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tr-TR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tr-TR" sz="11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tr-TR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tr-TR" sz="1100" b="0" i="1">
                            <a:latin typeface="Cambria Math" panose="02040503050406030204" pitchFamily="18" charset="0"/>
                          </a:rPr>
                          <m:t>0,85 </m:t>
                        </m:r>
                        <m:r>
                          <a:rPr lang="tr-TR" sz="1100">
                            <a:latin typeface="Cambria Math" panose="02040503050406030204" pitchFamily="18" charset="0"/>
                          </a:rPr>
                          <m:t>~</m:t>
                        </m:r>
                        <m:r>
                          <a:rPr lang="tr-TR" sz="1100" b="0" i="0">
                            <a:latin typeface="Cambria Math" panose="02040503050406030204" pitchFamily="18" charset="0"/>
                          </a:rPr>
                          <m:t>0,95</m:t>
                        </m:r>
                      </m:e>
                    </m:d>
                    <m:sSub>
                      <m:sSubPr>
                        <m:ctrlPr>
                          <a:rPr lang="tr-TR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tr-TR" sz="11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tr-TR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tr-TR" sz="1100"/>
            </a:p>
          </xdr:txBody>
        </xdr:sp>
      </mc:Choice>
      <mc:Fallback xmlns="">
        <xdr:sp macro="" textlink="">
          <xdr:nvSpPr>
            <xdr:cNvPr id="4" name="Metin kutusu 3">
              <a:extLst>
                <a:ext uri="{FF2B5EF4-FFF2-40B4-BE49-F238E27FC236}">
                  <a16:creationId xmlns:a16="http://schemas.microsoft.com/office/drawing/2014/main" id="{DBEE50B8-EC34-468D-AD9D-DA9BA61CFA58}"/>
                </a:ext>
              </a:extLst>
            </xdr:cNvPr>
            <xdr:cNvSpPr txBox="1"/>
          </xdr:nvSpPr>
          <xdr:spPr>
            <a:xfrm>
              <a:off x="1457325" y="2505075"/>
              <a:ext cx="129695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tr-TR" sz="1100" b="0" i="0">
                  <a:latin typeface="Cambria Math" panose="02040503050406030204" pitchFamily="18" charset="0"/>
                </a:rPr>
                <a:t>𝐷_1=(0,85 </a:t>
              </a:r>
              <a:r>
                <a:rPr lang="tr-TR" sz="1100" i="0">
                  <a:latin typeface="Cambria Math" panose="02040503050406030204" pitchFamily="18" charset="0"/>
                </a:rPr>
                <a:t>~</a:t>
              </a:r>
              <a:r>
                <a:rPr lang="tr-TR" sz="1100" b="0" i="0">
                  <a:latin typeface="Cambria Math" panose="02040503050406030204" pitchFamily="18" charset="0"/>
                </a:rPr>
                <a:t>0,95) 𝐷_0</a:t>
              </a:r>
              <a:endParaRPr lang="tr-TR" sz="1100"/>
            </a:p>
          </xdr:txBody>
        </xdr:sp>
      </mc:Fallback>
    </mc:AlternateContent>
    <xdr:clientData/>
  </xdr:oneCellAnchor>
  <xdr:oneCellAnchor>
    <xdr:from>
      <xdr:col>0</xdr:col>
      <xdr:colOff>1295400</xdr:colOff>
      <xdr:row>3</xdr:row>
      <xdr:rowOff>95250</xdr:rowOff>
    </xdr:from>
    <xdr:ext cx="1573572" cy="2103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Metin kutusu 5">
              <a:extLst>
                <a:ext uri="{FF2B5EF4-FFF2-40B4-BE49-F238E27FC236}">
                  <a16:creationId xmlns:a16="http://schemas.microsoft.com/office/drawing/2014/main" id="{1808902C-D12E-4120-8DA2-76A37A2C24A0}"/>
                </a:ext>
              </a:extLst>
            </xdr:cNvPr>
            <xdr:cNvSpPr txBox="1"/>
          </xdr:nvSpPr>
          <xdr:spPr>
            <a:xfrm>
              <a:off x="1295400" y="1238250"/>
              <a:ext cx="1573572" cy="2103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tr-TR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tr-TR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tr-TR" sz="11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tr-TR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tr-TR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tr-TR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tr-TR" sz="1100" b="0" i="1">
                            <a:latin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tr-TR" sz="1100" b="0" i="1">
                            <a:latin typeface="Cambria Math" panose="02040503050406030204" pitchFamily="18" charset="0"/>
                          </a:rPr>
                          <m:t>𝑐𝑚</m:t>
                        </m:r>
                        <m:r>
                          <a:rPr lang="tr-TR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ad>
                      <m:radPr>
                        <m:degHide m:val="on"/>
                        <m:ctrlPr>
                          <a:rPr lang="tr-TR" sz="11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tr-TR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𝑔</m:t>
                        </m:r>
                        <m: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sSub>
                          <m:sSubPr>
                            <m:ctrlPr>
                              <a:rPr lang="tr-T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tr-T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𝐻</m:t>
                            </m:r>
                          </m:e>
                          <m:sub>
                            <m:r>
                              <a:rPr lang="tr-T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𝑚</m:t>
                            </m:r>
                          </m:sub>
                        </m:sSub>
                      </m:e>
                    </m:rad>
                  </m:oMath>
                </m:oMathPara>
              </a14:m>
              <a:endParaRPr lang="tr-TR" sz="1100"/>
            </a:p>
          </xdr:txBody>
        </xdr:sp>
      </mc:Choice>
      <mc:Fallback xmlns="">
        <xdr:sp macro="" textlink="">
          <xdr:nvSpPr>
            <xdr:cNvPr id="6" name="Metin kutusu 5">
              <a:extLst>
                <a:ext uri="{FF2B5EF4-FFF2-40B4-BE49-F238E27FC236}">
                  <a16:creationId xmlns:a16="http://schemas.microsoft.com/office/drawing/2014/main" id="{1808902C-D12E-4120-8DA2-76A37A2C24A0}"/>
                </a:ext>
              </a:extLst>
            </xdr:cNvPr>
            <xdr:cNvSpPr txBox="1"/>
          </xdr:nvSpPr>
          <xdr:spPr>
            <a:xfrm>
              <a:off x="1295400" y="1238250"/>
              <a:ext cx="1573572" cy="2103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tr-TR" sz="1100" b="0" i="0">
                  <a:latin typeface="Cambria Math" panose="02040503050406030204" pitchFamily="18" charset="0"/>
                </a:rPr>
                <a:t>𝐶_𝑚2=𝑘_𝑐𝑚2 √(2</a:t>
              </a:r>
              <a:r>
                <a:rPr lang="tr-T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×𝑔×𝐻_𝑚 )</a:t>
              </a:r>
              <a:endParaRPr lang="tr-TR" sz="1100"/>
            </a:p>
          </xdr:txBody>
        </xdr:sp>
      </mc:Fallback>
    </mc:AlternateContent>
    <xdr:clientData/>
  </xdr:oneCellAnchor>
  <xdr:twoCellAnchor editAs="oneCell">
    <xdr:from>
      <xdr:col>5</xdr:col>
      <xdr:colOff>85622</xdr:colOff>
      <xdr:row>4</xdr:row>
      <xdr:rowOff>57253</xdr:rowOff>
    </xdr:from>
    <xdr:to>
      <xdr:col>13</xdr:col>
      <xdr:colOff>333375</xdr:colOff>
      <xdr:row>19</xdr:row>
      <xdr:rowOff>70487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4F5DA01C-FD42-46E1-91E3-F5041BD0D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732394" y="697231"/>
          <a:ext cx="4518559" cy="590560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85726</xdr:colOff>
      <xdr:row>0</xdr:row>
      <xdr:rowOff>44728</xdr:rowOff>
    </xdr:from>
    <xdr:to>
      <xdr:col>15</xdr:col>
      <xdr:colOff>497233</xdr:colOff>
      <xdr:row>13</xdr:row>
      <xdr:rowOff>114300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BE3C600B-1F2F-436F-94CE-4A6F37F37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591069" y="-897765"/>
          <a:ext cx="4012922" cy="589790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0</xdr:row>
      <xdr:rowOff>57150</xdr:rowOff>
    </xdr:from>
    <xdr:to>
      <xdr:col>13</xdr:col>
      <xdr:colOff>47625</xdr:colOff>
      <xdr:row>9</xdr:row>
      <xdr:rowOff>47625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BE448F3F-FB8F-4125-84C3-5ED847193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7150"/>
          <a:ext cx="4857750" cy="32956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333375</xdr:colOff>
      <xdr:row>8</xdr:row>
      <xdr:rowOff>123825</xdr:rowOff>
    </xdr:from>
    <xdr:ext cx="65" cy="172227"/>
    <xdr:sp macro="" textlink="">
      <xdr:nvSpPr>
        <xdr:cNvPr id="2" name="Metin kutusu 1">
          <a:extLst>
            <a:ext uri="{FF2B5EF4-FFF2-40B4-BE49-F238E27FC236}">
              <a16:creationId xmlns:a16="http://schemas.microsoft.com/office/drawing/2014/main" id="{9FCD748D-13D9-4321-A7AD-D68BF93544E6}"/>
            </a:ext>
          </a:extLst>
        </xdr:cNvPr>
        <xdr:cNvSpPr txBox="1"/>
      </xdr:nvSpPr>
      <xdr:spPr>
        <a:xfrm>
          <a:off x="5819775" y="16954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tr-TR" sz="1100"/>
        </a:p>
      </xdr:txBody>
    </xdr:sp>
    <xdr:clientData/>
  </xdr:oneCellAnchor>
  <xdr:oneCellAnchor>
    <xdr:from>
      <xdr:col>0</xdr:col>
      <xdr:colOff>276225</xdr:colOff>
      <xdr:row>4</xdr:row>
      <xdr:rowOff>114300</xdr:rowOff>
    </xdr:from>
    <xdr:ext cx="1139607" cy="3803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Metin kutusu 2">
              <a:extLst>
                <a:ext uri="{FF2B5EF4-FFF2-40B4-BE49-F238E27FC236}">
                  <a16:creationId xmlns:a16="http://schemas.microsoft.com/office/drawing/2014/main" id="{CCD9AB2A-5163-4F0B-B1A6-08B559C160F2}"/>
                </a:ext>
              </a:extLst>
            </xdr:cNvPr>
            <xdr:cNvSpPr txBox="1"/>
          </xdr:nvSpPr>
          <xdr:spPr>
            <a:xfrm>
              <a:off x="276225" y="1047750"/>
              <a:ext cx="1139607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tr-TR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tr-TR" sz="11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tr-TR" sz="1100" i="0">
                                <a:latin typeface="Cambria Math" panose="02040503050406030204" pitchFamily="18" charset="0"/>
                              </a:rPr>
                              <m:t>tan</m:t>
                            </m:r>
                          </m:e>
                          <m:sup>
                            <m:r>
                              <a:rPr lang="tr-TR" sz="1100" i="1">
                                <a:latin typeface="Cambria Math" panose="02040503050406030204" pitchFamily="18" charset="0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tr-TR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tr-TR" sz="110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b>
                                  <m:sSubPr>
                                    <m:ctrlPr>
                                      <a:rPr lang="tr-TR" sz="110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tr-TR" sz="1100" b="0" i="1">
                                        <a:latin typeface="Cambria Math" panose="02040503050406030204" pitchFamily="18" charset="0"/>
                                      </a:rPr>
                                      <m:t>𝐶</m:t>
                                    </m:r>
                                  </m:e>
                                  <m:sub>
                                    <m:r>
                                      <a:rPr lang="tr-TR" sz="1100" b="0" i="1">
                                        <a:latin typeface="Cambria Math" panose="02040503050406030204" pitchFamily="18" charset="0"/>
                                      </a:rPr>
                                      <m:t>𝑚</m:t>
                                    </m:r>
                                    <m:r>
                                      <a:rPr lang="tr-TR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b>
                                </m:sSub>
                              </m:num>
                              <m:den>
                                <m:sSub>
                                  <m:sSubPr>
                                    <m:ctrlPr>
                                      <a:rPr lang="tr-TR" sz="110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tr-TR" sz="1100" b="0" i="1">
                                        <a:latin typeface="Cambria Math" panose="02040503050406030204" pitchFamily="18" charset="0"/>
                                      </a:rPr>
                                      <m:t>𝐶</m:t>
                                    </m:r>
                                  </m:e>
                                  <m:sub>
                                    <m:r>
                                      <a:rPr lang="tr-TR" sz="1100" b="0" i="1">
                                        <a:latin typeface="Cambria Math" panose="02040503050406030204" pitchFamily="18" charset="0"/>
                                      </a:rPr>
                                      <m:t>𝑢</m:t>
                                    </m:r>
                                    <m:r>
                                      <a:rPr lang="tr-TR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b>
                                </m:sSub>
                              </m:den>
                            </m:f>
                          </m:e>
                        </m:d>
                        <m:r>
                          <a:rPr lang="tr-TR" sz="1100" b="0" i="1">
                            <a:latin typeface="Cambria Math" panose="02040503050406030204" pitchFamily="18" charset="0"/>
                          </a:rPr>
                          <m:t>= </m:t>
                        </m:r>
                      </m:e>
                    </m:func>
                    <m:sSub>
                      <m:sSubPr>
                        <m:ctrlPr>
                          <a:rPr lang="tr-TR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tr-T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𝛼</m:t>
                        </m:r>
                      </m:e>
                      <m:sub>
                        <m:r>
                          <a:rPr lang="tr-TR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tr-TR" sz="1100"/>
            </a:p>
          </xdr:txBody>
        </xdr:sp>
      </mc:Choice>
      <mc:Fallback xmlns="">
        <xdr:sp macro="" textlink="">
          <xdr:nvSpPr>
            <xdr:cNvPr id="3" name="Metin kutusu 2">
              <a:extLst>
                <a:ext uri="{FF2B5EF4-FFF2-40B4-BE49-F238E27FC236}">
                  <a16:creationId xmlns:a16="http://schemas.microsoft.com/office/drawing/2014/main" id="{CCD9AB2A-5163-4F0B-B1A6-08B559C160F2}"/>
                </a:ext>
              </a:extLst>
            </xdr:cNvPr>
            <xdr:cNvSpPr txBox="1"/>
          </xdr:nvSpPr>
          <xdr:spPr>
            <a:xfrm>
              <a:off x="276225" y="1047750"/>
              <a:ext cx="1139607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tr-TR" sz="1100" i="0">
                  <a:latin typeface="Cambria Math" panose="02040503050406030204" pitchFamily="18" charset="0"/>
                </a:rPr>
                <a:t>tan^(−1)⁡〖</a:t>
              </a:r>
              <a:r>
                <a:rPr lang="tr-TR" sz="1100" b="0" i="0">
                  <a:latin typeface="Cambria Math" panose="02040503050406030204" pitchFamily="18" charset="0"/>
                </a:rPr>
                <a:t>(𝐶_𝑚2/𝐶_𝑢2 )= 〗 </a:t>
              </a:r>
              <a:r>
                <a:rPr lang="tr-T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𝛼_</a:t>
              </a:r>
              <a:r>
                <a:rPr lang="tr-TR" sz="1100" b="0" i="0">
                  <a:latin typeface="Cambria Math" panose="02040503050406030204" pitchFamily="18" charset="0"/>
                </a:rPr>
                <a:t>2</a:t>
              </a:r>
              <a:endParaRPr lang="tr-TR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5</xdr:row>
      <xdr:rowOff>0</xdr:rowOff>
    </xdr:from>
    <xdr:ext cx="1445139" cy="2103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Metin kutusu 1">
              <a:extLst>
                <a:ext uri="{FF2B5EF4-FFF2-40B4-BE49-F238E27FC236}">
                  <a16:creationId xmlns:a16="http://schemas.microsoft.com/office/drawing/2014/main" id="{2EAD6B83-8A8C-46BC-B179-8864F8F8DF61}"/>
                </a:ext>
              </a:extLst>
            </xdr:cNvPr>
            <xdr:cNvSpPr txBox="1"/>
          </xdr:nvSpPr>
          <xdr:spPr>
            <a:xfrm>
              <a:off x="2181225" y="1657350"/>
              <a:ext cx="1445139" cy="2103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tr-TR" sz="1100" b="0" i="1">
                        <a:latin typeface="Cambria Math" panose="02040503050406030204" pitchFamily="18" charset="0"/>
                      </a:rPr>
                      <m:t>𝑉</m:t>
                    </m:r>
                    <m:r>
                      <a:rPr lang="tr-TR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tr-TR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tr-TR" sz="1100" b="0" i="1">
                            <a:latin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tr-TR" sz="1100" b="0" i="1">
                            <a:latin typeface="Cambria Math" panose="02040503050406030204" pitchFamily="18" charset="0"/>
                          </a:rPr>
                          <m:t>𝑣</m:t>
                        </m:r>
                      </m:sub>
                    </m:sSub>
                    <m:r>
                      <a:rPr lang="tr-T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</m:t>
                    </m:r>
                    <m:rad>
                      <m:radPr>
                        <m:degHide m:val="on"/>
                        <m:ctrlP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2×</m:t>
                        </m:r>
                        <m: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𝑔</m:t>
                        </m:r>
                        <m: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sSub>
                          <m:sSubPr>
                            <m:ctrlPr>
                              <a:rPr lang="tr-T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tr-T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𝐻</m:t>
                            </m:r>
                          </m:e>
                          <m:sub>
                            <m:r>
                              <a:rPr lang="tr-T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𝑚</m:t>
                            </m:r>
                          </m:sub>
                        </m:sSub>
                      </m:e>
                    </m:rad>
                  </m:oMath>
                </m:oMathPara>
              </a14:m>
              <a:endParaRPr lang="tr-TR" sz="1100"/>
            </a:p>
          </xdr:txBody>
        </xdr:sp>
      </mc:Choice>
      <mc:Fallback xmlns="">
        <xdr:sp macro="" textlink="">
          <xdr:nvSpPr>
            <xdr:cNvPr id="2" name="Metin kutusu 1">
              <a:extLst>
                <a:ext uri="{FF2B5EF4-FFF2-40B4-BE49-F238E27FC236}">
                  <a16:creationId xmlns:a16="http://schemas.microsoft.com/office/drawing/2014/main" id="{2EAD6B83-8A8C-46BC-B179-8864F8F8DF61}"/>
                </a:ext>
              </a:extLst>
            </xdr:cNvPr>
            <xdr:cNvSpPr txBox="1"/>
          </xdr:nvSpPr>
          <xdr:spPr>
            <a:xfrm>
              <a:off x="2181225" y="1657350"/>
              <a:ext cx="1445139" cy="2103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tr-TR" sz="1100" b="0" i="0">
                  <a:latin typeface="Cambria Math" panose="02040503050406030204" pitchFamily="18" charset="0"/>
                </a:rPr>
                <a:t>𝑉=𝑘_𝑣</a:t>
              </a:r>
              <a:r>
                <a:rPr lang="tr-T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×√(2×𝑔×𝐻_𝑚 )</a:t>
              </a:r>
              <a:endParaRPr lang="tr-TR" sz="1100"/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247651</xdr:colOff>
      <xdr:row>0</xdr:row>
      <xdr:rowOff>19050</xdr:rowOff>
    </xdr:from>
    <xdr:to>
      <xdr:col>15</xdr:col>
      <xdr:colOff>196259</xdr:colOff>
      <xdr:row>18</xdr:row>
      <xdr:rowOff>19050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C1F75311-23FC-44FE-AD2E-F674B2BD7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601" y="19050"/>
          <a:ext cx="3691933" cy="57912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3</xdr:col>
      <xdr:colOff>23812</xdr:colOff>
      <xdr:row>4</xdr:row>
      <xdr:rowOff>257175</xdr:rowOff>
    </xdr:from>
    <xdr:ext cx="1517980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Metin kutusu 4">
              <a:extLst>
                <a:ext uri="{FF2B5EF4-FFF2-40B4-BE49-F238E27FC236}">
                  <a16:creationId xmlns:a16="http://schemas.microsoft.com/office/drawing/2014/main" id="{7727A5BF-E8A4-4F09-AC05-2783054F82FB}"/>
                </a:ext>
              </a:extLst>
            </xdr:cNvPr>
            <xdr:cNvSpPr txBox="1"/>
          </xdr:nvSpPr>
          <xdr:spPr>
            <a:xfrm>
              <a:off x="3614737" y="1590675"/>
              <a:ext cx="1517980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tr-TR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tr-TR" sz="1100" i="1">
                            <a:latin typeface="Cambria Math" panose="02040503050406030204" pitchFamily="18" charset="0"/>
                          </a:rPr>
                          <m:t>𝜎</m:t>
                        </m:r>
                      </m:e>
                      <m:sub>
                        <m:r>
                          <a:rPr lang="tr-TR" sz="1100" b="0" i="1">
                            <a:latin typeface="Cambria Math" panose="02040503050406030204" pitchFamily="18" charset="0"/>
                          </a:rPr>
                          <m:t>𝑘</m:t>
                        </m:r>
                      </m:sub>
                    </m:sSub>
                    <m:r>
                      <a:rPr lang="tr-TR" sz="1100" b="0" i="1">
                        <a:latin typeface="Cambria Math" panose="02040503050406030204" pitchFamily="18" charset="0"/>
                      </a:rPr>
                      <m:t>=2,171</m:t>
                    </m:r>
                    <m:r>
                      <a:rPr lang="tr-T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</m:t>
                    </m:r>
                    <m:sSup>
                      <m:sSupPr>
                        <m:ctrlP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−4</m:t>
                        </m:r>
                      </m:sup>
                    </m:sSup>
                    <m:r>
                      <a:rPr lang="tr-T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</m:t>
                    </m:r>
                    <m:sSub>
                      <m:sSubPr>
                        <m:ctrlP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e>
                      <m:sub>
                        <m: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𝑠</m:t>
                        </m:r>
                      </m:sub>
                    </m:sSub>
                  </m:oMath>
                </m:oMathPara>
              </a14:m>
              <a:endParaRPr lang="tr-TR" sz="1100"/>
            </a:p>
          </xdr:txBody>
        </xdr:sp>
      </mc:Choice>
      <mc:Fallback xmlns="">
        <xdr:sp macro="" textlink="">
          <xdr:nvSpPr>
            <xdr:cNvPr id="5" name="Metin kutusu 4">
              <a:extLst>
                <a:ext uri="{FF2B5EF4-FFF2-40B4-BE49-F238E27FC236}">
                  <a16:creationId xmlns:a16="http://schemas.microsoft.com/office/drawing/2014/main" id="{7727A5BF-E8A4-4F09-AC05-2783054F82FB}"/>
                </a:ext>
              </a:extLst>
            </xdr:cNvPr>
            <xdr:cNvSpPr txBox="1"/>
          </xdr:nvSpPr>
          <xdr:spPr>
            <a:xfrm>
              <a:off x="3614737" y="1590675"/>
              <a:ext cx="1517980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tr-TR" sz="1100" i="0">
                  <a:latin typeface="Cambria Math" panose="02040503050406030204" pitchFamily="18" charset="0"/>
                </a:rPr>
                <a:t>𝜎_</a:t>
              </a:r>
              <a:r>
                <a:rPr lang="tr-TR" sz="1100" b="0" i="0">
                  <a:latin typeface="Cambria Math" panose="02040503050406030204" pitchFamily="18" charset="0"/>
                </a:rPr>
                <a:t>𝑘=2,171</a:t>
              </a:r>
              <a:r>
                <a:rPr lang="tr-T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×10^(−4)×𝑛_𝑠</a:t>
              </a:r>
              <a:endParaRPr lang="tr-TR" sz="1100"/>
            </a:p>
          </xdr:txBody>
        </xdr:sp>
      </mc:Fallback>
    </mc:AlternateContent>
    <xdr:clientData/>
  </xdr:oneCellAnchor>
  <xdr:oneCellAnchor>
    <xdr:from>
      <xdr:col>3</xdr:col>
      <xdr:colOff>38100</xdr:colOff>
      <xdr:row>6</xdr:row>
      <xdr:rowOff>9525</xdr:rowOff>
    </xdr:from>
    <xdr:ext cx="1517980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Metin kutusu 5">
              <a:extLst>
                <a:ext uri="{FF2B5EF4-FFF2-40B4-BE49-F238E27FC236}">
                  <a16:creationId xmlns:a16="http://schemas.microsoft.com/office/drawing/2014/main" id="{549EF2A4-A0A0-4169-B327-3B86C3F26E91}"/>
                </a:ext>
              </a:extLst>
            </xdr:cNvPr>
            <xdr:cNvSpPr txBox="1"/>
          </xdr:nvSpPr>
          <xdr:spPr>
            <a:xfrm>
              <a:off x="2314575" y="1400175"/>
              <a:ext cx="1517980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tr-TR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tr-TR" sz="1100" i="1">
                            <a:latin typeface="Cambria Math" panose="02040503050406030204" pitchFamily="18" charset="0"/>
                          </a:rPr>
                          <m:t>𝜎</m:t>
                        </m:r>
                      </m:e>
                      <m:sub>
                        <m:r>
                          <a:rPr lang="tr-TR" sz="1100" b="0" i="1">
                            <a:latin typeface="Cambria Math" panose="02040503050406030204" pitchFamily="18" charset="0"/>
                          </a:rPr>
                          <m:t>𝑘</m:t>
                        </m:r>
                      </m:sub>
                    </m:sSub>
                    <m:r>
                      <a:rPr lang="tr-TR" sz="1100" b="0" i="1">
                        <a:latin typeface="Cambria Math" panose="02040503050406030204" pitchFamily="18" charset="0"/>
                      </a:rPr>
                      <m:t>=1,370</m:t>
                    </m:r>
                    <m:r>
                      <a:rPr lang="tr-T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</m:t>
                    </m:r>
                    <m:sSup>
                      <m:sSupPr>
                        <m:ctrlP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−4</m:t>
                        </m:r>
                      </m:sup>
                    </m:sSup>
                    <m:r>
                      <a:rPr lang="tr-T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</m:t>
                    </m:r>
                    <m:sSub>
                      <m:sSubPr>
                        <m:ctrlP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e>
                      <m:sub>
                        <m:r>
                          <a:rPr lang="tr-T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𝑠</m:t>
                        </m:r>
                      </m:sub>
                    </m:sSub>
                  </m:oMath>
                </m:oMathPara>
              </a14:m>
              <a:endParaRPr lang="tr-TR" sz="1100"/>
            </a:p>
          </xdr:txBody>
        </xdr:sp>
      </mc:Choice>
      <mc:Fallback xmlns="">
        <xdr:sp macro="" textlink="">
          <xdr:nvSpPr>
            <xdr:cNvPr id="6" name="Metin kutusu 5">
              <a:extLst>
                <a:ext uri="{FF2B5EF4-FFF2-40B4-BE49-F238E27FC236}">
                  <a16:creationId xmlns:a16="http://schemas.microsoft.com/office/drawing/2014/main" id="{549EF2A4-A0A0-4169-B327-3B86C3F26E91}"/>
                </a:ext>
              </a:extLst>
            </xdr:cNvPr>
            <xdr:cNvSpPr txBox="1"/>
          </xdr:nvSpPr>
          <xdr:spPr>
            <a:xfrm>
              <a:off x="2314575" y="1400175"/>
              <a:ext cx="1517980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tr-TR" sz="1100" i="0">
                  <a:latin typeface="Cambria Math" panose="02040503050406030204" pitchFamily="18" charset="0"/>
                </a:rPr>
                <a:t>𝜎_</a:t>
              </a:r>
              <a:r>
                <a:rPr lang="tr-TR" sz="1100" b="0" i="0">
                  <a:latin typeface="Cambria Math" panose="02040503050406030204" pitchFamily="18" charset="0"/>
                </a:rPr>
                <a:t>𝑘=1,370</a:t>
              </a:r>
              <a:r>
                <a:rPr lang="tr-T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×10^(−4)×𝑛_𝑠</a:t>
              </a:r>
              <a:endParaRPr lang="tr-TR" sz="1100"/>
            </a:p>
          </xdr:txBody>
        </xdr:sp>
      </mc:Fallback>
    </mc:AlternateContent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380999</xdr:colOff>
          <xdr:row>20</xdr:row>
          <xdr:rowOff>38100</xdr:rowOff>
        </xdr:from>
        <xdr:to>
          <xdr:col>1</xdr:col>
          <xdr:colOff>1076325</xdr:colOff>
          <xdr:row>27</xdr:row>
          <xdr:rowOff>0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BA099012-10EE-4A7E-994E-45D6B0A8B6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123825</xdr:colOff>
      <xdr:row>8</xdr:row>
      <xdr:rowOff>344003</xdr:rowOff>
    </xdr:from>
    <xdr:to>
      <xdr:col>10</xdr:col>
      <xdr:colOff>152400</xdr:colOff>
      <xdr:row>21</xdr:row>
      <xdr:rowOff>134694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3E5EF0D5-393F-4426-8B2F-B754ED612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450" y="2515703"/>
          <a:ext cx="3686175" cy="404836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171450</xdr:colOff>
      <xdr:row>2</xdr:row>
      <xdr:rowOff>171450</xdr:rowOff>
    </xdr:from>
    <xdr:to>
      <xdr:col>12</xdr:col>
      <xdr:colOff>219075</xdr:colOff>
      <xdr:row>11</xdr:row>
      <xdr:rowOff>161925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4168313E-1CA8-4C0D-A1CF-A3FDCFB2C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9625" y="762000"/>
          <a:ext cx="5191125" cy="25717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Uğur Kızılöz" id="{C1EC7939-201F-49F4-A745-ADACF036C62E}" userId="Uğur Kızılöz" providerId="None"/>
</personList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4" dT="2021-05-23T13:28:36.01" personId="{C1EC7939-201F-49F4-A745-ADACF036C62E}" id="{69D64D88-AD98-438D-B46A-5AAFF90FE4C7}">
    <text>Tüm tablolarda sadece mavi renkli hücreler için giriş yapınız. Giriş değerleri; verilen değerler, grafikten okunan değerler veya açılır listeden seçilen değerler olacktır. Girilen mavi hücreler sonucunda renksiz hücreler hesap sonuçlarını verecektir.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7.xml"/><Relationship Id="rId5" Type="http://schemas.openxmlformats.org/officeDocument/2006/relationships/comments" Target="../comments10.xml"/><Relationship Id="rId4" Type="http://schemas.openxmlformats.org/officeDocument/2006/relationships/image" Target="../media/image5.wmf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696F7-6A0E-46EA-B875-51D914EB1F46}">
  <dimension ref="A1:D4"/>
  <sheetViews>
    <sheetView workbookViewId="0">
      <selection activeCell="C16" sqref="C16"/>
    </sheetView>
  </sheetViews>
  <sheetFormatPr defaultRowHeight="15" x14ac:dyDescent="0.25"/>
  <cols>
    <col min="1" max="4" width="20.85546875" customWidth="1"/>
  </cols>
  <sheetData>
    <row r="1" spans="1:4" ht="38.25" x14ac:dyDescent="0.25">
      <c r="A1" s="102" t="s">
        <v>176</v>
      </c>
      <c r="B1" s="102" t="s">
        <v>177</v>
      </c>
      <c r="C1" s="102" t="s">
        <v>178</v>
      </c>
      <c r="D1" s="102" t="s">
        <v>179</v>
      </c>
    </row>
    <row r="2" spans="1:4" ht="30" customHeight="1" x14ac:dyDescent="0.25">
      <c r="A2" s="6">
        <v>0.04</v>
      </c>
      <c r="B2" s="6">
        <v>70</v>
      </c>
      <c r="C2" s="6">
        <v>2200</v>
      </c>
      <c r="D2" s="6">
        <v>1000</v>
      </c>
    </row>
    <row r="4" spans="1:4" ht="18.75" x14ac:dyDescent="0.25">
      <c r="A4" s="18" t="s">
        <v>26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D595C-6297-4160-9636-D413CF7AAE0B}">
  <dimension ref="A1:O17"/>
  <sheetViews>
    <sheetView workbookViewId="0">
      <selection activeCell="D12" sqref="D12"/>
    </sheetView>
  </sheetViews>
  <sheetFormatPr defaultRowHeight="15" x14ac:dyDescent="0.25"/>
  <cols>
    <col min="1" max="1" width="20.85546875" customWidth="1"/>
    <col min="2" max="2" width="25" bestFit="1" customWidth="1"/>
    <col min="3" max="3" width="20.85546875" customWidth="1"/>
    <col min="5" max="7" width="20.85546875" customWidth="1"/>
    <col min="15" max="15" width="10.7109375" bestFit="1" customWidth="1"/>
  </cols>
  <sheetData>
    <row r="1" spans="1:15" s="1" customFormat="1" ht="38.25" customHeight="1" x14ac:dyDescent="0.25">
      <c r="A1" s="50" t="s">
        <v>173</v>
      </c>
      <c r="B1" s="50" t="s">
        <v>0</v>
      </c>
      <c r="C1" s="99"/>
      <c r="D1" s="99"/>
      <c r="E1" s="50" t="s">
        <v>5</v>
      </c>
      <c r="F1" s="50" t="s">
        <v>174</v>
      </c>
    </row>
    <row r="2" spans="1:15" s="1" customFormat="1" ht="30" customHeight="1" x14ac:dyDescent="0.25">
      <c r="A2" s="5">
        <f>(3.65*Verilenler!C2)*(SQRT(Verilenler!A2)/(Verilenler!B2^(3/4)))</f>
        <v>66.362388846880535</v>
      </c>
      <c r="B2" s="101" t="str">
        <f>IF(AND(A2&gt;=B5,A2&lt;=C5),A5,(IF(AND(A2&gt;=B6,A2&lt;=C6),A6,(IF(AND(A2&gt;=B7,A2&lt;=C7),A7,(IF(AND(A2&gt;=B8,A2&lt;=C8),A8,"Pompa Tipi Belirlenemiyor")))))))</f>
        <v>Tam Santrifüj</v>
      </c>
      <c r="E2" s="6">
        <v>1</v>
      </c>
      <c r="F2" s="5">
        <f>(3.65*Verilenler!C2)*(SQRT(Verilenler!A2)/(((Verilenler!B2)/E2)^(3/4)))</f>
        <v>66.362388846880535</v>
      </c>
    </row>
    <row r="4" spans="1:15" ht="23.25" x14ac:dyDescent="0.35">
      <c r="B4" s="106" t="s">
        <v>175</v>
      </c>
      <c r="C4" s="107"/>
      <c r="O4" t="s">
        <v>28</v>
      </c>
    </row>
    <row r="5" spans="1:15" x14ac:dyDescent="0.25">
      <c r="A5" s="100" t="s">
        <v>1</v>
      </c>
      <c r="B5" s="3">
        <v>60</v>
      </c>
      <c r="C5" s="4">
        <v>150</v>
      </c>
      <c r="O5">
        <v>1</v>
      </c>
    </row>
    <row r="6" spans="1:15" x14ac:dyDescent="0.25">
      <c r="A6" s="100" t="s">
        <v>2</v>
      </c>
      <c r="B6" s="3">
        <v>150</v>
      </c>
      <c r="C6" s="4">
        <v>400</v>
      </c>
      <c r="O6">
        <v>3</v>
      </c>
    </row>
    <row r="7" spans="1:15" x14ac:dyDescent="0.25">
      <c r="A7" s="100" t="s">
        <v>3</v>
      </c>
      <c r="B7" s="3">
        <v>400</v>
      </c>
      <c r="C7" s="4">
        <v>700</v>
      </c>
      <c r="O7">
        <v>4</v>
      </c>
    </row>
    <row r="8" spans="1:15" x14ac:dyDescent="0.25">
      <c r="A8" s="100" t="s">
        <v>4</v>
      </c>
      <c r="B8" s="3">
        <v>700</v>
      </c>
      <c r="C8" s="4">
        <v>1000</v>
      </c>
      <c r="O8">
        <v>5</v>
      </c>
    </row>
    <row r="9" spans="1:15" x14ac:dyDescent="0.25">
      <c r="O9">
        <v>6</v>
      </c>
    </row>
    <row r="10" spans="1:15" x14ac:dyDescent="0.25">
      <c r="O10">
        <v>7</v>
      </c>
    </row>
    <row r="11" spans="1:15" x14ac:dyDescent="0.25">
      <c r="O11">
        <v>8</v>
      </c>
    </row>
    <row r="12" spans="1:15" x14ac:dyDescent="0.25">
      <c r="O12">
        <v>9</v>
      </c>
    </row>
    <row r="13" spans="1:15" x14ac:dyDescent="0.25">
      <c r="O13">
        <v>10</v>
      </c>
    </row>
    <row r="14" spans="1:15" x14ac:dyDescent="0.25">
      <c r="O14">
        <v>11</v>
      </c>
    </row>
    <row r="15" spans="1:15" x14ac:dyDescent="0.25">
      <c r="O15">
        <v>12</v>
      </c>
    </row>
    <row r="16" spans="1:15" x14ac:dyDescent="0.25">
      <c r="O16">
        <v>13</v>
      </c>
    </row>
    <row r="17" spans="15:15" x14ac:dyDescent="0.25">
      <c r="O17">
        <v>14</v>
      </c>
    </row>
  </sheetData>
  <mergeCells count="1">
    <mergeCell ref="B4:C4"/>
  </mergeCells>
  <dataValidations count="1">
    <dataValidation type="list" allowBlank="1" showInputMessage="1" showErrorMessage="1" sqref="E2" xr:uid="{FD185E4F-6679-4F81-9FD5-F2C5469A7603}">
      <formula1>$O$5:$O$17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6AD3B-AB5A-4C74-9CAE-06EF78650F39}">
  <dimension ref="A1:O41"/>
  <sheetViews>
    <sheetView workbookViewId="0">
      <selection activeCell="B8" sqref="B8"/>
    </sheetView>
  </sheetViews>
  <sheetFormatPr defaultRowHeight="15" x14ac:dyDescent="0.25"/>
  <cols>
    <col min="1" max="1" width="22" bestFit="1" customWidth="1"/>
    <col min="2" max="3" width="20.85546875" customWidth="1"/>
  </cols>
  <sheetData>
    <row r="1" spans="1:3" s="1" customFormat="1" ht="38.25" x14ac:dyDescent="0.25">
      <c r="A1" s="98" t="s">
        <v>168</v>
      </c>
      <c r="B1" s="98" t="s">
        <v>169</v>
      </c>
      <c r="C1" s="98" t="s">
        <v>170</v>
      </c>
    </row>
    <row r="2" spans="1:3" s="1" customFormat="1" ht="30" customHeight="1" x14ac:dyDescent="0.25">
      <c r="A2" s="6">
        <v>72.94</v>
      </c>
      <c r="B2" s="5">
        <f>A2-(A2*0.05)</f>
        <v>69.292999999999992</v>
      </c>
      <c r="C2" s="17">
        <f>Verilenler!A2/'Genel Verim'!A5</f>
        <v>4.2105263157894743E-2</v>
      </c>
    </row>
    <row r="4" spans="1:3" ht="38.25" customHeight="1" x14ac:dyDescent="0.25">
      <c r="A4" s="98" t="s">
        <v>171</v>
      </c>
      <c r="C4" s="98" t="s">
        <v>172</v>
      </c>
    </row>
    <row r="5" spans="1:3" ht="30" customHeight="1" x14ac:dyDescent="0.25">
      <c r="A5" s="6">
        <v>0.95</v>
      </c>
      <c r="C5" s="5">
        <f>((('Özgül Hız'!F2-'Genel Verim'!L33)/(K33-L33))*(K34-L34))+L34-4</f>
        <v>80.461010665987914</v>
      </c>
    </row>
    <row r="32" spans="5:15" ht="38.25" x14ac:dyDescent="0.25">
      <c r="E32" s="16" t="s">
        <v>22</v>
      </c>
      <c r="G32" s="25" t="s">
        <v>33</v>
      </c>
      <c r="H32" s="26" t="s">
        <v>34</v>
      </c>
      <c r="I32" s="27"/>
      <c r="J32" s="1"/>
      <c r="K32" s="13" t="s">
        <v>8</v>
      </c>
      <c r="L32" s="13" t="s">
        <v>7</v>
      </c>
      <c r="M32" s="27"/>
      <c r="N32" s="27"/>
      <c r="O32" s="27"/>
    </row>
    <row r="33" spans="5:15" x14ac:dyDescent="0.25">
      <c r="E33" s="2">
        <v>0.9</v>
      </c>
      <c r="G33" s="23">
        <v>44</v>
      </c>
      <c r="H33" s="23">
        <v>75</v>
      </c>
      <c r="I33" s="27"/>
      <c r="J33" s="1"/>
      <c r="K33" s="2" cm="1">
        <f t="array" ref="K33">INDEX(G33:G40,MATCH(MIN(INDEX(ABS('Özgül Hız'!F2-G33:G40),,)),INDEX(ABS('Özgül Hız'!F2-G33:G40),,),0),)</f>
        <v>70</v>
      </c>
      <c r="L33" s="2" cm="1">
        <f t="array" ref="L33">INDEX(G33:G40,MATCH(SMALL(INDEX(ABS('Özgül Hız'!F2-G33:G40),,),2),INDEX(ABS('Özgül Hız'!F2-G33:G40),,),0),)</f>
        <v>44</v>
      </c>
      <c r="M33" s="27"/>
      <c r="N33" s="27"/>
      <c r="O33" s="27"/>
    </row>
    <row r="34" spans="5:15" ht="18.75" x14ac:dyDescent="0.25">
      <c r="E34" s="2">
        <v>0.91</v>
      </c>
      <c r="G34" s="23">
        <v>70</v>
      </c>
      <c r="H34" s="23">
        <v>86</v>
      </c>
      <c r="J34" s="29" t="s">
        <v>34</v>
      </c>
      <c r="K34" s="2">
        <f>VLOOKUP(K33,G33:H40,2)</f>
        <v>86</v>
      </c>
      <c r="L34" s="2">
        <f>VLOOKUP(L33,G33:H40,2)</f>
        <v>75</v>
      </c>
    </row>
    <row r="35" spans="5:15" x14ac:dyDescent="0.25">
      <c r="E35" s="2">
        <v>0.92</v>
      </c>
      <c r="G35" s="23">
        <v>140</v>
      </c>
      <c r="H35" s="23">
        <v>92</v>
      </c>
    </row>
    <row r="36" spans="5:15" x14ac:dyDescent="0.25">
      <c r="E36" s="2">
        <v>0.93</v>
      </c>
      <c r="G36" s="23">
        <v>215</v>
      </c>
      <c r="H36" s="23">
        <v>93</v>
      </c>
      <c r="K36" s="28"/>
      <c r="L36" s="28"/>
    </row>
    <row r="37" spans="5:15" x14ac:dyDescent="0.25">
      <c r="E37" s="2">
        <v>0.94</v>
      </c>
      <c r="G37" s="23">
        <v>280</v>
      </c>
      <c r="H37" s="23">
        <v>94</v>
      </c>
      <c r="K37" s="28"/>
      <c r="L37" s="28"/>
    </row>
    <row r="38" spans="5:15" x14ac:dyDescent="0.25">
      <c r="E38" s="2">
        <v>0.95</v>
      </c>
      <c r="G38" s="23">
        <v>350</v>
      </c>
      <c r="H38" s="23">
        <v>95</v>
      </c>
    </row>
    <row r="39" spans="5:15" x14ac:dyDescent="0.25">
      <c r="E39" s="2">
        <v>0.96</v>
      </c>
      <c r="G39" s="23">
        <v>425</v>
      </c>
      <c r="H39" s="23">
        <v>95.5</v>
      </c>
    </row>
    <row r="40" spans="5:15" x14ac:dyDescent="0.25">
      <c r="E40" s="2">
        <v>0.97</v>
      </c>
      <c r="G40" s="23">
        <v>490</v>
      </c>
      <c r="H40" s="23">
        <v>96</v>
      </c>
    </row>
    <row r="41" spans="5:15" x14ac:dyDescent="0.25">
      <c r="E41" s="2">
        <v>0.98</v>
      </c>
    </row>
  </sheetData>
  <dataValidations count="1">
    <dataValidation type="list" allowBlank="1" showInputMessage="1" showErrorMessage="1" sqref="A5" xr:uid="{F1582E0F-25B4-458E-9D3F-0F049AFD187F}">
      <formula1>$E$33:$E$41</formula1>
    </dataValidation>
  </dataValidation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25895-1F37-4162-A8A9-56F7BFC5ABB1}">
  <dimension ref="A1:C14"/>
  <sheetViews>
    <sheetView workbookViewId="0">
      <selection activeCell="C14" sqref="C14"/>
    </sheetView>
  </sheetViews>
  <sheetFormatPr defaultRowHeight="15" x14ac:dyDescent="0.25"/>
  <cols>
    <col min="1" max="3" width="20.85546875" customWidth="1"/>
  </cols>
  <sheetData>
    <row r="1" spans="1:3" s="1" customFormat="1" ht="38.25" customHeight="1" x14ac:dyDescent="0.25">
      <c r="A1" s="95" t="s">
        <v>164</v>
      </c>
      <c r="B1" s="95" t="s">
        <v>165</v>
      </c>
      <c r="C1" s="95" t="s">
        <v>166</v>
      </c>
    </row>
    <row r="2" spans="1:3" s="1" customFormat="1" ht="30" customHeight="1" x14ac:dyDescent="0.25">
      <c r="A2" s="5">
        <f>(Verilenler!D2*Verilenler!A2*Verilenler!B2)*100/(75*'Genel Verim'!B2)</f>
        <v>53.877496043371387</v>
      </c>
      <c r="B2" s="5">
        <f>A5*A2</f>
        <v>59.265245647708532</v>
      </c>
      <c r="C2" s="5">
        <f>0.745699872*B2</f>
        <v>44.194086093544811</v>
      </c>
    </row>
    <row r="4" spans="1:3" s="1" customFormat="1" ht="30.2" customHeight="1" x14ac:dyDescent="0.25">
      <c r="A4" s="96" t="s">
        <v>6</v>
      </c>
    </row>
    <row r="5" spans="1:3" s="1" customFormat="1" ht="30" customHeight="1" x14ac:dyDescent="0.25">
      <c r="A5" s="7">
        <f>IF(AND(A2&gt;=B8,A2&lt;=C8),A8,(IF(AND(A2&gt;=B9,A2&lt;=C9),A9,(IF(AND(A2&gt;=B10,A2&lt;=C10),A10,"Bulunamıyor")))))</f>
        <v>1.1000000000000001</v>
      </c>
    </row>
    <row r="7" spans="1:3" x14ac:dyDescent="0.25">
      <c r="A7" s="97" t="s">
        <v>6</v>
      </c>
      <c r="B7" s="108" t="s">
        <v>167</v>
      </c>
      <c r="C7" s="108"/>
    </row>
    <row r="8" spans="1:3" x14ac:dyDescent="0.25">
      <c r="A8" s="2">
        <v>1.3</v>
      </c>
      <c r="B8" s="2">
        <v>0</v>
      </c>
      <c r="C8" s="2">
        <v>5</v>
      </c>
    </row>
    <row r="9" spans="1:3" x14ac:dyDescent="0.25">
      <c r="A9" s="2">
        <v>1.2</v>
      </c>
      <c r="B9" s="2">
        <v>5</v>
      </c>
      <c r="C9" s="2">
        <v>25</v>
      </c>
    </row>
    <row r="10" spans="1:3" x14ac:dyDescent="0.25">
      <c r="A10" s="2">
        <v>1.1000000000000001</v>
      </c>
      <c r="B10" s="2">
        <v>25</v>
      </c>
      <c r="C10" s="2">
        <v>9999999</v>
      </c>
    </row>
    <row r="11" spans="1:3" s="1" customFormat="1" x14ac:dyDescent="0.25"/>
    <row r="12" spans="1:3" s="1" customFormat="1" x14ac:dyDescent="0.25"/>
    <row r="13" spans="1:3" s="1" customFormat="1" x14ac:dyDescent="0.25"/>
    <row r="14" spans="1:3" s="1" customFormat="1" x14ac:dyDescent="0.25"/>
  </sheetData>
  <mergeCells count="1">
    <mergeCell ref="B7:C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7E3A2-782E-4DCB-9786-E8A35B6FF0BE}">
  <dimension ref="A1:C17"/>
  <sheetViews>
    <sheetView workbookViewId="0">
      <selection activeCell="B8" sqref="B8"/>
    </sheetView>
  </sheetViews>
  <sheetFormatPr defaultRowHeight="15" x14ac:dyDescent="0.25"/>
  <cols>
    <col min="1" max="1" width="20.85546875" style="1" customWidth="1"/>
    <col min="2" max="3" width="20.85546875" customWidth="1"/>
  </cols>
  <sheetData>
    <row r="1" spans="1:3" s="1" customFormat="1" ht="38.25" x14ac:dyDescent="0.25">
      <c r="A1" s="94" t="s">
        <v>160</v>
      </c>
      <c r="B1" s="94" t="s">
        <v>161</v>
      </c>
      <c r="C1" s="94" t="s">
        <v>162</v>
      </c>
    </row>
    <row r="2" spans="1:3" s="1" customFormat="1" ht="30" customHeight="1" x14ac:dyDescent="0.25">
      <c r="A2" s="5">
        <f>(('Efektif Güç ve Motor Gücü'!A2/Verilenler!C2)^(1/3))*14.4</f>
        <v>4.1817435885341165</v>
      </c>
      <c r="B2" s="2" cm="1">
        <f t="array" ref="B2">INDEX(A6:A17,MATCH(MIN(INDEX(ABS(A6:A17-(A2*10)),,)),INDEX(ABS(A6:A17-(A2*10)),,), 0),)</f>
        <v>40</v>
      </c>
      <c r="C2" s="2">
        <f>1.5*B2</f>
        <v>60</v>
      </c>
    </row>
    <row r="5" spans="1:3" ht="35.25" x14ac:dyDescent="0.25">
      <c r="A5" s="94" t="s">
        <v>163</v>
      </c>
    </row>
    <row r="6" spans="1:3" x14ac:dyDescent="0.25">
      <c r="A6" s="12">
        <v>15</v>
      </c>
    </row>
    <row r="7" spans="1:3" x14ac:dyDescent="0.25">
      <c r="A7" s="12">
        <v>20</v>
      </c>
    </row>
    <row r="8" spans="1:3" x14ac:dyDescent="0.25">
      <c r="A8" s="12">
        <v>25</v>
      </c>
    </row>
    <row r="9" spans="1:3" x14ac:dyDescent="0.25">
      <c r="A9" s="12">
        <v>30</v>
      </c>
    </row>
    <row r="10" spans="1:3" x14ac:dyDescent="0.25">
      <c r="A10" s="12">
        <v>35</v>
      </c>
    </row>
    <row r="11" spans="1:3" x14ac:dyDescent="0.25">
      <c r="A11" s="12">
        <v>40</v>
      </c>
    </row>
    <row r="12" spans="1:3" x14ac:dyDescent="0.25">
      <c r="A12" s="12">
        <v>50</v>
      </c>
    </row>
    <row r="13" spans="1:3" x14ac:dyDescent="0.25">
      <c r="A13" s="12">
        <v>60</v>
      </c>
    </row>
    <row r="14" spans="1:3" x14ac:dyDescent="0.25">
      <c r="A14" s="12">
        <v>70</v>
      </c>
    </row>
    <row r="15" spans="1:3" x14ac:dyDescent="0.25">
      <c r="A15" s="12">
        <v>80</v>
      </c>
    </row>
    <row r="16" spans="1:3" x14ac:dyDescent="0.25">
      <c r="A16" s="12">
        <v>90</v>
      </c>
    </row>
    <row r="17" spans="1:1" x14ac:dyDescent="0.25">
      <c r="A17" s="12">
        <v>100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2CCBC-B627-4DAA-BA19-D4B8118A5C15}">
  <dimension ref="A1:S85"/>
  <sheetViews>
    <sheetView workbookViewId="0">
      <selection activeCell="A12" sqref="A12"/>
    </sheetView>
  </sheetViews>
  <sheetFormatPr defaultRowHeight="15" x14ac:dyDescent="0.25"/>
  <cols>
    <col min="1" max="6" width="20.85546875" customWidth="1"/>
  </cols>
  <sheetData>
    <row r="1" spans="1:19" s="1" customFormat="1" ht="30.2" customHeight="1" x14ac:dyDescent="0.25">
      <c r="A1" s="109" t="s">
        <v>16</v>
      </c>
      <c r="B1" s="109"/>
      <c r="C1" s="109"/>
      <c r="D1" s="109"/>
      <c r="G1" s="110" t="s">
        <v>159</v>
      </c>
      <c r="H1" s="111"/>
    </row>
    <row r="2" spans="1:19" s="1" customFormat="1" ht="30" customHeight="1" x14ac:dyDescent="0.25">
      <c r="A2" s="93" t="s">
        <v>31</v>
      </c>
      <c r="B2" s="39" t="s">
        <v>17</v>
      </c>
      <c r="C2" s="39" t="s">
        <v>18</v>
      </c>
      <c r="D2" s="39" t="s">
        <v>19</v>
      </c>
      <c r="G2" s="19" t="s">
        <v>24</v>
      </c>
      <c r="H2" s="19" t="s">
        <v>23</v>
      </c>
    </row>
    <row r="3" spans="1:19" ht="30" customHeight="1" x14ac:dyDescent="0.25">
      <c r="A3" s="5">
        <f>(('Özgül Hız'!F2-'Çark Giriş Hesabı'!J28)*('Çark Giriş Hesabı'!I29-'Çark Giriş Hesabı'!J29)/('Çark Giriş Hesabı'!I28-'Çark Giriş Hesabı'!J28))+'Çark Giriş Hesabı'!J29</f>
        <v>0.97954358327032076</v>
      </c>
      <c r="B3" s="5">
        <f>(('Özgül Hız'!F2-'Çark Giriş Hesabı'!J28)*(I30-J30)/('Çark Giriş Hesabı'!I28-'Çark Giriş Hesabı'!J28))+J30</f>
        <v>0.17636238884688055</v>
      </c>
      <c r="C3" s="41">
        <f>(('Özgül Hız'!F2-'Çark Giriş Hesabı'!J28)*(I31-J31)/('Çark Giriş Hesabı'!I28-'Çark Giriş Hesabı'!J28))+J31</f>
        <v>0.46378517583490786</v>
      </c>
      <c r="D3" s="5">
        <f>(('Özgül Hız'!F2-'Çark Giriş Hesabı'!J28)*(I32-J32)/('Çark Giriş Hesabı'!I28-'Çark Giriş Hesabı'!J28))+J32</f>
        <v>9.2724777693761071E-2</v>
      </c>
      <c r="G3" s="6">
        <v>0.7</v>
      </c>
      <c r="H3" s="6">
        <v>0.8</v>
      </c>
    </row>
    <row r="6" spans="1:19" ht="38.25" x14ac:dyDescent="0.25">
      <c r="A6" s="88" t="s">
        <v>155</v>
      </c>
      <c r="B6" s="88" t="s">
        <v>156</v>
      </c>
      <c r="C6" s="88" t="s">
        <v>157</v>
      </c>
      <c r="D6" s="88" t="s">
        <v>158</v>
      </c>
      <c r="E6" s="88" t="s">
        <v>158</v>
      </c>
    </row>
    <row r="7" spans="1:19" ht="30" customHeight="1" x14ac:dyDescent="0.25">
      <c r="A7" s="14">
        <v>2.75</v>
      </c>
      <c r="B7" s="5">
        <f>1.1*A7</f>
        <v>3.0250000000000004</v>
      </c>
      <c r="C7" s="5">
        <f>B7/G3</f>
        <v>4.3214285714285721</v>
      </c>
      <c r="D7" s="22">
        <v>3.75</v>
      </c>
      <c r="E7" s="47">
        <f>(4*Verilenler!A2)/(PI()*'Çark Giriş Hesabı'!A12^2)</f>
        <v>2.2052615345746198</v>
      </c>
    </row>
    <row r="8" spans="1:19" x14ac:dyDescent="0.25">
      <c r="C8" s="10"/>
    </row>
    <row r="9" spans="1:19" x14ac:dyDescent="0.25">
      <c r="R9" s="10"/>
      <c r="S9" s="10"/>
    </row>
    <row r="10" spans="1:19" ht="38.25" x14ac:dyDescent="0.25">
      <c r="A10" s="88" t="s">
        <v>150</v>
      </c>
      <c r="B10" s="90" t="s">
        <v>151</v>
      </c>
      <c r="C10" s="88" t="s">
        <v>152</v>
      </c>
      <c r="D10" s="88" t="s">
        <v>153</v>
      </c>
      <c r="E10" s="31" t="s">
        <v>154</v>
      </c>
      <c r="R10" s="10"/>
      <c r="S10" s="10"/>
    </row>
    <row r="11" spans="1:19" ht="30" customHeight="1" x14ac:dyDescent="0.25">
      <c r="A11" s="17">
        <f>SQRT(((4*(Verilenler!A2))/(PI()*D7)))</f>
        <v>0.11653849926315511</v>
      </c>
      <c r="B11" s="17">
        <f>0.92*A12</f>
        <v>0.13981147939611266</v>
      </c>
      <c r="C11" s="5">
        <f>(A12*1000)+4</f>
        <v>155.96899934360073</v>
      </c>
      <c r="D11" s="5">
        <f>2*1000*B11-C11</f>
        <v>123.65395944862456</v>
      </c>
      <c r="E11" s="5">
        <f>'Genel Verim'!C2/(PI()*B11*G3*B7)</f>
        <v>4.5271018279651472E-2</v>
      </c>
      <c r="R11" s="10"/>
      <c r="S11" s="10"/>
    </row>
    <row r="12" spans="1:19" x14ac:dyDescent="0.25">
      <c r="A12" s="17">
        <f>SQRT(((4*('Genel Verim'!C2))/(PI()*'Çark Giriş Hesabı'!A7))+('Mil Çapı'!C2/1000)^2)</f>
        <v>0.15196899934360072</v>
      </c>
    </row>
    <row r="13" spans="1:19" ht="38.25" x14ac:dyDescent="0.25">
      <c r="A13" s="90" t="s">
        <v>146</v>
      </c>
      <c r="B13" s="90" t="s">
        <v>147</v>
      </c>
      <c r="C13" s="88" t="s">
        <v>148</v>
      </c>
      <c r="D13" s="88" t="s">
        <v>149</v>
      </c>
      <c r="E13" s="88" t="s">
        <v>27</v>
      </c>
    </row>
    <row r="14" spans="1:19" ht="30" customHeight="1" x14ac:dyDescent="0.25">
      <c r="A14" s="5">
        <f>PI()*C11*Verilenler!C2/60/1000</f>
        <v>17.966338959272267</v>
      </c>
      <c r="B14" s="20">
        <f>DEGREES(ATAN(B7/A14))+2</f>
        <v>11.55727532836894</v>
      </c>
      <c r="C14" s="5">
        <f>DEGREES(ATAN((B7*60)/(PI()*Verilenler!C2*C11/1000)))</f>
        <v>9.5572753283689398</v>
      </c>
      <c r="D14" s="5">
        <f>DEGREES(ATAN((B7*60)/(PI()*Verilenler!C2*'Çark Giriş Hesabı'!D11/1000)))</f>
        <v>11.989849732451473</v>
      </c>
      <c r="E14" s="54" t="str">
        <f>IF(D14-C14&lt;=6,"EVET","HAYIR")</f>
        <v>EVET</v>
      </c>
    </row>
    <row r="16" spans="1:19" x14ac:dyDescent="0.25">
      <c r="B16" s="1"/>
      <c r="C16" s="1"/>
      <c r="D16" s="1"/>
      <c r="E16" s="1"/>
      <c r="F16" s="1"/>
    </row>
    <row r="17" spans="2:12" ht="30" customHeight="1" x14ac:dyDescent="0.25">
      <c r="B17" s="1"/>
      <c r="C17" s="1"/>
      <c r="D17" s="1"/>
      <c r="E17" s="1"/>
      <c r="F17" s="1"/>
    </row>
    <row r="20" spans="2:12" ht="23.25" x14ac:dyDescent="0.25">
      <c r="H20" s="11" t="s">
        <v>9</v>
      </c>
      <c r="I20" s="11" t="s">
        <v>10</v>
      </c>
      <c r="J20" s="11" t="s">
        <v>13</v>
      </c>
      <c r="K20" s="11" t="s">
        <v>11</v>
      </c>
      <c r="L20" s="11" t="s">
        <v>12</v>
      </c>
    </row>
    <row r="21" spans="2:12" x14ac:dyDescent="0.25">
      <c r="D21" s="2">
        <v>0.97</v>
      </c>
      <c r="F21">
        <v>0.14000000000000001</v>
      </c>
      <c r="H21" s="2">
        <v>60</v>
      </c>
      <c r="I21" s="2">
        <v>0.97</v>
      </c>
      <c r="J21" s="2">
        <v>0.17</v>
      </c>
      <c r="K21" s="2">
        <v>0.45</v>
      </c>
      <c r="L21" s="2">
        <v>0.08</v>
      </c>
    </row>
    <row r="22" spans="2:12" x14ac:dyDescent="0.25">
      <c r="D22" s="2">
        <v>1.06</v>
      </c>
      <c r="F22">
        <v>0.15</v>
      </c>
      <c r="H22" s="2">
        <v>120</v>
      </c>
      <c r="I22" s="2">
        <v>1.06</v>
      </c>
      <c r="J22" s="2">
        <v>0.23</v>
      </c>
      <c r="K22" s="2">
        <v>0.57999999999999996</v>
      </c>
      <c r="L22" s="2">
        <v>0.2</v>
      </c>
    </row>
    <row r="23" spans="2:12" x14ac:dyDescent="0.25">
      <c r="D23" s="2">
        <v>1.1399999999999999</v>
      </c>
      <c r="F23">
        <v>0</v>
      </c>
      <c r="H23" s="2">
        <v>180</v>
      </c>
      <c r="I23" s="2">
        <v>1.1399999999999999</v>
      </c>
      <c r="J23" s="2">
        <v>0.3</v>
      </c>
      <c r="K23" s="2">
        <v>0.68</v>
      </c>
      <c r="L23" s="2">
        <v>0.3</v>
      </c>
    </row>
    <row r="24" spans="2:12" x14ac:dyDescent="0.25">
      <c r="D24" s="2">
        <v>1.2</v>
      </c>
      <c r="H24" s="2">
        <v>240</v>
      </c>
      <c r="I24" s="2">
        <v>1.2</v>
      </c>
      <c r="J24" s="2">
        <v>0.37</v>
      </c>
      <c r="K24" s="2">
        <v>0.77</v>
      </c>
      <c r="L24" s="2">
        <v>0.37</v>
      </c>
    </row>
    <row r="25" spans="2:12" x14ac:dyDescent="0.25">
      <c r="D25" s="2">
        <v>1.24</v>
      </c>
      <c r="H25" s="2">
        <v>300</v>
      </c>
      <c r="I25" s="2">
        <v>1.24</v>
      </c>
      <c r="J25" s="2">
        <v>0.44</v>
      </c>
      <c r="K25" s="2">
        <v>0.86</v>
      </c>
      <c r="L25" s="2">
        <v>0.44</v>
      </c>
    </row>
    <row r="27" spans="2:12" ht="38.25" x14ac:dyDescent="0.25">
      <c r="H27" s="1"/>
      <c r="I27" s="9" t="s">
        <v>8</v>
      </c>
      <c r="J27" s="9" t="s">
        <v>7</v>
      </c>
    </row>
    <row r="28" spans="2:12" x14ac:dyDescent="0.25">
      <c r="H28" s="1"/>
      <c r="I28" s="2" cm="1">
        <f t="array" ref="I28">INDEX(H21:H25,MATCH(MIN(INDEX(ABS('Özgül Hız'!F2-'Çark Giriş Hesabı'!H21:H25),,)),INDEX(ABS('Özgül Hız'!F2-'Çark Giriş Hesabı'!H21:H25),,),0),)</f>
        <v>60</v>
      </c>
      <c r="J28" s="2" cm="1">
        <f t="array" ref="J28">INDEX(H21:H25,MATCH(SMALL(INDEX(ABS('Özgül Hız'!F2-'Çark Giriş Hesabı'!H21:H25),,),2),INDEX(ABS('Özgül Hız'!F2-'Çark Giriş Hesabı'!H21:H25),,),0),)</f>
        <v>120</v>
      </c>
    </row>
    <row r="29" spans="2:12" ht="15" customHeight="1" x14ac:dyDescent="0.25">
      <c r="H29" s="11" t="s">
        <v>10</v>
      </c>
      <c r="I29" s="2">
        <f>VLOOKUP(I28,H21:I25,2,)</f>
        <v>0.97</v>
      </c>
      <c r="J29" s="2">
        <f>VLOOKUP(J28,H21:I25,2,)</f>
        <v>1.06</v>
      </c>
    </row>
    <row r="30" spans="2:12" ht="15" customHeight="1" x14ac:dyDescent="0.25">
      <c r="H30" s="11" t="s">
        <v>13</v>
      </c>
      <c r="I30" s="2">
        <f>+VLOOKUP(I28,H21:J25,3,)</f>
        <v>0.17</v>
      </c>
      <c r="J30" s="2">
        <f>+VLOOKUP(J28,H21:J25,3,)</f>
        <v>0.23</v>
      </c>
    </row>
    <row r="31" spans="2:12" x14ac:dyDescent="0.25">
      <c r="H31" s="11" t="s">
        <v>14</v>
      </c>
      <c r="I31" s="2">
        <f>+VLOOKUP(I28,H21:K25,4,)</f>
        <v>0.45</v>
      </c>
      <c r="J31" s="2">
        <f>+VLOOKUP(J28,H21:K25,4,)</f>
        <v>0.57999999999999996</v>
      </c>
    </row>
    <row r="32" spans="2:12" x14ac:dyDescent="0.25">
      <c r="H32" s="11" t="s">
        <v>15</v>
      </c>
      <c r="I32" s="2">
        <f>+VLOOKUP(I28,H21:L25,5,)</f>
        <v>0.08</v>
      </c>
      <c r="J32" s="2">
        <f>+VLOOKUP(J28,H21:L25,5,)</f>
        <v>0.2</v>
      </c>
    </row>
    <row r="34" spans="8:9" x14ac:dyDescent="0.25">
      <c r="H34" s="11" t="s">
        <v>21</v>
      </c>
      <c r="I34" s="8" t="s">
        <v>25</v>
      </c>
    </row>
    <row r="35" spans="8:9" x14ac:dyDescent="0.25">
      <c r="H35" s="2">
        <v>2.5</v>
      </c>
      <c r="I35" s="2">
        <v>0.6</v>
      </c>
    </row>
    <row r="36" spans="8:9" x14ac:dyDescent="0.25">
      <c r="H36" s="2">
        <v>2.5499999999999998</v>
      </c>
      <c r="I36" s="2">
        <v>0.65</v>
      </c>
    </row>
    <row r="37" spans="8:9" x14ac:dyDescent="0.25">
      <c r="H37" s="2">
        <v>2.6</v>
      </c>
      <c r="I37" s="2">
        <v>0.7</v>
      </c>
    </row>
    <row r="38" spans="8:9" x14ac:dyDescent="0.25">
      <c r="H38" s="2">
        <v>2.65</v>
      </c>
      <c r="I38" s="2">
        <v>0.75</v>
      </c>
    </row>
    <row r="39" spans="8:9" x14ac:dyDescent="0.25">
      <c r="H39" s="2">
        <v>2.7</v>
      </c>
      <c r="I39" s="2">
        <v>0.8</v>
      </c>
    </row>
    <row r="40" spans="8:9" x14ac:dyDescent="0.25">
      <c r="H40" s="2">
        <v>2.75</v>
      </c>
      <c r="I40" s="2">
        <v>0.85</v>
      </c>
    </row>
    <row r="41" spans="8:9" x14ac:dyDescent="0.25">
      <c r="H41" s="2">
        <v>2.8</v>
      </c>
      <c r="I41" s="2">
        <v>0.9</v>
      </c>
    </row>
    <row r="42" spans="8:9" x14ac:dyDescent="0.25">
      <c r="H42" s="2">
        <v>2.85</v>
      </c>
      <c r="I42" s="2">
        <v>0.95</v>
      </c>
    </row>
    <row r="43" spans="8:9" x14ac:dyDescent="0.25">
      <c r="H43" s="2">
        <v>2.9</v>
      </c>
      <c r="I43" s="15">
        <v>1</v>
      </c>
    </row>
    <row r="44" spans="8:9" x14ac:dyDescent="0.25">
      <c r="H44" s="2">
        <v>2.95</v>
      </c>
    </row>
    <row r="45" spans="8:9" x14ac:dyDescent="0.25">
      <c r="H45" s="2">
        <v>3</v>
      </c>
    </row>
    <row r="46" spans="8:9" x14ac:dyDescent="0.25">
      <c r="H46" s="2">
        <v>3.05</v>
      </c>
    </row>
    <row r="47" spans="8:9" x14ac:dyDescent="0.25">
      <c r="H47" s="2">
        <v>3.1</v>
      </c>
    </row>
    <row r="48" spans="8:9" x14ac:dyDescent="0.25">
      <c r="H48" s="2">
        <v>3.15</v>
      </c>
    </row>
    <row r="49" spans="8:8" x14ac:dyDescent="0.25">
      <c r="H49" s="2">
        <v>3.2</v>
      </c>
    </row>
    <row r="50" spans="8:8" x14ac:dyDescent="0.25">
      <c r="H50" s="2">
        <v>3.25</v>
      </c>
    </row>
    <row r="51" spans="8:8" x14ac:dyDescent="0.25">
      <c r="H51" s="2">
        <v>3.3</v>
      </c>
    </row>
    <row r="52" spans="8:8" x14ac:dyDescent="0.25">
      <c r="H52" s="2">
        <v>3.35</v>
      </c>
    </row>
    <row r="53" spans="8:8" x14ac:dyDescent="0.25">
      <c r="H53" s="2">
        <v>3.4</v>
      </c>
    </row>
    <row r="54" spans="8:8" x14ac:dyDescent="0.25">
      <c r="H54" s="2">
        <v>3.45</v>
      </c>
    </row>
    <row r="55" spans="8:8" x14ac:dyDescent="0.25">
      <c r="H55" s="2">
        <v>3.5</v>
      </c>
    </row>
    <row r="56" spans="8:8" x14ac:dyDescent="0.25">
      <c r="H56" s="2">
        <v>3.55000000000001</v>
      </c>
    </row>
    <row r="57" spans="8:8" x14ac:dyDescent="0.25">
      <c r="H57" s="2">
        <v>3.6000000000000099</v>
      </c>
    </row>
    <row r="58" spans="8:8" x14ac:dyDescent="0.25">
      <c r="H58" s="2">
        <v>3.6500000000000101</v>
      </c>
    </row>
    <row r="59" spans="8:8" x14ac:dyDescent="0.25">
      <c r="H59" s="2">
        <v>3.7000000000000099</v>
      </c>
    </row>
    <row r="60" spans="8:8" x14ac:dyDescent="0.25">
      <c r="H60" s="2">
        <v>3.7500000000000102</v>
      </c>
    </row>
    <row r="61" spans="8:8" x14ac:dyDescent="0.25">
      <c r="H61" s="2">
        <v>3.80000000000001</v>
      </c>
    </row>
    <row r="62" spans="8:8" x14ac:dyDescent="0.25">
      <c r="H62" s="2">
        <v>3.8500000000000099</v>
      </c>
    </row>
    <row r="63" spans="8:8" x14ac:dyDescent="0.25">
      <c r="H63" s="2">
        <v>3.9000000000000101</v>
      </c>
    </row>
    <row r="64" spans="8:8" x14ac:dyDescent="0.25">
      <c r="H64" s="2">
        <v>3.9500000000000099</v>
      </c>
    </row>
    <row r="65" spans="8:8" x14ac:dyDescent="0.25">
      <c r="H65" s="2">
        <v>4.0000000000000098</v>
      </c>
    </row>
    <row r="66" spans="8:8" x14ac:dyDescent="0.25">
      <c r="H66" s="2">
        <v>4.0500000000000096</v>
      </c>
    </row>
    <row r="67" spans="8:8" x14ac:dyDescent="0.25">
      <c r="H67" s="2">
        <v>4.1000000000000103</v>
      </c>
    </row>
    <row r="68" spans="8:8" x14ac:dyDescent="0.25">
      <c r="H68" s="2">
        <v>4.1500000000000101</v>
      </c>
    </row>
    <row r="69" spans="8:8" x14ac:dyDescent="0.25">
      <c r="H69" s="2">
        <v>4.2000000000000099</v>
      </c>
    </row>
    <row r="70" spans="8:8" x14ac:dyDescent="0.25">
      <c r="H70" s="2">
        <v>4.2500000000000098</v>
      </c>
    </row>
    <row r="71" spans="8:8" x14ac:dyDescent="0.25">
      <c r="H71" s="2">
        <v>4.3000000000000096</v>
      </c>
    </row>
    <row r="72" spans="8:8" x14ac:dyDescent="0.25">
      <c r="H72" s="2">
        <v>4.3500000000000103</v>
      </c>
    </row>
    <row r="73" spans="8:8" x14ac:dyDescent="0.25">
      <c r="H73" s="2">
        <v>4.4000000000000101</v>
      </c>
    </row>
    <row r="74" spans="8:8" x14ac:dyDescent="0.25">
      <c r="H74" s="2">
        <v>4.4500000000000099</v>
      </c>
    </row>
    <row r="75" spans="8:8" x14ac:dyDescent="0.25">
      <c r="H75" s="2">
        <v>4.5000000000000098</v>
      </c>
    </row>
    <row r="76" spans="8:8" x14ac:dyDescent="0.25">
      <c r="H76" s="2">
        <v>4.5500000000000096</v>
      </c>
    </row>
    <row r="77" spans="8:8" x14ac:dyDescent="0.25">
      <c r="H77" s="2">
        <v>4.6000000000000103</v>
      </c>
    </row>
    <row r="78" spans="8:8" x14ac:dyDescent="0.25">
      <c r="H78" s="2">
        <v>4.6500000000000101</v>
      </c>
    </row>
    <row r="79" spans="8:8" x14ac:dyDescent="0.25">
      <c r="H79" s="2">
        <v>4.7000000000000099</v>
      </c>
    </row>
    <row r="80" spans="8:8" x14ac:dyDescent="0.25">
      <c r="H80" s="2">
        <v>4.7500000000000098</v>
      </c>
    </row>
    <row r="81" spans="8:8" x14ac:dyDescent="0.25">
      <c r="H81" s="2">
        <v>4.8000000000000096</v>
      </c>
    </row>
    <row r="82" spans="8:8" x14ac:dyDescent="0.25">
      <c r="H82" s="2">
        <v>4.8500000000000103</v>
      </c>
    </row>
    <row r="83" spans="8:8" x14ac:dyDescent="0.25">
      <c r="H83" s="2">
        <v>4.9000000000000101</v>
      </c>
    </row>
    <row r="84" spans="8:8" x14ac:dyDescent="0.25">
      <c r="H84" s="2">
        <v>4.9500000000000099</v>
      </c>
    </row>
    <row r="85" spans="8:8" x14ac:dyDescent="0.25">
      <c r="H85" s="2">
        <v>5.0000000000000098</v>
      </c>
    </row>
  </sheetData>
  <mergeCells count="2">
    <mergeCell ref="A1:D1"/>
    <mergeCell ref="G1:H1"/>
  </mergeCells>
  <dataValidations disablePrompts="1" count="3">
    <dataValidation type="list" allowBlank="1" showInputMessage="1" showErrorMessage="1" sqref="A7" xr:uid="{0CDB1EBB-0982-408B-A205-5350B603D89E}">
      <formula1>$H$35:$H$85</formula1>
    </dataValidation>
    <dataValidation type="list" allowBlank="1" showInputMessage="1" showErrorMessage="1" sqref="G3" xr:uid="{F63DA477-11D8-4FED-90F7-E7678BE7874E}">
      <formula1>$I$35:$I$43</formula1>
    </dataValidation>
    <dataValidation type="list" allowBlank="1" showInputMessage="1" showErrorMessage="1" sqref="H3" xr:uid="{CFA9E730-8B96-46B1-A518-706F788C7EC7}">
      <formula1>$I$39:$I$43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32C23-FB9E-4C05-8A96-DBB1338B88E2}">
  <dimension ref="A1:F7"/>
  <sheetViews>
    <sheetView topLeftCell="B1" workbookViewId="0">
      <selection activeCell="F6" sqref="F6"/>
    </sheetView>
  </sheetViews>
  <sheetFormatPr defaultRowHeight="15" x14ac:dyDescent="0.25"/>
  <cols>
    <col min="1" max="4" width="20.85546875" customWidth="1"/>
    <col min="6" max="6" width="20.85546875" customWidth="1"/>
  </cols>
  <sheetData>
    <row r="1" spans="1:6" ht="35.25" x14ac:dyDescent="0.25">
      <c r="A1" s="30" t="s">
        <v>29</v>
      </c>
      <c r="B1" s="88" t="s">
        <v>138</v>
      </c>
      <c r="C1" s="91" t="s">
        <v>139</v>
      </c>
      <c r="F1" s="92" t="s">
        <v>145</v>
      </c>
    </row>
    <row r="2" spans="1:6" ht="33.75" x14ac:dyDescent="0.25">
      <c r="A2" s="5">
        <f>'Çark Giriş Hesabı'!A3*SQRT(19.62*Verilenler!B2)</f>
        <v>36.30130898931732</v>
      </c>
      <c r="B2" s="41">
        <f>60*A2/(Verilenler!C2*PI())</f>
        <v>0.31513815089215125</v>
      </c>
      <c r="C2" s="42">
        <f>IF(B2&gt;=B4,B2,B4)+0.005</f>
        <v>0.32013815089215125</v>
      </c>
      <c r="D2" s="38" t="s">
        <v>32</v>
      </c>
      <c r="F2" s="6">
        <v>1.1100000000000001</v>
      </c>
    </row>
    <row r="3" spans="1:6" ht="38.25" x14ac:dyDescent="0.25">
      <c r="A3" s="30" t="s">
        <v>30</v>
      </c>
      <c r="B3" s="88" t="s">
        <v>140</v>
      </c>
      <c r="C3" s="90" t="s">
        <v>141</v>
      </c>
      <c r="D3" s="46" t="str">
        <f>IF(AND(('Çark Giriş Hesabı'!B11/'Çark Çıkış Hesabı'!C2)&lt;='Çark Giriş Hesabı'!C3+0.03,('Çark Giriş Hesabı'!B11/'Çark Çıkış Hesabı'!C2)&gt;='Çark Giriş Hesabı'!C3-0.03),"EVET","HAYIR")</f>
        <v>EVET</v>
      </c>
    </row>
    <row r="4" spans="1:6" ht="30" customHeight="1" x14ac:dyDescent="0.25">
      <c r="A4" s="5">
        <f>SQRT(2*9.81*Verilenler!B2/'Çark Çıkış Hesabı'!F2)</f>
        <v>35.175236989923711</v>
      </c>
      <c r="B4" s="41">
        <f>60*A4/(Verilenler!C2*PI())</f>
        <v>0.30536251862046759</v>
      </c>
      <c r="C4" s="5">
        <f>PI()*Verilenler!C2*'Çark Çıkış Hesabı'!C2/60</f>
        <v>36.877267642475445</v>
      </c>
    </row>
    <row r="6" spans="1:6" ht="38.25" x14ac:dyDescent="0.25">
      <c r="A6" s="30" t="s">
        <v>20</v>
      </c>
      <c r="B6" s="88" t="s">
        <v>142</v>
      </c>
      <c r="C6" s="88" t="s">
        <v>143</v>
      </c>
      <c r="D6" s="88" t="s">
        <v>144</v>
      </c>
    </row>
    <row r="7" spans="1:6" ht="30" customHeight="1" x14ac:dyDescent="0.25">
      <c r="A7" s="5">
        <f>'Çark Giriş Hesabı'!B3*SQRT(19.62*Verilenler!B2)</f>
        <v>6.5358863872603772</v>
      </c>
      <c r="B7" s="5">
        <f>A7*'Çark Giriş Hesabı'!H3</f>
        <v>5.2287091098083023</v>
      </c>
      <c r="C7" s="5">
        <f>9.81*Verilenler!B2/('Çark Çıkış Hesabı'!C4*('Genel Verim'!C5/100))</f>
        <v>23.143169104610166</v>
      </c>
      <c r="D7" s="20">
        <f>DEGREES(ATAN(A7/(C4-C7)))</f>
        <v>25.449194812416152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7E4AD-5D19-47AA-8C78-5EE2ABC435CE}">
  <dimension ref="A1:I75"/>
  <sheetViews>
    <sheetView workbookViewId="0">
      <selection activeCell="E7" sqref="E7"/>
    </sheetView>
  </sheetViews>
  <sheetFormatPr defaultRowHeight="15" x14ac:dyDescent="0.25"/>
  <cols>
    <col min="1" max="5" width="20.85546875" customWidth="1"/>
    <col min="7" max="7" width="12.28515625" bestFit="1" customWidth="1"/>
  </cols>
  <sheetData>
    <row r="1" spans="1:9" ht="33.75" x14ac:dyDescent="0.25">
      <c r="A1" s="86" t="s">
        <v>132</v>
      </c>
      <c r="B1" s="90" t="s">
        <v>133</v>
      </c>
      <c r="C1" s="32" t="s">
        <v>134</v>
      </c>
      <c r="D1" s="90" t="s">
        <v>135</v>
      </c>
      <c r="E1" s="86" t="s">
        <v>136</v>
      </c>
      <c r="F1" s="33"/>
      <c r="G1" s="1"/>
      <c r="H1" s="1"/>
      <c r="I1" s="1"/>
    </row>
    <row r="2" spans="1:9" x14ac:dyDescent="0.25">
      <c r="A2" s="6">
        <v>29</v>
      </c>
      <c r="B2" s="5">
        <f>1+((1.2*(1+SIN(A2))/D2)*(1/(1-(('Çark Giriş Hesabı'!B11/'Çark Çıkış Hesabı'!C2)^2))))</f>
        <v>1.0868007549453402</v>
      </c>
      <c r="C2" s="5">
        <f>B2*'Çark Çıkış Hesabı'!C7</f>
        <v>25.152013654718001</v>
      </c>
      <c r="D2" s="20">
        <f>((1000*'Çark Çıkış Hesabı'!C2)+(1000*'Çark Giriş Hesabı'!B11))/((1000*'Çark Çıkış Hesabı'!C2)-(1000*'Çark Giriş Hesabı'!B11))*SIN(RADIANS(('Çark Giriş Hesabı'!B14+'Kanat Sayısı ve Kayma'!A2)/2))*6.5</f>
        <v>5.7461188898008784</v>
      </c>
      <c r="E2" s="35">
        <f>DEGREES(ATAN('Çark Çıkış Hesabı'!A7/('Çark Çıkış Hesabı'!C4-'Kanat Sayısı ve Kayma'!C2)))</f>
        <v>29.136152266799748</v>
      </c>
      <c r="F2" s="1"/>
      <c r="G2" s="1"/>
      <c r="H2" s="1"/>
    </row>
    <row r="5" spans="1:9" ht="33.75" x14ac:dyDescent="0.25">
      <c r="A5" s="36" t="s">
        <v>36</v>
      </c>
      <c r="C5" s="86" t="s">
        <v>137</v>
      </c>
      <c r="D5" s="88" t="s">
        <v>35</v>
      </c>
    </row>
    <row r="6" spans="1:9" ht="75" x14ac:dyDescent="0.25">
      <c r="A6" s="37" t="s">
        <v>37</v>
      </c>
      <c r="C6" s="45" t="str">
        <f>IF(ABS(A2-E2)&lt;=2.5,"UYGUN","HAYIR!")</f>
        <v>UYGUN</v>
      </c>
      <c r="D6" s="103" t="str">
        <f>IF(C6="HAYIR","Lütfen A2 değerini değiştirerek kontrol açısıyla karşılaştırınız!","Seçilen açıdan daha büyük bir seçenek uygun değilse seçilen açı ile işlemlere devam ediniz.")</f>
        <v>Seçilen açıdan daha büyük bir seçenek uygun değilse seçilen açı ile işlemlere devam ediniz.</v>
      </c>
    </row>
    <row r="50" spans="1:1" x14ac:dyDescent="0.25">
      <c r="A50" s="21">
        <v>30</v>
      </c>
    </row>
    <row r="51" spans="1:1" x14ac:dyDescent="0.25">
      <c r="A51" s="21">
        <v>29</v>
      </c>
    </row>
    <row r="52" spans="1:1" x14ac:dyDescent="0.25">
      <c r="A52" s="21">
        <v>28</v>
      </c>
    </row>
    <row r="53" spans="1:1" x14ac:dyDescent="0.25">
      <c r="A53" s="21">
        <v>27</v>
      </c>
    </row>
    <row r="54" spans="1:1" x14ac:dyDescent="0.25">
      <c r="A54" s="21">
        <v>26</v>
      </c>
    </row>
    <row r="55" spans="1:1" x14ac:dyDescent="0.25">
      <c r="A55" s="21">
        <v>25</v>
      </c>
    </row>
    <row r="56" spans="1:1" x14ac:dyDescent="0.25">
      <c r="A56" s="21">
        <v>24</v>
      </c>
    </row>
    <row r="57" spans="1:1" x14ac:dyDescent="0.25">
      <c r="A57" s="21">
        <v>23</v>
      </c>
    </row>
    <row r="58" spans="1:1" x14ac:dyDescent="0.25">
      <c r="A58" s="21">
        <v>22</v>
      </c>
    </row>
    <row r="59" spans="1:1" x14ac:dyDescent="0.25">
      <c r="A59" s="21">
        <v>21</v>
      </c>
    </row>
    <row r="60" spans="1:1" x14ac:dyDescent="0.25">
      <c r="A60" s="21">
        <v>20</v>
      </c>
    </row>
    <row r="61" spans="1:1" x14ac:dyDescent="0.25">
      <c r="A61" s="21">
        <v>19</v>
      </c>
    </row>
    <row r="62" spans="1:1" x14ac:dyDescent="0.25">
      <c r="A62" s="21">
        <v>18</v>
      </c>
    </row>
    <row r="63" spans="1:1" x14ac:dyDescent="0.25">
      <c r="A63" s="21">
        <v>17</v>
      </c>
    </row>
    <row r="64" spans="1:1" x14ac:dyDescent="0.25">
      <c r="A64" s="21">
        <v>16</v>
      </c>
    </row>
    <row r="65" spans="1:1" x14ac:dyDescent="0.25">
      <c r="A65" s="21">
        <v>15</v>
      </c>
    </row>
    <row r="66" spans="1:1" x14ac:dyDescent="0.25">
      <c r="A66" s="21">
        <v>14</v>
      </c>
    </row>
    <row r="67" spans="1:1" x14ac:dyDescent="0.25">
      <c r="A67" s="21">
        <v>13</v>
      </c>
    </row>
    <row r="68" spans="1:1" x14ac:dyDescent="0.25">
      <c r="A68" s="21">
        <v>12</v>
      </c>
    </row>
    <row r="69" spans="1:1" x14ac:dyDescent="0.25">
      <c r="A69" s="21">
        <v>11</v>
      </c>
    </row>
    <row r="70" spans="1:1" x14ac:dyDescent="0.25">
      <c r="A70" s="21">
        <v>10</v>
      </c>
    </row>
    <row r="71" spans="1:1" x14ac:dyDescent="0.25">
      <c r="A71" s="21">
        <v>9</v>
      </c>
    </row>
    <row r="72" spans="1:1" x14ac:dyDescent="0.25">
      <c r="A72" s="21">
        <v>8</v>
      </c>
    </row>
    <row r="73" spans="1:1" x14ac:dyDescent="0.25">
      <c r="A73" s="21">
        <v>7</v>
      </c>
    </row>
    <row r="74" spans="1:1" x14ac:dyDescent="0.25">
      <c r="A74" s="21">
        <v>6</v>
      </c>
    </row>
    <row r="75" spans="1:1" x14ac:dyDescent="0.25">
      <c r="A75" s="21">
        <v>5</v>
      </c>
    </row>
  </sheetData>
  <dataValidations count="1">
    <dataValidation type="list" allowBlank="1" showInputMessage="1" showErrorMessage="1" sqref="A2" xr:uid="{F46507CD-8480-42BF-AE78-854BADCE5CE3}">
      <formula1>$A$50:$A$75</formula1>
    </dataValidation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AF0F0-D293-4B6B-94AD-B2A9DABEB2C3}">
  <dimension ref="A1:C5"/>
  <sheetViews>
    <sheetView workbookViewId="0">
      <selection activeCell="B5" sqref="B5"/>
    </sheetView>
  </sheetViews>
  <sheetFormatPr defaultRowHeight="15" x14ac:dyDescent="0.25"/>
  <cols>
    <col min="1" max="3" width="20.85546875" customWidth="1"/>
  </cols>
  <sheetData>
    <row r="1" spans="1:3" ht="38.25" x14ac:dyDescent="0.25">
      <c r="A1" s="88" t="s">
        <v>127</v>
      </c>
      <c r="B1" s="90" t="s">
        <v>128</v>
      </c>
      <c r="C1" s="88" t="s">
        <v>129</v>
      </c>
    </row>
    <row r="2" spans="1:3" ht="20.100000000000001" customHeight="1" x14ac:dyDescent="0.25">
      <c r="A2" s="14">
        <v>5</v>
      </c>
      <c r="B2" s="5">
        <f>('Genel Verim'!C2/(PI()*'Çark Çıkış Hesabı'!C2*'Çark Genişlikleri'!C2*'Çark Çıkış Hesabı'!A7))*1000</f>
        <v>6.806431912040745</v>
      </c>
      <c r="C2" s="5">
        <f>1-(('Kanat Sayısı ve Kayma'!D2*'Çark Genişlikleri'!A2/SIN(RADIANS('Kanat Sayısı ve Kayma'!A2)))/(PI()*'Çark Çıkış Hesabı'!C2*1000))</f>
        <v>0.94107683345330817</v>
      </c>
    </row>
    <row r="4" spans="1:3" ht="36" x14ac:dyDescent="0.25">
      <c r="B4" s="90" t="s">
        <v>130</v>
      </c>
      <c r="C4" s="88" t="s">
        <v>131</v>
      </c>
    </row>
    <row r="5" spans="1:3" x14ac:dyDescent="0.25">
      <c r="B5" s="5">
        <f>('Genel Verim'!C2/(PI()*'Çark Giriş Hesabı'!B11*'Çark Giriş Hesabı'!C7*'Çark Genişlikleri'!C5))*1000</f>
        <v>32.936046503366633</v>
      </c>
      <c r="C5" s="5">
        <f>1-(('Kanat Sayısı ve Kayma'!D2*'Çark Genişlikleri'!A2/SIN(RADIANS('Çark Giriş Hesabı'!B14)))/(PI()*'Çark Giriş Hesabı'!B11*1000))</f>
        <v>0.67351128359506518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98BC9-635E-4ECC-A26F-3342FC6E4ECE}">
  <dimension ref="A1:E10"/>
  <sheetViews>
    <sheetView workbookViewId="0">
      <selection activeCell="B11" sqref="B11"/>
    </sheetView>
  </sheetViews>
  <sheetFormatPr defaultRowHeight="15" x14ac:dyDescent="0.25"/>
  <cols>
    <col min="1" max="3" width="20.85546875" customWidth="1"/>
    <col min="4" max="5" width="21.85546875" bestFit="1" customWidth="1"/>
  </cols>
  <sheetData>
    <row r="1" spans="1:5" ht="23.25" x14ac:dyDescent="0.25">
      <c r="A1" s="85" t="s">
        <v>117</v>
      </c>
      <c r="B1" s="34" t="s">
        <v>118</v>
      </c>
      <c r="C1" s="86" t="s">
        <v>119</v>
      </c>
      <c r="D1" s="87" t="s">
        <v>120</v>
      </c>
      <c r="E1" s="1"/>
    </row>
    <row r="2" spans="1:5" ht="30" customHeight="1" x14ac:dyDescent="0.25">
      <c r="A2" s="17">
        <f>(('Çark Çıkış Hesabı'!C2)-('Çark Giriş Hesabı'!B11))/(SIN(RADIANS(B2))*2)</f>
        <v>0.26014712314604727</v>
      </c>
      <c r="B2" s="20">
        <f>('Çark Giriş Hesabı'!B14+'Kanat Sayısı ve Kayma'!A2)/2</f>
        <v>20.278637664184469</v>
      </c>
      <c r="C2" s="5">
        <f>DEGREES(ATAN(2*'Çark Çıkış Hesabı'!A7/('Çark Çıkış Hesabı'!C4+'Çark Giriş Hesabı'!A14-'Çark Çıkış Hesabı'!C7)))</f>
        <v>22.408952875645877</v>
      </c>
      <c r="D2" s="5">
        <f>('Çark Çıkış Hesabı'!C4+'Çark Giriş Hesabı'!A14-'Çark Çıkış Hesabı'!C7)/(2*COS(RADIANS('Minimum Kanat Yüzeyi'!C2)))</f>
        <v>17.144889770560102</v>
      </c>
      <c r="E2" s="1"/>
    </row>
    <row r="3" spans="1:5" x14ac:dyDescent="0.25">
      <c r="A3" s="1"/>
      <c r="B3" s="1"/>
      <c r="C3" s="1"/>
      <c r="D3" s="1"/>
      <c r="E3" s="1"/>
    </row>
    <row r="4" spans="1:5" ht="51" x14ac:dyDescent="0.25">
      <c r="A4" s="88" t="s">
        <v>121</v>
      </c>
      <c r="B4" s="88" t="s">
        <v>122</v>
      </c>
      <c r="C4" s="88" t="s">
        <v>123</v>
      </c>
      <c r="D4" s="86" t="s">
        <v>124</v>
      </c>
    </row>
    <row r="5" spans="1:5" ht="30" customHeight="1" x14ac:dyDescent="0.25">
      <c r="A5" s="5">
        <v>0</v>
      </c>
      <c r="B5" s="5">
        <f>PI()*'Çark Çıkış Hesabı'!C2*'Çark Çıkış Hesabı'!C7</f>
        <v>23.276095668157577</v>
      </c>
      <c r="C5" s="17">
        <f>(PI()*('Çark Giriş Hesabı'!B11+'Çark Çıkış Hesabı'!C2))/(2*'Kanat Sayısı ve Kayma'!D2*'Minimum Kanat Yüzeyi'!A2)</f>
        <v>0.48332194670612205</v>
      </c>
      <c r="D5" s="6">
        <v>1.37</v>
      </c>
    </row>
    <row r="7" spans="1:5" ht="21" x14ac:dyDescent="0.25">
      <c r="A7" s="40" t="s">
        <v>125</v>
      </c>
      <c r="B7" s="40" t="s">
        <v>126</v>
      </c>
      <c r="E7" s="1"/>
    </row>
    <row r="8" spans="1:5" ht="30" customHeight="1" x14ac:dyDescent="0.25">
      <c r="A8" s="17">
        <f>(2*(B5-A5))/(1.5*D2*D5)</f>
        <v>1.3212761804467583</v>
      </c>
      <c r="B8" s="17">
        <f>'Kanat Sayısı ve Kayma'!D2*'Minimum Kanat Yüzeyi'!A2</f>
        <v>1.4948362984368575</v>
      </c>
      <c r="D8" s="89" t="s">
        <v>38</v>
      </c>
      <c r="E8" s="89" t="s">
        <v>35</v>
      </c>
    </row>
    <row r="9" spans="1:5" ht="45" x14ac:dyDescent="0.25">
      <c r="D9" s="43" t="str">
        <f>IF(B8&gt;=A8,"UYGUN","HAYIR!")</f>
        <v>UYGUN</v>
      </c>
      <c r="E9" s="44" t="str">
        <f>IF(D9="UYGUN","Hesaplanan değerler uygundur, sonraki sayfaya geçiniz.","Grafikten okunan değeri kontrol ediniz veya gerekiyorsa giriş çapında değişiklik yapınız.")</f>
        <v>Hesaplanan değerler uygundur, sonraki sayfaya geçiniz.</v>
      </c>
    </row>
    <row r="10" spans="1:5" ht="15" customHeight="1" x14ac:dyDescent="0.25"/>
  </sheetData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B207F-3937-4D76-A6A5-6BDB16FE2048}">
  <dimension ref="A1:F5"/>
  <sheetViews>
    <sheetView workbookViewId="0">
      <selection activeCell="E8" sqref="E8"/>
    </sheetView>
  </sheetViews>
  <sheetFormatPr defaultRowHeight="15" x14ac:dyDescent="0.25"/>
  <cols>
    <col min="6" max="6" width="9.5703125" customWidth="1"/>
  </cols>
  <sheetData>
    <row r="1" spans="1:6" ht="18.75" x14ac:dyDescent="0.25">
      <c r="A1" s="112" t="s">
        <v>116</v>
      </c>
      <c r="B1" s="112"/>
      <c r="C1" s="112"/>
      <c r="D1" s="112"/>
      <c r="E1" s="112"/>
      <c r="F1" s="112"/>
    </row>
    <row r="3" spans="1:6" ht="20.25" x14ac:dyDescent="0.25">
      <c r="B3" s="84" t="s">
        <v>39</v>
      </c>
      <c r="D3" s="113" t="s">
        <v>40</v>
      </c>
      <c r="E3" s="114"/>
      <c r="F3" s="114"/>
    </row>
    <row r="4" spans="1:6" ht="20.100000000000001" customHeight="1" x14ac:dyDescent="0.25">
      <c r="B4" s="23">
        <f>DEGREES(ATAN('Çark Çıkış Hesabı'!A7/'Çark Çıkış Hesabı'!C7))</f>
        <v>15.770265367178931</v>
      </c>
      <c r="D4" s="115" t="str">
        <f>IF(B4&lt;=10,"DİFÜZÖR HESABI GEREKLİDİR!","DİFÜZÖR EKLEMEYE GEREK YOKTUR!")</f>
        <v>DİFÜZÖR EKLEMEYE GEREK YOKTUR!</v>
      </c>
      <c r="E4" s="115"/>
      <c r="F4" s="115"/>
    </row>
    <row r="5" spans="1:6" ht="22.5" customHeight="1" x14ac:dyDescent="0.25">
      <c r="D5" s="115"/>
      <c r="E5" s="115"/>
      <c r="F5" s="115"/>
    </row>
  </sheetData>
  <mergeCells count="3">
    <mergeCell ref="A1:F1"/>
    <mergeCell ref="D3:F3"/>
    <mergeCell ref="D4:F5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EBC04-8486-43E2-B046-1C570973951C}">
  <dimension ref="A1:G20"/>
  <sheetViews>
    <sheetView workbookViewId="0">
      <selection activeCell="H13" sqref="H13"/>
    </sheetView>
  </sheetViews>
  <sheetFormatPr defaultRowHeight="15" x14ac:dyDescent="0.25"/>
  <cols>
    <col min="1" max="1" width="10" bestFit="1" customWidth="1"/>
    <col min="3" max="3" width="10" bestFit="1" customWidth="1"/>
  </cols>
  <sheetData>
    <row r="1" spans="1:7" ht="18.75" customHeight="1" x14ac:dyDescent="0.25">
      <c r="A1" s="50" t="s">
        <v>45</v>
      </c>
      <c r="B1" s="15">
        <v>50</v>
      </c>
      <c r="C1" s="15">
        <v>100</v>
      </c>
      <c r="D1" s="15">
        <v>150</v>
      </c>
      <c r="E1" s="15">
        <v>250</v>
      </c>
      <c r="F1" s="15">
        <v>400</v>
      </c>
      <c r="G1" s="15">
        <v>700</v>
      </c>
    </row>
    <row r="2" spans="1:7" ht="18.75" x14ac:dyDescent="0.25">
      <c r="A2" s="50" t="s">
        <v>46</v>
      </c>
      <c r="B2" s="2">
        <v>0.45</v>
      </c>
      <c r="C2" s="2">
        <v>0.39</v>
      </c>
      <c r="D2" s="2">
        <v>0.34</v>
      </c>
      <c r="E2" s="2">
        <v>0.28999999999999998</v>
      </c>
      <c r="F2" s="2">
        <v>0.25</v>
      </c>
      <c r="G2" s="2">
        <v>0.22</v>
      </c>
    </row>
    <row r="3" spans="1:7" ht="18.399999999999999" customHeight="1" x14ac:dyDescent="0.25">
      <c r="A3" s="51" t="s">
        <v>47</v>
      </c>
      <c r="B3" s="2">
        <v>6</v>
      </c>
      <c r="C3" s="2">
        <v>9</v>
      </c>
      <c r="D3" s="2">
        <v>12</v>
      </c>
      <c r="E3" s="2">
        <v>18</v>
      </c>
      <c r="F3" s="2">
        <v>25</v>
      </c>
      <c r="G3" s="2">
        <v>37</v>
      </c>
    </row>
    <row r="4" spans="1:7" ht="18.75" customHeight="1" x14ac:dyDescent="0.25">
      <c r="A4" s="50" t="s">
        <v>48</v>
      </c>
      <c r="B4" s="17">
        <v>6.2E-2</v>
      </c>
      <c r="C4" s="17">
        <v>0.12</v>
      </c>
      <c r="D4" s="17">
        <v>0.18</v>
      </c>
      <c r="E4" s="17">
        <v>0.28999999999999998</v>
      </c>
      <c r="F4" s="17">
        <v>0.4</v>
      </c>
      <c r="G4" s="17">
        <v>0.55000000000000004</v>
      </c>
    </row>
    <row r="5" spans="1:7" ht="18.75" customHeight="1" x14ac:dyDescent="0.25"/>
    <row r="6" spans="1:7" ht="18.75" customHeight="1" x14ac:dyDescent="0.25">
      <c r="A6" s="116" t="s">
        <v>44</v>
      </c>
      <c r="B6" s="117"/>
      <c r="C6" s="118"/>
    </row>
    <row r="7" spans="1:7" ht="18.75" customHeight="1" x14ac:dyDescent="0.25">
      <c r="A7" s="49" t="s">
        <v>41</v>
      </c>
      <c r="B7" s="49" t="s">
        <v>42</v>
      </c>
      <c r="C7" s="49" t="s">
        <v>43</v>
      </c>
      <c r="D7" s="49" t="s">
        <v>55</v>
      </c>
      <c r="E7" s="49" t="s">
        <v>114</v>
      </c>
      <c r="F7" s="49" t="s">
        <v>53</v>
      </c>
    </row>
    <row r="8" spans="1:7" ht="18.75" customHeight="1" x14ac:dyDescent="0.25">
      <c r="A8" s="47">
        <f>((('Özgül Hız'!F2-'Salyangoz Hesabı'!B1)/('Salyangoz Hesabı'!C1-'Salyangoz Hesabı'!B1))*('Salyangoz Hesabı'!C2-'Salyangoz Hesabı'!B2))+'Salyangoz Hesabı'!B2</f>
        <v>0.43036513338374338</v>
      </c>
      <c r="B8" s="48">
        <f>((('Özgül Hız'!F2-'Salyangoz Hesabı'!B1)/('Salyangoz Hesabı'!C1-'Salyangoz Hesabı'!B1))*('Salyangoz Hesabı'!C3-'Salyangoz Hesabı'!B3))+'Salyangoz Hesabı'!B3</f>
        <v>6.981743330812832</v>
      </c>
      <c r="C8" s="47">
        <f>((('Özgül Hız'!F2-'Salyangoz Hesabı'!B1)/('Salyangoz Hesabı'!C1-'Salyangoz Hesabı'!B1))*('Salyangoz Hesabı'!C4-'Salyangoz Hesabı'!B4))+'Salyangoz Hesabı'!B4</f>
        <v>8.0980371062381415E-2</v>
      </c>
      <c r="D8" s="5">
        <f>'Çark Çıkış Hesabı'!C2/(1-C8)</f>
        <v>0.3483474572379146</v>
      </c>
      <c r="E8" s="53">
        <f>A8*(SQRT(19.62*Verilenler!B2))</f>
        <v>15.949078685231573</v>
      </c>
      <c r="F8" s="42">
        <f>Verilenler!A2/'Salyangoz Hesabı'!E8</f>
        <v>2.5079818583526674E-3</v>
      </c>
    </row>
    <row r="9" spans="1:7" ht="18.75" customHeight="1" x14ac:dyDescent="0.25"/>
    <row r="10" spans="1:7" ht="18.75" customHeight="1" x14ac:dyDescent="0.25">
      <c r="A10" s="113" t="s">
        <v>54</v>
      </c>
      <c r="B10" s="113"/>
      <c r="C10" s="113"/>
      <c r="D10" s="113"/>
    </row>
    <row r="11" spans="1:7" ht="18.75" customHeight="1" x14ac:dyDescent="0.25">
      <c r="A11" s="52" t="s">
        <v>49</v>
      </c>
      <c r="B11" s="52" t="s">
        <v>50</v>
      </c>
      <c r="C11" s="52" t="s">
        <v>51</v>
      </c>
      <c r="D11" s="52" t="s">
        <v>52</v>
      </c>
    </row>
    <row r="12" spans="1:7" ht="18.75" customHeight="1" x14ac:dyDescent="0.25">
      <c r="A12" s="5">
        <f>(Verilenler!A2/'Salyangoz Hesabı'!E8)*(1/4)*1000000</f>
        <v>626.9954645881669</v>
      </c>
      <c r="B12" s="5">
        <f>(Verilenler!A2/'Salyangoz Hesabı'!E8)*(2/4)*1000000</f>
        <v>1253.9909291763338</v>
      </c>
      <c r="C12" s="5">
        <f>(Verilenler!A2/'Salyangoz Hesabı'!E8)*(3/4)*1000000</f>
        <v>1880.9863937645005</v>
      </c>
      <c r="D12" s="5">
        <f>(Verilenler!A2/'Salyangoz Hesabı'!E8)*1000000</f>
        <v>2507.9818583526676</v>
      </c>
    </row>
    <row r="13" spans="1:7" ht="18.75" customHeight="1" x14ac:dyDescent="0.25">
      <c r="A13" s="49" t="s">
        <v>110</v>
      </c>
      <c r="B13" s="49" t="s">
        <v>111</v>
      </c>
      <c r="C13" s="49" t="s">
        <v>112</v>
      </c>
      <c r="D13" s="49" t="s">
        <v>113</v>
      </c>
    </row>
    <row r="14" spans="1:7" ht="18.75" customHeight="1" x14ac:dyDescent="0.25">
      <c r="A14" s="5">
        <f>SQRT(A12/PI())*2</f>
        <v>28.254476103499943</v>
      </c>
      <c r="B14" s="5">
        <f>SQRT(B12/PI())*2</f>
        <v>39.957863303316145</v>
      </c>
      <c r="C14" s="5">
        <f>SQRT(C12/PI())*2</f>
        <v>48.938188152502626</v>
      </c>
      <c r="D14" s="5">
        <f>SQRT(D12/PI())*2</f>
        <v>56.508952206999886</v>
      </c>
    </row>
    <row r="15" spans="1:7" ht="18.75" customHeight="1" x14ac:dyDescent="0.25"/>
    <row r="16" spans="1:7" ht="18.75" customHeight="1" x14ac:dyDescent="0.25"/>
    <row r="17" ht="18.75" customHeight="1" x14ac:dyDescent="0.25"/>
    <row r="18" ht="18.75" customHeight="1" x14ac:dyDescent="0.25"/>
    <row r="19" ht="18.75" customHeight="1" x14ac:dyDescent="0.25"/>
    <row r="20" ht="18.75" customHeight="1" x14ac:dyDescent="0.25"/>
  </sheetData>
  <mergeCells count="2">
    <mergeCell ref="A10:D10"/>
    <mergeCell ref="A6:C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266D4-18AE-4DE9-AA99-943DD7EC2B25}">
  <dimension ref="A1:W68"/>
  <sheetViews>
    <sheetView topLeftCell="A17" workbookViewId="0">
      <selection activeCell="G6" sqref="G6"/>
    </sheetView>
  </sheetViews>
  <sheetFormatPr defaultRowHeight="15" x14ac:dyDescent="0.25"/>
  <cols>
    <col min="1" max="1" width="21.7109375" bestFit="1" customWidth="1"/>
    <col min="2" max="2" width="19.28515625" customWidth="1"/>
    <col min="3" max="3" width="12.85546875" customWidth="1"/>
    <col min="4" max="4" width="21.140625" bestFit="1" customWidth="1"/>
    <col min="12" max="12" width="15.28515625" bestFit="1" customWidth="1"/>
    <col min="13" max="14" width="10.85546875" bestFit="1" customWidth="1"/>
    <col min="15" max="15" width="10" customWidth="1"/>
    <col min="20" max="20" width="15.28515625" bestFit="1" customWidth="1"/>
    <col min="21" max="21" width="17" customWidth="1"/>
    <col min="22" max="22" width="17.28515625" customWidth="1"/>
    <col min="23" max="23" width="26.7109375" customWidth="1"/>
  </cols>
  <sheetData>
    <row r="1" spans="1:9" x14ac:dyDescent="0.25">
      <c r="A1" s="49" t="s">
        <v>56</v>
      </c>
      <c r="B1" s="126" t="s">
        <v>85</v>
      </c>
      <c r="C1" s="126"/>
      <c r="D1" s="126"/>
      <c r="E1" s="126"/>
      <c r="F1" s="126"/>
    </row>
    <row r="2" spans="1:9" ht="60" x14ac:dyDescent="0.25">
      <c r="A2" s="49" t="s">
        <v>115</v>
      </c>
      <c r="B2" s="69" t="s">
        <v>57</v>
      </c>
      <c r="C2" s="69" t="s">
        <v>92</v>
      </c>
      <c r="D2" s="70" t="s">
        <v>87</v>
      </c>
      <c r="E2" s="69" t="s">
        <v>67</v>
      </c>
      <c r="F2" s="69" t="s">
        <v>93</v>
      </c>
    </row>
    <row r="3" spans="1:9" x14ac:dyDescent="0.25">
      <c r="B3" s="59">
        <v>10.3</v>
      </c>
      <c r="C3" s="60">
        <v>20</v>
      </c>
      <c r="D3" s="62">
        <f>VLOOKUP(C3,T36:W46,3,)/9.80665</f>
        <v>0.23849122789127786</v>
      </c>
      <c r="E3" s="23">
        <f>VLOOKUP(C3,T36:W46,2,)</f>
        <v>998.21</v>
      </c>
      <c r="F3" s="23">
        <f>VLOOKUP(C3,T36:W46,4,)</f>
        <v>1.002</v>
      </c>
    </row>
    <row r="5" spans="1:9" ht="21" x14ac:dyDescent="0.25">
      <c r="A5" s="49" t="s">
        <v>94</v>
      </c>
      <c r="B5" s="113" t="s">
        <v>95</v>
      </c>
      <c r="C5" s="113"/>
    </row>
    <row r="6" spans="1:9" x14ac:dyDescent="0.25">
      <c r="A6" s="65">
        <v>5.8500000000000003E-2</v>
      </c>
      <c r="B6" s="55" t="s">
        <v>58</v>
      </c>
      <c r="C6" s="56">
        <f>(('Özgül Hız'!F2)^(4/3))*2.171*10^(-4)</f>
        <v>5.8329623253354855E-2</v>
      </c>
    </row>
    <row r="7" spans="1:9" x14ac:dyDescent="0.25">
      <c r="B7" s="55" t="s">
        <v>59</v>
      </c>
      <c r="C7" s="56">
        <f>(('Özgül Hız'!F2)^(4/3))*1.37*10^(-4)</f>
        <v>3.6808652168169587E-2</v>
      </c>
    </row>
    <row r="9" spans="1:9" ht="30" customHeight="1" x14ac:dyDescent="0.25">
      <c r="A9" s="69" t="s">
        <v>70</v>
      </c>
      <c r="B9" s="60" t="s">
        <v>76</v>
      </c>
      <c r="C9" s="58"/>
      <c r="E9" s="77"/>
      <c r="F9" s="77"/>
      <c r="G9" s="123" t="s">
        <v>78</v>
      </c>
      <c r="H9" s="123"/>
      <c r="I9" s="123"/>
    </row>
    <row r="10" spans="1:9" ht="30" x14ac:dyDescent="0.25">
      <c r="A10" s="69" t="s">
        <v>69</v>
      </c>
      <c r="B10" s="15">
        <f>VLOOKUP(B9,T49:U53,2,)*10^(-3)</f>
        <v>6.7500000000000001E-5</v>
      </c>
      <c r="C10" s="58"/>
      <c r="D10" s="58"/>
      <c r="E10" s="58"/>
      <c r="F10" s="58"/>
    </row>
    <row r="11" spans="1:9" ht="30" x14ac:dyDescent="0.25">
      <c r="A11" s="69" t="s">
        <v>66</v>
      </c>
      <c r="B11" s="2">
        <f>(E3*'Çark Giriş Hesabı'!A12*'Çark Giriş Hesabı'!E7)/('İşletme Büyüklüklükleri'!F3*10^(-3))</f>
        <v>333863.77596253983</v>
      </c>
    </row>
    <row r="12" spans="1:9" ht="30" customHeight="1" x14ac:dyDescent="0.25">
      <c r="A12" s="49" t="s">
        <v>68</v>
      </c>
      <c r="B12" s="61">
        <f>B10/'Çark Giriş Hesabı'!A12</f>
        <v>4.441695364946309E-4</v>
      </c>
      <c r="C12" s="57"/>
      <c r="D12" s="57"/>
    </row>
    <row r="13" spans="1:9" ht="30" customHeight="1" x14ac:dyDescent="0.25">
      <c r="A13" s="49" t="s">
        <v>91</v>
      </c>
      <c r="B13" s="60">
        <v>1.6E-2</v>
      </c>
      <c r="C13" s="124" t="s">
        <v>100</v>
      </c>
      <c r="D13" s="125"/>
    </row>
    <row r="14" spans="1:9" ht="30" customHeight="1" x14ac:dyDescent="0.25">
      <c r="A14" s="69" t="s">
        <v>81</v>
      </c>
      <c r="B14" s="65">
        <v>1</v>
      </c>
      <c r="C14" s="78">
        <v>1</v>
      </c>
      <c r="D14" s="79" t="s">
        <v>104</v>
      </c>
    </row>
    <row r="15" spans="1:9" ht="30" x14ac:dyDescent="0.25">
      <c r="A15" s="69" t="s">
        <v>82</v>
      </c>
      <c r="B15" s="60">
        <f>VLOOKUP(B14,T56:U61,2,)*C14</f>
        <v>0.3</v>
      </c>
    </row>
    <row r="16" spans="1:9" ht="30" x14ac:dyDescent="0.25">
      <c r="A16" s="69" t="s">
        <v>83</v>
      </c>
      <c r="B16" s="60">
        <v>4</v>
      </c>
    </row>
    <row r="17" spans="1:4" ht="30" x14ac:dyDescent="0.25">
      <c r="A17" s="69" t="s">
        <v>84</v>
      </c>
      <c r="B17" s="60">
        <v>0.3</v>
      </c>
    </row>
    <row r="20" spans="1:4" ht="18.75" x14ac:dyDescent="0.25">
      <c r="A20" s="119" t="s">
        <v>86</v>
      </c>
      <c r="B20" s="119"/>
      <c r="C20" s="49" t="s">
        <v>90</v>
      </c>
      <c r="D20" s="72"/>
    </row>
    <row r="21" spans="1:4" ht="16.5" customHeight="1" x14ac:dyDescent="0.25">
      <c r="A21" s="120" t="s">
        <v>88</v>
      </c>
      <c r="B21" s="120"/>
      <c r="C21" s="67">
        <f>(('Çark Giriş Hesabı'!E7^(2))/(19.62))*('İşletme Büyüklüklükleri'!B13*('İşletme Büyüklüklükleri'!B3/'Çark Giriş Hesabı'!A12)+'İşletme Büyüklüklükleri'!B16+'İşletme Büyüklüklükleri'!B15+'İşletme Büyüklüklükleri'!B17)</f>
        <v>1.4089911138565341</v>
      </c>
      <c r="D21" s="75"/>
    </row>
    <row r="22" spans="1:4" ht="18.75" x14ac:dyDescent="0.25">
      <c r="A22" s="120"/>
      <c r="B22" s="120"/>
      <c r="C22" s="68" t="s">
        <v>89</v>
      </c>
      <c r="D22" s="75"/>
    </row>
    <row r="23" spans="1:4" x14ac:dyDescent="0.25">
      <c r="A23" s="120"/>
      <c r="B23" s="120"/>
      <c r="C23" s="67">
        <f>IF(C6&lt;=A6,(1.1*C6),(1.1*A6))</f>
        <v>6.416258557869034E-2</v>
      </c>
      <c r="D23" s="76"/>
    </row>
    <row r="24" spans="1:4" ht="15.75" x14ac:dyDescent="0.25">
      <c r="A24" s="120"/>
      <c r="B24" s="120"/>
      <c r="C24" s="71" t="s">
        <v>96</v>
      </c>
      <c r="D24" s="122" t="str">
        <f>IF(C25&lt;D27,"EMNİYETLİ Hsmax DEĞERİ SOLDAKİDİR!","EMNİYETLİ Hsmax DEĞERİ ALTTAKİDİR!")</f>
        <v>EMNİYETLİ Hsmax DEĞERİ SOLDAKİDİR!</v>
      </c>
    </row>
    <row r="25" spans="1:4" x14ac:dyDescent="0.25">
      <c r="A25" s="120"/>
      <c r="B25" s="120"/>
      <c r="C25" s="73">
        <f>B3-(C23*Verilenler!B2)-'İşletme Büyüklüklükleri'!D3-'İşletme Büyüklüklükleri'!C21</f>
        <v>4.1611366677438646</v>
      </c>
      <c r="D25" s="122"/>
    </row>
    <row r="26" spans="1:4" ht="15.75" x14ac:dyDescent="0.25">
      <c r="A26" s="120"/>
      <c r="B26" s="120"/>
      <c r="C26" s="49" t="s">
        <v>97</v>
      </c>
      <c r="D26" s="71" t="s">
        <v>99</v>
      </c>
    </row>
    <row r="27" spans="1:4" x14ac:dyDescent="0.25">
      <c r="A27" s="120"/>
      <c r="B27" s="120"/>
      <c r="C27" s="74">
        <f>(12.2*10^(-4))*(Verilenler!A2^(2/3))*(Verilenler!C2^(4/3))</f>
        <v>4.0828497618734279</v>
      </c>
      <c r="D27" s="66">
        <f>B3-C27-D3-C21</f>
        <v>4.5696678963787605</v>
      </c>
    </row>
    <row r="28" spans="1:4" ht="15.75" customHeight="1" x14ac:dyDescent="0.25">
      <c r="A28" s="120"/>
      <c r="B28" s="120"/>
      <c r="C28" s="121" t="s">
        <v>98</v>
      </c>
      <c r="D28" s="121"/>
    </row>
    <row r="35" spans="20:23" ht="15.75" customHeight="1" x14ac:dyDescent="0.25">
      <c r="T35" s="2" t="s">
        <v>63</v>
      </c>
      <c r="U35" s="2" t="s">
        <v>62</v>
      </c>
      <c r="V35" s="2" t="s">
        <v>64</v>
      </c>
      <c r="W35" s="2" t="s">
        <v>65</v>
      </c>
    </row>
    <row r="36" spans="20:23" x14ac:dyDescent="0.25">
      <c r="T36" s="2">
        <v>0</v>
      </c>
      <c r="U36" s="2">
        <v>999.84</v>
      </c>
      <c r="V36" s="2">
        <v>0.61129999999999995</v>
      </c>
      <c r="W36" s="2">
        <v>1.7869999999999999</v>
      </c>
    </row>
    <row r="37" spans="20:23" x14ac:dyDescent="0.25">
      <c r="T37" s="2">
        <v>10</v>
      </c>
      <c r="U37" s="2">
        <v>999.7</v>
      </c>
      <c r="V37" s="2">
        <v>1.2281</v>
      </c>
      <c r="W37" s="2">
        <v>1.3069999999999999</v>
      </c>
    </row>
    <row r="38" spans="20:23" x14ac:dyDescent="0.25">
      <c r="T38" s="2">
        <v>20</v>
      </c>
      <c r="U38" s="2">
        <v>998.21</v>
      </c>
      <c r="V38" s="2">
        <v>2.3388</v>
      </c>
      <c r="W38" s="2">
        <v>1.002</v>
      </c>
    </row>
    <row r="39" spans="20:23" x14ac:dyDescent="0.25">
      <c r="T39" s="2">
        <v>30</v>
      </c>
      <c r="U39" s="2">
        <v>995.65000000000009</v>
      </c>
      <c r="V39" s="2">
        <v>4.2454999999999998</v>
      </c>
      <c r="W39" s="2">
        <v>0.79800000000000004</v>
      </c>
    </row>
    <row r="40" spans="20:23" x14ac:dyDescent="0.25">
      <c r="T40" s="2">
        <v>40</v>
      </c>
      <c r="U40" s="2">
        <v>992.22</v>
      </c>
      <c r="V40" s="2">
        <v>7.3814000000000002</v>
      </c>
      <c r="W40" s="2">
        <v>0.65300000000000002</v>
      </c>
    </row>
    <row r="41" spans="20:23" x14ac:dyDescent="0.25">
      <c r="T41" s="2">
        <v>50</v>
      </c>
      <c r="U41" s="2">
        <v>988.03</v>
      </c>
      <c r="V41" s="2">
        <v>12.343999999999999</v>
      </c>
      <c r="W41" s="2">
        <v>0.54700000000000004</v>
      </c>
    </row>
    <row r="42" spans="20:23" x14ac:dyDescent="0.25">
      <c r="T42" s="2">
        <v>60</v>
      </c>
      <c r="U42" s="2">
        <v>983.19999999999993</v>
      </c>
      <c r="V42" s="2">
        <v>19.931999999999999</v>
      </c>
      <c r="W42" s="2">
        <v>0.46700000000000003</v>
      </c>
    </row>
    <row r="43" spans="20:23" x14ac:dyDescent="0.25">
      <c r="T43" s="2">
        <v>70</v>
      </c>
      <c r="U43" s="2">
        <v>977.78</v>
      </c>
      <c r="V43" s="2">
        <v>31.175999999999998</v>
      </c>
      <c r="W43" s="2">
        <v>0.40400000000000003</v>
      </c>
    </row>
    <row r="44" spans="20:23" x14ac:dyDescent="0.25">
      <c r="T44" s="2">
        <v>80</v>
      </c>
      <c r="U44" s="2">
        <v>971.82</v>
      </c>
      <c r="V44" s="2">
        <v>47.372999999999998</v>
      </c>
      <c r="W44" s="2">
        <v>0.35499999999999998</v>
      </c>
    </row>
    <row r="45" spans="20:23" x14ac:dyDescent="0.25">
      <c r="T45" s="2">
        <v>90</v>
      </c>
      <c r="U45" s="2">
        <v>965.35</v>
      </c>
      <c r="V45" s="2">
        <v>70.117000000000004</v>
      </c>
      <c r="W45" s="2">
        <v>0.315</v>
      </c>
    </row>
    <row r="46" spans="20:23" x14ac:dyDescent="0.25">
      <c r="T46" s="2">
        <v>100</v>
      </c>
      <c r="U46" s="2">
        <v>958.4</v>
      </c>
      <c r="V46" s="2">
        <v>101.325</v>
      </c>
      <c r="W46" s="2">
        <v>0.28199999999999997</v>
      </c>
    </row>
    <row r="48" spans="20:23" x14ac:dyDescent="0.25">
      <c r="T48" s="63" t="s">
        <v>71</v>
      </c>
      <c r="U48" s="24" t="s">
        <v>77</v>
      </c>
      <c r="W48" s="15">
        <v>1</v>
      </c>
    </row>
    <row r="49" spans="20:23" x14ac:dyDescent="0.25">
      <c r="T49" s="23" t="s">
        <v>72</v>
      </c>
      <c r="U49" s="24">
        <v>1.5E-3</v>
      </c>
      <c r="W49" s="15">
        <v>2</v>
      </c>
    </row>
    <row r="50" spans="20:23" x14ac:dyDescent="0.25">
      <c r="T50" s="23" t="s">
        <v>73</v>
      </c>
      <c r="U50" s="24">
        <v>4.2500000000000003E-3</v>
      </c>
      <c r="W50" s="15">
        <v>3</v>
      </c>
    </row>
    <row r="51" spans="20:23" x14ac:dyDescent="0.25">
      <c r="T51" s="23" t="s">
        <v>74</v>
      </c>
      <c r="U51" s="24">
        <v>1.4999999999999999E-2</v>
      </c>
      <c r="W51" s="15">
        <v>4</v>
      </c>
    </row>
    <row r="52" spans="20:23" x14ac:dyDescent="0.25">
      <c r="T52" s="23" t="s">
        <v>76</v>
      </c>
      <c r="U52" s="24">
        <v>6.7500000000000004E-2</v>
      </c>
      <c r="W52" s="15">
        <v>5</v>
      </c>
    </row>
    <row r="53" spans="20:23" x14ac:dyDescent="0.25">
      <c r="T53" s="23" t="s">
        <v>75</v>
      </c>
      <c r="U53" s="24">
        <v>0.15</v>
      </c>
      <c r="W53" s="15">
        <v>6</v>
      </c>
    </row>
    <row r="55" spans="20:23" x14ac:dyDescent="0.25">
      <c r="T55" s="61" t="s">
        <v>60</v>
      </c>
      <c r="U55" s="23" t="s">
        <v>61</v>
      </c>
      <c r="V55" s="23" t="s">
        <v>80</v>
      </c>
      <c r="W55" s="23" t="s">
        <v>79</v>
      </c>
    </row>
    <row r="56" spans="20:23" x14ac:dyDescent="0.25">
      <c r="T56" s="23">
        <v>0.4</v>
      </c>
      <c r="U56" s="23">
        <v>0.14000000000000001</v>
      </c>
      <c r="V56" s="23">
        <v>0.22</v>
      </c>
      <c r="W56" s="23">
        <v>3</v>
      </c>
    </row>
    <row r="57" spans="20:23" x14ac:dyDescent="0.25">
      <c r="T57" s="23">
        <v>0.8</v>
      </c>
      <c r="U57" s="23">
        <v>0.2</v>
      </c>
      <c r="V57" s="23">
        <v>0.24</v>
      </c>
      <c r="W57" s="23">
        <v>4</v>
      </c>
    </row>
    <row r="58" spans="20:23" x14ac:dyDescent="0.25">
      <c r="T58" s="23">
        <v>1</v>
      </c>
      <c r="U58" s="23">
        <v>0.3</v>
      </c>
      <c r="V58" s="23">
        <v>0.26</v>
      </c>
      <c r="W58" s="23">
        <v>5</v>
      </c>
    </row>
    <row r="59" spans="20:23" x14ac:dyDescent="0.25">
      <c r="T59" s="23">
        <v>1.4</v>
      </c>
      <c r="U59" s="23">
        <v>0.66</v>
      </c>
      <c r="V59" s="23">
        <v>0.28000000000000003</v>
      </c>
      <c r="W59" s="23">
        <v>6</v>
      </c>
    </row>
    <row r="60" spans="20:23" x14ac:dyDescent="0.25">
      <c r="T60" s="23">
        <v>1.8</v>
      </c>
      <c r="U60" s="23">
        <v>1.4</v>
      </c>
      <c r="V60" s="23">
        <v>0.3</v>
      </c>
      <c r="W60" s="23">
        <v>7</v>
      </c>
    </row>
    <row r="61" spans="20:23" x14ac:dyDescent="0.25">
      <c r="T61" s="23">
        <v>2</v>
      </c>
      <c r="U61" s="23">
        <v>2</v>
      </c>
      <c r="V61" s="23">
        <v>0.32</v>
      </c>
      <c r="W61" s="23">
        <v>8</v>
      </c>
    </row>
    <row r="62" spans="20:23" x14ac:dyDescent="0.25">
      <c r="T62" s="23"/>
      <c r="U62" s="23"/>
      <c r="V62" s="23">
        <v>0.34</v>
      </c>
      <c r="W62" s="23">
        <v>9</v>
      </c>
    </row>
    <row r="63" spans="20:23" x14ac:dyDescent="0.25">
      <c r="T63" s="23"/>
      <c r="U63" s="23"/>
      <c r="V63" s="23">
        <v>0.36</v>
      </c>
      <c r="W63" s="23">
        <v>10</v>
      </c>
    </row>
    <row r="64" spans="20:23" x14ac:dyDescent="0.25">
      <c r="T64" s="23"/>
      <c r="U64" s="23"/>
      <c r="V64" s="24"/>
      <c r="W64" s="23">
        <v>11</v>
      </c>
    </row>
    <row r="65" spans="20:23" x14ac:dyDescent="0.25">
      <c r="T65" s="23"/>
      <c r="U65" s="23"/>
      <c r="V65" s="24"/>
      <c r="W65" s="23">
        <v>12</v>
      </c>
    </row>
    <row r="66" spans="20:23" x14ac:dyDescent="0.25">
      <c r="T66" s="23"/>
      <c r="U66" s="23"/>
      <c r="V66" s="24"/>
      <c r="W66" s="23">
        <v>13</v>
      </c>
    </row>
    <row r="67" spans="20:23" x14ac:dyDescent="0.25">
      <c r="T67" s="23"/>
      <c r="U67" s="23"/>
      <c r="V67" s="24"/>
      <c r="W67" s="23">
        <v>14</v>
      </c>
    </row>
    <row r="68" spans="20:23" x14ac:dyDescent="0.25">
      <c r="T68" s="23"/>
      <c r="U68" s="23"/>
      <c r="V68" s="24"/>
      <c r="W68" s="23">
        <v>15</v>
      </c>
    </row>
  </sheetData>
  <mergeCells count="8">
    <mergeCell ref="B5:C5"/>
    <mergeCell ref="B1:F1"/>
    <mergeCell ref="A20:B20"/>
    <mergeCell ref="A21:B28"/>
    <mergeCell ref="C28:D28"/>
    <mergeCell ref="D24:D25"/>
    <mergeCell ref="G9:I9"/>
    <mergeCell ref="C13:D13"/>
  </mergeCells>
  <dataValidations count="6">
    <dataValidation type="list" allowBlank="1" showInputMessage="1" showErrorMessage="1" sqref="C3" xr:uid="{2F75CC4D-B25C-4539-BFDB-E3019C928CE6}">
      <formula1>$T$36:$T$46</formula1>
    </dataValidation>
    <dataValidation type="list" allowBlank="1" showInputMessage="1" showErrorMessage="1" sqref="B9" xr:uid="{61B21916-2C3C-430D-9274-7A395494BAE3}">
      <formula1>$T$49:$T$53</formula1>
    </dataValidation>
    <dataValidation type="list" allowBlank="1" showInputMessage="1" showErrorMessage="1" sqref="B14" xr:uid="{47505AAC-68D8-496E-87FF-A617B23F6E2D}">
      <formula1>$T$56:$T$61</formula1>
    </dataValidation>
    <dataValidation type="list" allowBlank="1" showInputMessage="1" showErrorMessage="1" sqref="B16" xr:uid="{E1FB1738-CCB2-41F4-BBD1-C7EEB083D7BC}">
      <formula1>$W$56:$W$68</formula1>
    </dataValidation>
    <dataValidation type="list" allowBlank="1" showInputMessage="1" showErrorMessage="1" sqref="B17" xr:uid="{0EF9BDBE-95FC-4D72-BBA8-78092F3F6F8D}">
      <formula1>$V$56:$V$63</formula1>
    </dataValidation>
    <dataValidation type="list" allowBlank="1" showInputMessage="1" showErrorMessage="1" sqref="C14" xr:uid="{CC3461FD-DBCD-42A8-8041-D5EF2744DE1D}">
      <formula1>$W$48:$W$53</formula1>
    </dataValidation>
  </dataValidation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19460" r:id="rId3">
          <objectPr defaultSize="0" autoPict="0" r:id="rId4">
            <anchor moveWithCells="1" sizeWithCells="1">
              <from>
                <xdr:col>0</xdr:col>
                <xdr:colOff>381000</xdr:colOff>
                <xdr:row>20</xdr:row>
                <xdr:rowOff>38100</xdr:rowOff>
              </from>
              <to>
                <xdr:col>1</xdr:col>
                <xdr:colOff>1076325</xdr:colOff>
                <xdr:row>27</xdr:row>
                <xdr:rowOff>0</xdr:rowOff>
              </to>
            </anchor>
          </objectPr>
        </oleObject>
      </mc:Choice>
      <mc:Fallback>
        <oleObject progId="Equation.DSMT4" shapeId="19460" r:id="rId3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6EBA1-707C-499E-A75F-6444611A22F1}">
  <dimension ref="A1:G10"/>
  <sheetViews>
    <sheetView workbookViewId="0">
      <selection activeCell="P4" sqref="P4"/>
    </sheetView>
  </sheetViews>
  <sheetFormatPr defaultRowHeight="15" x14ac:dyDescent="0.25"/>
  <cols>
    <col min="1" max="1" width="24.140625" bestFit="1" customWidth="1"/>
    <col min="2" max="2" width="17.28515625" customWidth="1"/>
    <col min="3" max="3" width="13.28515625" customWidth="1"/>
    <col min="4" max="4" width="12" bestFit="1" customWidth="1"/>
    <col min="5" max="5" width="10.85546875" customWidth="1"/>
    <col min="6" max="6" width="11.42578125" customWidth="1"/>
  </cols>
  <sheetData>
    <row r="1" spans="1:7" ht="24" customHeight="1" x14ac:dyDescent="0.25">
      <c r="A1" s="113" t="s">
        <v>101</v>
      </c>
      <c r="B1" s="113"/>
      <c r="C1" s="113"/>
      <c r="E1" s="81" t="s">
        <v>108</v>
      </c>
      <c r="F1" s="83" t="s">
        <v>109</v>
      </c>
    </row>
    <row r="2" spans="1:7" ht="22.5" customHeight="1" x14ac:dyDescent="0.25">
      <c r="A2" s="127">
        <f>Verilenler!B2-'Toplam Kayıplar'!F2</f>
        <v>68.129951022963652</v>
      </c>
      <c r="B2" s="128"/>
      <c r="C2" s="128"/>
      <c r="E2" s="66">
        <f>'İşletme Büyüklüklükleri'!C21+'Toplam Kayıplar'!D5</f>
        <v>1.787422119835663</v>
      </c>
      <c r="F2" s="66">
        <f>E2+((C5^2)/19.62)</f>
        <v>1.8700489770363462</v>
      </c>
      <c r="G2" s="82"/>
    </row>
    <row r="4" spans="1:7" ht="33.75" x14ac:dyDescent="0.25">
      <c r="A4" s="49" t="s">
        <v>103</v>
      </c>
      <c r="B4" s="49" t="s">
        <v>102</v>
      </c>
      <c r="C4" s="69" t="s">
        <v>106</v>
      </c>
      <c r="D4" s="49" t="s">
        <v>107</v>
      </c>
    </row>
    <row r="5" spans="1:7" ht="19.5" customHeight="1" x14ac:dyDescent="0.25">
      <c r="A5" s="60">
        <v>50</v>
      </c>
      <c r="B5" s="60">
        <v>0.2</v>
      </c>
      <c r="C5" s="47">
        <f>(4*Verilenler!A2)/(PI()*('Toplam Kayıplar'!B5^2))</f>
        <v>1.2732395447351625</v>
      </c>
      <c r="D5" s="66">
        <f>((C5^2)/19.62)*('İşletme Büyüklüklükleri'!B13*('Toplam Kayıplar'!A5/'Toplam Kayıplar'!B5)+'Toplam Kayıplar'!B10+'Toplam Kayıplar'!B7)</f>
        <v>0.37843100597912893</v>
      </c>
    </row>
    <row r="7" spans="1:7" ht="30" x14ac:dyDescent="0.25">
      <c r="A7" s="69" t="s">
        <v>84</v>
      </c>
      <c r="B7" s="60">
        <v>0.3</v>
      </c>
    </row>
    <row r="8" spans="1:7" ht="30" x14ac:dyDescent="0.25">
      <c r="A8" s="69" t="s">
        <v>81</v>
      </c>
      <c r="B8" s="60">
        <v>0.4</v>
      </c>
    </row>
    <row r="9" spans="1:7" x14ac:dyDescent="0.25">
      <c r="A9" s="55" t="s">
        <v>105</v>
      </c>
      <c r="B9" s="60">
        <v>2</v>
      </c>
    </row>
    <row r="10" spans="1:7" ht="30" x14ac:dyDescent="0.25">
      <c r="A10" s="69" t="s">
        <v>82</v>
      </c>
      <c r="B10" s="80">
        <f>VLOOKUP(B8,'İşletme Büyüklüklükleri'!T56:U61,2,)*B9</f>
        <v>0.28000000000000003</v>
      </c>
    </row>
  </sheetData>
  <mergeCells count="2">
    <mergeCell ref="A1:C1"/>
    <mergeCell ref="A2:C2"/>
  </mergeCells>
  <pageMargins left="0.7" right="0.7" top="0.75" bottom="0.75" header="0.3" footer="0.3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CDE650FE-363B-4816-A4D8-61B26C9FCC27}">
          <x14:formula1>
            <xm:f>'İşletme Büyüklüklükleri'!$V$56:$V$63</xm:f>
          </x14:formula1>
          <xm:sqref>B7</xm:sqref>
        </x14:dataValidation>
        <x14:dataValidation type="list" allowBlank="1" showInputMessage="1" showErrorMessage="1" xr:uid="{341BE211-8BAD-4B31-ABD3-A6A49271743A}">
          <x14:formula1>
            <xm:f>'İşletme Büyüklüklükleri'!$T$56:$T$61</xm:f>
          </x14:formula1>
          <xm:sqref>B8</xm:sqref>
        </x14:dataValidation>
        <x14:dataValidation type="list" allowBlank="1" showInputMessage="1" showErrorMessage="1" xr:uid="{01C2C691-8343-4E24-87CA-5FB7C4439374}">
          <x14:formula1>
            <xm:f>'İşletme Büyüklüklükleri'!$W$48:$W$53</xm:f>
          </x14:formula1>
          <xm:sqref>B9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AEECE-B1B0-4F2B-9E0C-1E04DFAE84F3}">
  <dimension ref="A1:AO160"/>
  <sheetViews>
    <sheetView tabSelected="1" workbookViewId="0">
      <selection activeCell="C9" sqref="C9"/>
    </sheetView>
  </sheetViews>
  <sheetFormatPr defaultRowHeight="15" x14ac:dyDescent="0.25"/>
  <cols>
    <col min="1" max="1" width="11.5703125" bestFit="1" customWidth="1"/>
    <col min="2" max="3" width="11.5703125" customWidth="1"/>
  </cols>
  <sheetData>
    <row r="1" spans="1:41" x14ac:dyDescent="0.25">
      <c r="A1" s="69" t="s">
        <v>180</v>
      </c>
      <c r="B1" s="69" t="s">
        <v>181</v>
      </c>
      <c r="C1" s="69" t="s">
        <v>182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>
        <v>0.03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>
        <f>(Verilenler!B2-((1-((('Çark Giriş Hesabı'!A11^2)+(('Mil Çapı'!C2/1000)^2))/(2*'Çark Çıkış Hesabı'!C2^2)))*('Çark Çıkış Hesabı'!C4^2)/(8*9.81)))*((('Çark Giriş Hesabı'!A12^2)-(('Mil Çapı'!C2/1000)^2))/4)*PI()*1000</f>
        <v>828.69391264497494</v>
      </c>
      <c r="B2" s="5">
        <f>Verilenler!D2*'Genel Verim'!C2*'Çark Giriş Hesabı'!A7/9.81</f>
        <v>11.803208326626965</v>
      </c>
      <c r="C2" s="5">
        <f>A2-B2</f>
        <v>816.89070431834796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>
        <v>3.5000000000000003E-2</v>
      </c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>
        <v>0.04</v>
      </c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spans="1:41" x14ac:dyDescent="0.25">
      <c r="A4" s="69" t="s">
        <v>183</v>
      </c>
      <c r="B4" s="69" t="s">
        <v>184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>
        <v>4.4999999999999998E-2</v>
      </c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9">
        <v>0.05</v>
      </c>
      <c r="B5" s="5">
        <f>A5*Verilenler!D2*Verilenler!B2*'Çark Çıkış Hesabı'!C2*'Çark Genişlikleri'!B5/1000*9.81/1000</f>
        <v>0.36203115934318442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>
        <v>0.05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>
        <v>5.5E-2</v>
      </c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>
        <v>0.06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>
        <v>6.5000000000000002E-2</v>
      </c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>
        <v>7.0000000000000007E-2</v>
      </c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>
        <v>7.4999999999999997E-2</v>
      </c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>
        <v>0.08</v>
      </c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spans="1:4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spans="1:4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spans="1:4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1:4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</row>
    <row r="29" spans="1:4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</row>
    <row r="30" spans="1:4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spans="1:4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spans="1:4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spans="1:4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spans="1:4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</row>
    <row r="62" spans="1:4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</row>
    <row r="64" spans="1:4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spans="1:4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</row>
    <row r="66" spans="1:4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spans="1:4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</row>
    <row r="76" spans="1:4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spans="1:4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</row>
    <row r="78" spans="1:4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spans="1:4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</row>
    <row r="80" spans="1:4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spans="1:4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</row>
    <row r="82" spans="1:4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spans="1:4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spans="1:4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</row>
    <row r="108" spans="1:4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</row>
    <row r="109" spans="1:4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</row>
    <row r="111" spans="1:4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</row>
    <row r="113" spans="1:4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</row>
    <row r="114" spans="1:4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</row>
    <row r="115" spans="1:4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1:4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7" spans="1:4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</row>
    <row r="118" spans="1:4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1:4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1:4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1:4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1:4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1:4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1:4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1:4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1:4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1:4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1:4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1:4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1:4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1:4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1:4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1:4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1:4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1:4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1:4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1:4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1:4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1:4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1:4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1:4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1:4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1:4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1:4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1:4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6" spans="1:4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</row>
    <row r="147" spans="1:4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1:4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1:4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1:4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1:4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</row>
    <row r="152" spans="1:4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</row>
    <row r="153" spans="1:4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1:4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1:4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1:4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1:4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1:4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1:4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1:4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</sheetData>
  <dataValidations count="1">
    <dataValidation type="list" allowBlank="1" showInputMessage="1" showErrorMessage="1" sqref="A5" xr:uid="{0DC39B1C-DFD2-4DDE-94AD-398F226A8568}">
      <formula1>$Z$1:$Z$11</formula1>
    </dataValidation>
  </dataValidation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5F032-2F35-4AAA-AA7F-9DA4F965BD06}">
  <dimension ref="A1:P23"/>
  <sheetViews>
    <sheetView workbookViewId="0">
      <selection activeCell="C4" sqref="C4"/>
    </sheetView>
  </sheetViews>
  <sheetFormatPr defaultRowHeight="15" x14ac:dyDescent="0.25"/>
  <cols>
    <col min="1" max="1" width="11.5703125" bestFit="1" customWidth="1"/>
  </cols>
  <sheetData>
    <row r="1" spans="1:16" x14ac:dyDescent="0.25">
      <c r="A1" s="129" t="s">
        <v>185</v>
      </c>
      <c r="B1" s="129"/>
      <c r="C1" s="64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8.75" x14ac:dyDescent="0.25">
      <c r="A2" s="104" t="s">
        <v>186</v>
      </c>
      <c r="B2" s="105" t="s">
        <v>187</v>
      </c>
      <c r="C2" s="37" t="s">
        <v>190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ht="18.75" x14ac:dyDescent="0.25">
      <c r="A3" s="37" t="s">
        <v>189</v>
      </c>
      <c r="B3" s="37" t="s">
        <v>188</v>
      </c>
      <c r="C3" s="5">
        <f>'Eksenel-Radyal İtme'!B5</f>
        <v>0.36203115934318442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5">
        <f>'Eksenel-Radyal İtme'!C2*9.81/2/1000</f>
        <v>4.0068489046814975</v>
      </c>
      <c r="B4" s="5">
        <f>A4</f>
        <v>4.0068489046814975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mergeCells count="1">
    <mergeCell ref="A1:B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Belge" ma:contentTypeID="0x0101000D7BF95CA955D345BBD17BE1C4B4B711" ma:contentTypeVersion="4" ma:contentTypeDescription="Yeni belge oluşturun." ma:contentTypeScope="" ma:versionID="6bf64f09e81f038ce3d0606aaa33a020">
  <xsd:schema xmlns:xsd="http://www.w3.org/2001/XMLSchema" xmlns:xs="http://www.w3.org/2001/XMLSchema" xmlns:p="http://schemas.microsoft.com/office/2006/metadata/properties" xmlns:ns3="53366bc6-d083-4a62-ad53-bc4533e5912c" targetNamespace="http://schemas.microsoft.com/office/2006/metadata/properties" ma:root="true" ma:fieldsID="8710978d9a8d4f00d6acb31b75b799a5" ns3:_="">
    <xsd:import namespace="53366bc6-d083-4a62-ad53-bc4533e5912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366bc6-d083-4a62-ad53-bc4533e591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İçerik Türü"/>
        <xsd:element ref="dc:title" minOccurs="0" maxOccurs="1" ma:index="4" ma:displayName="Başlı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232AD8A-2794-4500-BA36-6BBA618B357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CF22F32-89BA-478C-AB1B-415509D0CC64}">
  <ds:schemaRefs>
    <ds:schemaRef ds:uri="http://purl.org/dc/terms/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53366bc6-d083-4a62-ad53-bc4533e5912c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BE304CF-EC53-4A98-87B4-7F93AC98D61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3366bc6-d083-4a62-ad53-bc4533e591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16</vt:i4>
      </vt:variant>
    </vt:vector>
  </HeadingPairs>
  <TitlesOfParts>
    <vt:vector size="16" baseType="lpstr">
      <vt:lpstr>Verilenler</vt:lpstr>
      <vt:lpstr>Özgül Hız</vt:lpstr>
      <vt:lpstr>Genel Verim</vt:lpstr>
      <vt:lpstr>Efektif Güç ve Motor Gücü</vt:lpstr>
      <vt:lpstr>Mil Çapı</vt:lpstr>
      <vt:lpstr>Çark Giriş Hesabı</vt:lpstr>
      <vt:lpstr>Çark Çıkış Hesabı</vt:lpstr>
      <vt:lpstr>Kanat Sayısı ve Kayma</vt:lpstr>
      <vt:lpstr>Çark Genişlikleri</vt:lpstr>
      <vt:lpstr>Minimum Kanat Yüzeyi</vt:lpstr>
      <vt:lpstr>Difüzör</vt:lpstr>
      <vt:lpstr>Salyangoz Hesabı</vt:lpstr>
      <vt:lpstr>İşletme Büyüklüklükleri</vt:lpstr>
      <vt:lpstr>Toplam Kayıplar</vt:lpstr>
      <vt:lpstr>Eksenel-Radyal İtme</vt:lpstr>
      <vt:lpstr>Rulman Seçimi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Uğur Kızılöz</dc:creator>
  <cp:lastModifiedBy>Uğur Kızılöz</cp:lastModifiedBy>
  <dcterms:created xsi:type="dcterms:W3CDTF">2021-05-15T18:39:31Z</dcterms:created>
  <dcterms:modified xsi:type="dcterms:W3CDTF">2021-06-04T06:20:58Z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0x0101000D7BF95CA955D345BBD17BE1C4B4B711</vt:lpwstr>
  </property>
</Properties>
</file>