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900" windowWidth="12960" windowHeight="4872"/>
  </bookViews>
  <sheets>
    <sheet name="整体评估" sheetId="5" r:id="rId1"/>
    <sheet name="历次综合结果" sheetId="3" r:id="rId2"/>
    <sheet name="T28工艺库单元特性-面积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6" l="1"/>
  <c r="D12" i="6"/>
  <c r="F11" i="6"/>
  <c r="D11" i="6"/>
  <c r="D3" i="6" l="1"/>
  <c r="D4" i="6"/>
  <c r="D5" i="6"/>
  <c r="D6" i="6"/>
  <c r="D7" i="6"/>
  <c r="D8" i="6"/>
  <c r="D9" i="6"/>
  <c r="D10" i="6"/>
  <c r="D13" i="6"/>
  <c r="D14" i="6"/>
  <c r="D15" i="6"/>
  <c r="D16" i="6"/>
  <c r="D17" i="6"/>
  <c r="D2" i="6"/>
  <c r="F16" i="6"/>
  <c r="F15" i="6"/>
  <c r="F3" i="6"/>
  <c r="F4" i="6"/>
  <c r="F5" i="6"/>
  <c r="F6" i="6"/>
  <c r="F7" i="6"/>
  <c r="F8" i="6"/>
  <c r="F9" i="6"/>
  <c r="F10" i="6"/>
  <c r="F13" i="6"/>
  <c r="F14" i="6"/>
  <c r="F17" i="6"/>
  <c r="F2" i="6"/>
  <c r="B23" i="5" l="1"/>
  <c r="B21" i="5" l="1"/>
  <c r="B16" i="5"/>
  <c r="B17" i="5"/>
  <c r="B14" i="5"/>
  <c r="B15" i="5" l="1"/>
  <c r="B11" i="5"/>
  <c r="I33" i="6" l="1"/>
  <c r="J38" i="6"/>
  <c r="M38" i="6"/>
  <c r="I40" i="6"/>
  <c r="I38" i="6" s="1"/>
  <c r="K38" i="6" s="1"/>
  <c r="K41" i="6" s="1"/>
  <c r="L40" i="6"/>
  <c r="J33" i="6"/>
  <c r="M33" i="6"/>
  <c r="L33" i="6"/>
  <c r="K25" i="6"/>
  <c r="N26" i="6"/>
  <c r="K26" i="6"/>
  <c r="L38" i="6" l="1"/>
  <c r="N38" i="6" s="1"/>
  <c r="N41" i="6" s="1"/>
  <c r="K33" i="6"/>
  <c r="K35" i="6" s="1"/>
  <c r="N34" i="6"/>
  <c r="L37" i="6" s="1"/>
  <c r="L36" i="6"/>
  <c r="N33" i="6"/>
  <c r="N35" i="6" s="1"/>
  <c r="K34" i="6"/>
  <c r="J23" i="6"/>
  <c r="I23" i="6"/>
  <c r="K23" i="6" s="1"/>
  <c r="N18" i="6"/>
  <c r="M23" i="6"/>
  <c r="L23" i="6"/>
  <c r="L42" i="6" l="1"/>
  <c r="N23" i="6"/>
  <c r="L27" i="6"/>
  <c r="S19" i="6"/>
  <c r="R19" i="6"/>
  <c r="R20" i="6" s="1"/>
  <c r="P19" i="6"/>
  <c r="O19" i="6"/>
  <c r="M19" i="6"/>
  <c r="L19" i="6"/>
  <c r="T18" i="6"/>
  <c r="Q18" i="6"/>
  <c r="J19" i="6"/>
  <c r="I19" i="6"/>
  <c r="L20" i="6" l="1"/>
  <c r="O20" i="6"/>
  <c r="N22" i="6"/>
  <c r="N39" i="6" s="1"/>
  <c r="L43" i="6" s="1"/>
  <c r="I21" i="6"/>
  <c r="K22" i="6"/>
  <c r="K39" i="6" s="1"/>
  <c r="R21" i="6"/>
  <c r="O21" i="6"/>
  <c r="L21" i="6"/>
  <c r="I20" i="6"/>
  <c r="K24" i="6" l="1"/>
  <c r="N24" i="6"/>
  <c r="L28" i="6" s="1"/>
  <c r="C21" i="5" l="1"/>
  <c r="C22" i="5" s="1"/>
  <c r="O32" i="3" l="1"/>
  <c r="O31" i="3"/>
  <c r="O28" i="3"/>
  <c r="O22" i="3"/>
  <c r="O18" i="3"/>
  <c r="O10" i="3"/>
  <c r="B13" i="5" l="1"/>
  <c r="C13" i="5"/>
  <c r="C20" i="5" s="1"/>
  <c r="B20" i="5"/>
  <c r="O59" i="3" l="1"/>
  <c r="K24" i="3"/>
  <c r="K25" i="3"/>
  <c r="K26" i="3"/>
  <c r="K23" i="3"/>
  <c r="K31" i="3"/>
  <c r="K28" i="3"/>
  <c r="K22" i="3"/>
  <c r="M51" i="3"/>
  <c r="K32" i="3"/>
  <c r="M59" i="3"/>
  <c r="M47" i="3"/>
  <c r="M39" i="3"/>
  <c r="K18" i="3"/>
  <c r="I32" i="3"/>
  <c r="G29" i="3" l="1"/>
  <c r="G23" i="3"/>
  <c r="G19" i="3"/>
  <c r="G16" i="3"/>
  <c r="G11" i="3"/>
  <c r="G10" i="3"/>
  <c r="G31" i="3"/>
  <c r="G28" i="3"/>
  <c r="G22" i="3"/>
  <c r="G18" i="3"/>
</calcChain>
</file>

<file path=xl/comments1.xml><?xml version="1.0" encoding="utf-8"?>
<comments xmlns="http://schemas.openxmlformats.org/spreadsheetml/2006/main">
  <authors>
    <author>作者</author>
  </authors>
  <commentLis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堪称恐怖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4b，全跑满的真实算力</t>
        </r>
      </text>
    </comment>
    <comment ref="C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8b表直接给的有效算力，与真实(4b)相差8倍是因为有技术加持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师姐100MHz综合前后90-50mW，我100MHz综合功耗63mW，后仿保守估计不变，200MHz120mW</t>
        </r>
      </text>
    </comment>
    <comment ref="B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胜在卷积后聚合和剪枝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P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面积太小30倍比之前</t>
        </r>
      </text>
    </comment>
    <comment ref="P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FPC[1][2]..被综合掉了？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根据公式，要么少SRAM，要么多SYA</t>
        </r>
      </text>
    </comment>
    <comment ref="K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过于大了</t>
        </r>
      </text>
    </comment>
    <comment ref="P2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PLC[1-7]的u_SIPO_MAP等被综合掉了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reg与sram的临界点</t>
        </r>
      </text>
    </comment>
    <comment ref="F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宽度对面积影响较小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越深密度越高</t>
        </r>
      </text>
    </comment>
  </commentList>
</comments>
</file>

<file path=xl/sharedStrings.xml><?xml version="1.0" encoding="utf-8"?>
<sst xmlns="http://schemas.openxmlformats.org/spreadsheetml/2006/main" count="245" uniqueCount="165">
  <si>
    <t>case</t>
    <phoneticPr fontId="1" type="noConversion"/>
  </si>
  <si>
    <t>Modules</t>
    <phoneticPr fontId="1" type="noConversion"/>
  </si>
  <si>
    <t>Frequency (MHz)</t>
    <phoneticPr fontId="1" type="noConversion"/>
  </si>
  <si>
    <t>Lib</t>
    <phoneticPr fontId="1" type="noConversion"/>
  </si>
  <si>
    <t>Slack (C2C, ps)</t>
    <phoneticPr fontId="1" type="noConversion"/>
  </si>
  <si>
    <t>TOP (except SYA)</t>
    <phoneticPr fontId="1" type="noConversion"/>
  </si>
  <si>
    <t>tcbn28hpcplusbwp7t30p140tt0p9v25c_ecsm.lib
tcbn28hpcplusbwp7t30p140hvttt0p9v25c_ecsm.lib
tcbn28hpcplusbwp7t30p140uhvttt0p9v25c_ecsm.lib
ts1n28hpcpuhdhvtb64x128m4sso_170a_tt0p9v25c.lib</t>
    <phoneticPr fontId="1" type="noConversion"/>
  </si>
  <si>
    <t>Total</t>
    <phoneticPr fontId="1" type="noConversion"/>
  </si>
  <si>
    <t>ITF</t>
    <phoneticPr fontId="1" type="noConversion"/>
  </si>
  <si>
    <t>CCU</t>
    <phoneticPr fontId="1" type="noConversion"/>
  </si>
  <si>
    <t>GLB</t>
    <phoneticPr fontId="1" type="noConversion"/>
  </si>
  <si>
    <t>SYA</t>
    <phoneticPr fontId="1" type="noConversion"/>
  </si>
  <si>
    <t>CTR</t>
    <phoneticPr fontId="1" type="noConversion"/>
  </si>
  <si>
    <t>POL</t>
    <phoneticPr fontId="1" type="noConversion"/>
  </si>
  <si>
    <t>Area(Cell +Net, mm2)</t>
    <phoneticPr fontId="1" type="noConversion"/>
  </si>
  <si>
    <t>KNN</t>
    <phoneticPr fontId="1" type="noConversion"/>
  </si>
  <si>
    <t>FPS</t>
    <phoneticPr fontId="1" type="noConversion"/>
  </si>
  <si>
    <t>u_RAM_HS</t>
  </si>
  <si>
    <t>MIF</t>
    <phoneticPr fontId="1" type="noConversion"/>
  </si>
  <si>
    <t>PLC[0]</t>
    <phoneticPr fontId="1" type="noConversion"/>
  </si>
  <si>
    <t>PLC[1-5]</t>
    <phoneticPr fontId="1" type="noConversion"/>
  </si>
  <si>
    <t>u_RAM_ISA</t>
  </si>
  <si>
    <t>u_PISO_ISAIN</t>
    <phoneticPr fontId="1" type="noConversion"/>
  </si>
  <si>
    <t>&gt;2307</t>
    <phoneticPr fontId="1" type="noConversion"/>
  </si>
  <si>
    <t>Power(mW)</t>
    <phoneticPr fontId="1" type="noConversion"/>
  </si>
  <si>
    <t>SYNC_SHAPE_U</t>
  </si>
  <si>
    <t>PE_BANK_U_I[0-3]</t>
    <phoneticPr fontId="1" type="noConversion"/>
  </si>
  <si>
    <t>TOP</t>
    <phoneticPr fontId="1" type="noConversion"/>
  </si>
  <si>
    <t>~</t>
    <phoneticPr fontId="1" type="noConversion"/>
  </si>
  <si>
    <t>U_PISO</t>
  </si>
  <si>
    <t>u_INS[0-7]</t>
    <phoneticPr fontId="1" type="noConversion"/>
  </si>
  <si>
    <t>s</t>
    <phoneticPr fontId="1" type="noConversion"/>
  </si>
  <si>
    <t>None</t>
    <phoneticPr fontId="1" type="noConversion"/>
  </si>
  <si>
    <t>TOP (opt_CTR)</t>
    <phoneticPr fontId="1" type="noConversion"/>
  </si>
  <si>
    <t>name</t>
    <phoneticPr fontId="1" type="noConversion"/>
  </si>
  <si>
    <t>Date221025_Period1000_group_Track3vt_Notewhole_opt_CTR</t>
  </si>
  <si>
    <t>Date221023_Period1000_group_Track3vt_Notewhole</t>
  </si>
  <si>
    <t>Date221022_Period10_group_Track3vt_NotewithourtSYA</t>
  </si>
  <si>
    <t>PSS</t>
    <phoneticPr fontId="1" type="noConversion"/>
  </si>
  <si>
    <t>logic</t>
    <phoneticPr fontId="1" type="noConversion"/>
  </si>
  <si>
    <t>Seq</t>
    <phoneticPr fontId="1" type="noConversion"/>
  </si>
  <si>
    <t>Date221025_Period10_group_Track3vt_Notewhole_opt_CTR</t>
  </si>
  <si>
    <t>U0_FIFO_FWFT_OUT</t>
    <phoneticPr fontId="1" type="noConversion"/>
  </si>
  <si>
    <t>MIC</t>
    <phoneticPr fontId="1" type="noConversion"/>
  </si>
  <si>
    <t>PE_ROW_U_I</t>
  </si>
  <si>
    <t>PE_U_I</t>
  </si>
  <si>
    <t>mul_50_52</t>
  </si>
  <si>
    <t>TOP (opt_CTR_SYA)</t>
    <phoneticPr fontId="1" type="noConversion"/>
  </si>
  <si>
    <t>Date221026_Period10_group_Track3vt_Notewhole_opt_CTR_SYA</t>
  </si>
  <si>
    <t>\</t>
    <phoneticPr fontId="1" type="noConversion"/>
  </si>
  <si>
    <t>Effective Energy Efficiency (TOPS/W)</t>
    <phoneticPr fontId="1" type="noConversion"/>
  </si>
  <si>
    <t>MAC</t>
    <phoneticPr fontId="1" type="noConversion"/>
  </si>
  <si>
    <t>PNN</t>
    <phoneticPr fontId="1" type="noConversion"/>
  </si>
  <si>
    <t>PNN, Depth CNN, C-Grad</t>
    <phoneticPr fontId="1" type="noConversion"/>
  </si>
  <si>
    <t>Network</t>
    <phoneticPr fontId="1" type="noConversion"/>
  </si>
  <si>
    <t>FXP 4, 8, 12, 16</t>
    <phoneticPr fontId="1" type="noConversion"/>
  </si>
  <si>
    <t>FXP 8b</t>
    <phoneticPr fontId="1" type="noConversion"/>
  </si>
  <si>
    <t>Data Type</t>
    <phoneticPr fontId="1" type="noConversion"/>
  </si>
  <si>
    <t>Frequency</t>
    <phoneticPr fontId="1" type="noConversion"/>
  </si>
  <si>
    <t>806KB</t>
    <phoneticPr fontId="1" type="noConversion"/>
  </si>
  <si>
    <t>130KB</t>
    <phoneticPr fontId="1" type="noConversion"/>
  </si>
  <si>
    <t>On-Chip SRAM</t>
    <phoneticPr fontId="1" type="noConversion"/>
  </si>
  <si>
    <t>228 (All)</t>
    <phoneticPr fontId="1" type="noConversion"/>
  </si>
  <si>
    <t>IO</t>
    <phoneticPr fontId="1" type="noConversion"/>
  </si>
  <si>
    <t>Die Area</t>
    <phoneticPr fontId="1" type="noConversion"/>
  </si>
  <si>
    <t>Technology</t>
    <phoneticPr fontId="1" type="noConversion"/>
  </si>
  <si>
    <t>DSPU</t>
    <phoneticPr fontId="1" type="noConversion"/>
  </si>
  <si>
    <t>PCNA</t>
    <phoneticPr fontId="1" type="noConversion"/>
  </si>
  <si>
    <t>Parameters</t>
    <phoneticPr fontId="1" type="noConversion"/>
  </si>
  <si>
    <t>Top Level Module</t>
    <phoneticPr fontId="1" type="noConversion"/>
  </si>
  <si>
    <t>Level 1 Module</t>
    <phoneticPr fontId="1" type="noConversion"/>
  </si>
  <si>
    <t>Level 2 Module</t>
    <phoneticPr fontId="1" type="noConversion"/>
  </si>
  <si>
    <t>Level 3 Module</t>
    <phoneticPr fontId="1" type="noConversion"/>
  </si>
  <si>
    <t>Area</t>
    <phoneticPr fontId="1" type="noConversion"/>
  </si>
  <si>
    <t>Percentage of Area /%</t>
    <phoneticPr fontId="1" type="noConversion"/>
  </si>
  <si>
    <t xml:space="preserve">Real Performance (TOPS) </t>
    <phoneticPr fontId="1" type="noConversion"/>
  </si>
  <si>
    <t>Real Energy Efficiency (TOPS/W)</t>
    <phoneticPr fontId="1" type="noConversion"/>
  </si>
  <si>
    <t>0.78-1.1</t>
    <phoneticPr fontId="1" type="noConversion"/>
  </si>
  <si>
    <t>Supply Voltge</t>
    <phoneticPr fontId="1" type="noConversion"/>
  </si>
  <si>
    <t>Scale to 55-nm 0.9V</t>
    <phoneticPr fontId="1" type="noConversion"/>
  </si>
  <si>
    <t>类型</t>
    <phoneticPr fontId="1" type="noConversion"/>
  </si>
  <si>
    <t>reg</t>
    <phoneticPr fontId="1" type="noConversion"/>
  </si>
  <si>
    <t>面积 (um2)</t>
    <phoneticPr fontId="1" type="noConversion"/>
  </si>
  <si>
    <t>uhddpsram</t>
    <phoneticPr fontId="1" type="noConversion"/>
  </si>
  <si>
    <t>深度</t>
    <phoneticPr fontId="1" type="noConversion"/>
  </si>
  <si>
    <t>宽度</t>
    <phoneticPr fontId="1" type="noConversion"/>
  </si>
  <si>
    <t>宽</t>
    <phoneticPr fontId="1" type="noConversion"/>
  </si>
  <si>
    <t>Chip Size</t>
    <phoneticPr fontId="1" type="noConversion"/>
  </si>
  <si>
    <t>Core Size</t>
    <phoneticPr fontId="1" type="noConversion"/>
  </si>
  <si>
    <t>PAD</t>
    <phoneticPr fontId="1" type="noConversion"/>
  </si>
  <si>
    <t>Plan A: 单圈PAD</t>
    <phoneticPr fontId="1" type="noConversion"/>
  </si>
  <si>
    <t>Plan B: 双圈PAD</t>
    <phoneticPr fontId="1" type="noConversion"/>
  </si>
  <si>
    <t>Plan B: 交错圈PAD</t>
    <phoneticPr fontId="1" type="noConversion"/>
  </si>
  <si>
    <t>Plan C: 双圈交错PAD</t>
    <phoneticPr fontId="1" type="noConversion"/>
  </si>
  <si>
    <t>Core利用率</t>
    <phoneticPr fontId="1" type="noConversion"/>
  </si>
  <si>
    <t>PAD个数</t>
    <phoneticPr fontId="1" type="noConversion"/>
  </si>
  <si>
    <t>PAD/Core</t>
    <phoneticPr fontId="1" type="noConversion"/>
  </si>
  <si>
    <t>v1</t>
    <phoneticPr fontId="1" type="noConversion"/>
  </si>
  <si>
    <t>v2</t>
    <phoneticPr fontId="1" type="noConversion"/>
  </si>
  <si>
    <t>TOP</t>
    <phoneticPr fontId="1" type="noConversion"/>
  </si>
  <si>
    <t>Date230214_Period1000_group_Track3vt_Notev2</t>
    <phoneticPr fontId="1" type="noConversion"/>
  </si>
  <si>
    <t>PAD/EDGE</t>
    <phoneticPr fontId="1" type="noConversion"/>
  </si>
  <si>
    <t>PAD单个长</t>
    <phoneticPr fontId="1" type="noConversion"/>
  </si>
  <si>
    <t>PAD SIZE</t>
    <phoneticPr fontId="1" type="noConversion"/>
  </si>
  <si>
    <t>高</t>
    <phoneticPr fontId="1" type="noConversion"/>
  </si>
  <si>
    <t>Plan B: 交错单圈PAD</t>
    <phoneticPr fontId="1" type="noConversion"/>
  </si>
  <si>
    <t>PAD总长度</t>
    <phoneticPr fontId="1" type="noConversion"/>
  </si>
  <si>
    <t>Power Consumption (W)@ 200MHz</t>
    <phoneticPr fontId="1" type="noConversion"/>
  </si>
  <si>
    <t>总时间计算的有效算力</t>
    <phoneticPr fontId="1" type="noConversion"/>
  </si>
  <si>
    <r>
      <t>总计算量为</t>
    </r>
    <r>
      <rPr>
        <sz val="11"/>
        <color theme="1"/>
        <rFont val="Times New Roman"/>
        <family val="1"/>
      </rPr>
      <t>PointNeXt-S</t>
    </r>
    <r>
      <rPr>
        <sz val="11"/>
        <color theme="1"/>
        <rFont val="宋体"/>
        <family val="3"/>
        <charset val="134"/>
      </rPr>
      <t>论文的</t>
    </r>
    <r>
      <rPr>
        <sz val="11"/>
        <color theme="1"/>
        <rFont val="Times New Roman"/>
        <family val="1"/>
      </rPr>
      <t>TOPS</t>
    </r>
    <phoneticPr fontId="1" type="noConversion"/>
  </si>
  <si>
    <r>
      <t>PointNeXt-S</t>
    </r>
    <r>
      <rPr>
        <sz val="11"/>
        <color theme="1"/>
        <rFont val="宋体"/>
        <family val="3"/>
        <charset val="134"/>
      </rPr>
      <t>总周期为</t>
    </r>
    <r>
      <rPr>
        <sz val="11"/>
        <color theme="1"/>
        <rFont val="Times New Roman"/>
        <family val="1"/>
      </rPr>
      <t>FPS 3k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倍</t>
    </r>
    <r>
      <rPr>
        <sz val="11"/>
        <color theme="1"/>
        <rFont val="Times New Roman"/>
        <family val="1"/>
      </rPr>
      <t>9k</t>
    </r>
    <r>
      <rPr>
        <sz val="11"/>
        <color theme="1"/>
        <rFont val="宋体"/>
        <family val="3"/>
        <charset val="134"/>
      </rPr>
      <t/>
    </r>
    <phoneticPr fontId="1" type="noConversion"/>
  </si>
  <si>
    <t>技术加持的有效算力-剪枝理论加持4x4倍，实际只4倍</t>
    <phoneticPr fontId="1" type="noConversion"/>
  </si>
  <si>
    <r>
      <rPr>
        <sz val="11"/>
        <color theme="1"/>
        <rFont val="宋体"/>
        <family val="3"/>
        <charset val="134"/>
      </rPr>
      <t>技术加持的有效算力</t>
    </r>
    <r>
      <rPr>
        <sz val="11"/>
        <color theme="1"/>
        <rFont val="Times New Roman"/>
        <family val="1"/>
      </rPr>
      <t>-K=30</t>
    </r>
    <r>
      <rPr>
        <sz val="11"/>
        <color theme="1"/>
        <rFont val="宋体"/>
        <family val="3"/>
        <charset val="134"/>
      </rPr>
      <t>，但可能深层没有</t>
    </r>
    <r>
      <rPr>
        <sz val="11"/>
        <color theme="1"/>
        <rFont val="Times New Roman"/>
        <family val="1"/>
      </rPr>
      <t>K</t>
    </r>
    <r>
      <rPr>
        <sz val="11"/>
        <color theme="1"/>
        <rFont val="宋体"/>
        <family val="3"/>
        <charset val="134"/>
      </rPr>
      <t>，因此倍数是</t>
    </r>
    <r>
      <rPr>
        <sz val="11"/>
        <color theme="1"/>
        <rFont val="Times New Roman"/>
        <family val="1"/>
      </rPr>
      <t>10</t>
    </r>
    <phoneticPr fontId="1" type="noConversion"/>
  </si>
  <si>
    <t>等效与真实加速比</t>
    <phoneticPr fontId="1" type="noConversion"/>
  </si>
  <si>
    <t>uhdspsram</t>
    <phoneticPr fontId="1" type="noConversion"/>
  </si>
  <si>
    <t>密度</t>
    <phoneticPr fontId="1" type="noConversion"/>
  </si>
  <si>
    <t>容量(KB)</t>
    <phoneticPr fontId="1" type="noConversion"/>
  </si>
  <si>
    <t>TSMC 28-nm HPC</t>
    <phoneticPr fontId="1" type="noConversion"/>
  </si>
  <si>
    <t>    CCUFPS_CfgMaskBaseAddr ,</t>
  </si>
  <si>
    <t>    CCUFPS_CfgDistBaseAddr ,</t>
  </si>
  <si>
    <t>    CCUITF_DRAMBaseAddr     [GLBWRIDX_ITFCRD                 ]  ,</t>
  </si>
  <si>
    <t>    CCUTOP_CfgPortBankFlag  [GLBWRIDX_ITFCRD                 ]  ,</t>
  </si>
  <si>
    <t>    CCUTOP_CfgPortBankFlag  [GLB_NUM_WRPORT + GLBRDIDX_FPSCRD]  ,</t>
  </si>
  <si>
    <t>    CCUTOP_CfgPortBankFlag  [GLBWRIDX_FPSMSK                 ]  ,</t>
  </si>
  <si>
    <t>    CCUTOP_CfgPortBankFlag  [GLB_NUM_WRPORT + GLBRDIDX_FPSMSK]  ,</t>
  </si>
  <si>
    <t>    CCUTOP_CfgPortBankFlag  [GLBWRIDX_FPSDST                 ]  ,</t>
  </si>
  <si>
    <t>    CCUTOP_CfgPortBankFlag  [GLB_NUM_WRPORT + GLBRDIDX_FPSDST]  ,</t>
  </si>
  <si>
    <t>    CCUTOP_CfgPortBankFlag  [GLBWRIDX_FPSIDX                 ]  ,</t>
  </si>
  <si>
    <t>    CCUTOP_CfgPortBankFlag  [GLB_NUM_WRPORT + GLBRDIDX_ITFIDX]  ,</t>
  </si>
  <si>
    <t>    CCUTOP_CfgPortBankFlag  [GLBWRIDX_FPSCRD                 ]  ,</t>
  </si>
  <si>
    <t>    CCUTOP_CfgPortParBank     [GLBWRIDX_ITFCRD                 ],</t>
  </si>
  <si>
    <t>    CCUTOP_CfgPortParBank     [GLB_NUM_WRPORT + GLBRDIDX_FPSCRD],</t>
  </si>
  <si>
    <t>    CCUTOP_CfgPortParBank     [GLBWRIDX_FPSMSK                 ],</t>
  </si>
  <si>
    <t>    CCUTOP_CfgPortParBank     [GLB_NUM_WRPORT + GLBRDIDX_FPSMSK],</t>
  </si>
  <si>
    <t>    CCUTOP_CfgPortParBank     [GLBWRIDX_FPSDST                 ],</t>
  </si>
  <si>
    <t>    CCUTOP_CfgPortParBank     [GLB_NUM_WRPORT + GLBRDIDX_FPSDST],</t>
  </si>
  <si>
    <t>    CCUTOP_CfgPortParBank     [GLBWRIDX_FPSIDX                 ],</t>
  </si>
  <si>
    <t>    CCUTOP_CfgPortParBank     [GLB_NUM_WRPORT + GLBRDIDX_ITFIDX],</t>
  </si>
  <si>
    <t>    CCUTOP_CfgPortParBank     [GLBWRIDX_FPSCRD                 ],</t>
  </si>
  <si>
    <t>    CCUTOP_CfgPortOffEmptyFull[GLBWRIDX_ITFCRD                 ],</t>
  </si>
  <si>
    <t>    CCUTOP_CfgPortOffEmptyFull[GLB_NUM_WRPORT + GLBRDIDX_FPSCRD],</t>
  </si>
  <si>
    <t>    CCUTOP_CfgPortOffEmptyFull[GLBWRIDX_FPSMSK                 ],</t>
  </si>
  <si>
    <t>    CCUTOP_CfgPortOffEmptyFull[GLB_NUM_WRPORT + GLBRDIDX_FPSMSK],</t>
  </si>
  <si>
    <t>    CCUTOP_CfgPortOffEmptyFull[GLBWRIDX_FPSDST                 ],</t>
  </si>
  <si>
    <t>    CCUTOP_CfgPortOffEmptyFull[GLB_NUM_WRPORT + GLBRDIDX_FPSDST],</t>
  </si>
  <si>
    <t>    CCUTOP_CfgPortOffEmptyFull[GLBWRIDX_FPSIDX                 ],</t>
  </si>
  <si>
    <t>    CCUTOP_CfgPortOffEmptyFull[GLB_NUM_WRPORT + GLBRDIDX_ITFIDX],</t>
  </si>
  <si>
    <t>    CCUTOP_CfgPortOffEmptyFull[GLBWRIDX_FPSCRD                 ]</t>
  </si>
  <si>
    <t xml:space="preserve">    CCUPOL_CfgNip                                                                   ,</t>
  </si>
  <si>
    <t xml:space="preserve">    CCUPOL_CfgChn                                                                   ,</t>
  </si>
  <si>
    <t xml:space="preserve">    CCUPOL_CfgK                                                                     ,</t>
  </si>
  <si>
    <t xml:space="preserve">    CCUITF_DRAMBaseAddr   [GLBWRIDX_ITFMAP                 ]                        ,</t>
  </si>
  <si>
    <t xml:space="preserve">    CCUTOP_CfgPortBankFlag[GLBWRIDX_ITFMAP                 ]                        ,</t>
  </si>
  <si>
    <t xml:space="preserve">    CCUTOP_CfgPortBankFlag[GLB_NUM_WRPORT + GLBRDIDX_POLMAP]                        ,</t>
  </si>
  <si>
    <t xml:space="preserve">    CCUTOP_CfgPortBankFlag[GLBWRIDX_POLOFM                 ]                        ,</t>
  </si>
  <si>
    <t xml:space="preserve">    CCUTOP_CfgPortBankFlag[GLB_NUM_WRPORT + GLBRDIDX_POLOFM]                        ,</t>
  </si>
  <si>
    <t xml:space="preserve">    CCUTOP_CfgPortBankFlag[GLB_NUM_WRPORT + GLBRDIDX_POLOFM +: NUM_BANK*POOL_CORE]  ,</t>
  </si>
  <si>
    <t xml:space="preserve">    CCUTOP_CfgPortParBank [GLBWRIDX_ITFMAP                 ]                        ,</t>
  </si>
  <si>
    <t xml:space="preserve">    CCUTOP_CfgPortParBank [GLB_NUM_WRPORT + GLBRDIDX_POLMAP]                        ,</t>
  </si>
  <si>
    <t xml:space="preserve">    CCUTOP_CfgPortParBank [GLBWRIDX_POLOFM                 ]                        ,</t>
  </si>
  <si>
    <t xml:space="preserve">    CCUTOP_CfgPortParBank [GLB_NUM_WRPORT + GLBRDIDX_POLOFM +: MAXPAR_WIDTH*POOL_CORE],</t>
  </si>
  <si>
    <t xml:space="preserve">    CCUTOP_CfgPortOffEmptyFull [GLBWRIDX_ITFMAP                 ]                   ,</t>
  </si>
  <si>
    <t xml:space="preserve">    CCUTOP_CfgPortOffEmptyFull [GLB_NUM_WRPORT + GLBRDIDX_POLMAP]                   ,</t>
  </si>
  <si>
    <t xml:space="preserve">    CCUTOP_CfgPortOffEmptyFull [GLBWRIDX_POLOFM                 ]                   ,</t>
  </si>
  <si>
    <t xml:space="preserve">    CCUTOP_CfgPortOffEmptyFull [GLB_NUM_WRPORT + GLBRDIDX_POLOFM +: POOL_CORE]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</si>
</sst>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0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11"/>
      <color theme="0" tint="-0.34998626667073579"/>
      <name val="Times New Roman"/>
      <family val="1"/>
    </font>
    <font>
      <sz val="11"/>
      <color theme="0" tint="-0.499984740745262"/>
      <name val="Times New Roman"/>
      <family val="1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name val="等线"/>
      <family val="3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right" vertic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0" fontId="3" fillId="0" borderId="9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2" fillId="0" borderId="9" xfId="0" applyFont="1" applyFill="1" applyBorder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0" borderId="13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right" vertical="center" wrapText="1"/>
    </xf>
    <xf numFmtId="0" fontId="2" fillId="0" borderId="14" xfId="0" applyFont="1" applyBorder="1" applyAlignment="1">
      <alignment wrapText="1"/>
    </xf>
    <xf numFmtId="0" fontId="5" fillId="0" borderId="14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1" fillId="0" borderId="1" xfId="0" applyFont="1" applyBorder="1" applyAlignment="1">
      <alignment wrapText="1"/>
    </xf>
    <xf numFmtId="176" fontId="4" fillId="0" borderId="16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0" fillId="0" borderId="1" xfId="0" applyBorder="1"/>
    <xf numFmtId="0" fontId="0" fillId="0" borderId="5" xfId="0" applyBorder="1"/>
    <xf numFmtId="0" fontId="0" fillId="0" borderId="4" xfId="0" applyBorder="1"/>
    <xf numFmtId="0" fontId="0" fillId="0" borderId="19" xfId="0" applyBorder="1"/>
    <xf numFmtId="0" fontId="0" fillId="0" borderId="22" xfId="0" applyBorder="1"/>
    <xf numFmtId="0" fontId="0" fillId="0" borderId="18" xfId="0" applyBorder="1"/>
    <xf numFmtId="0" fontId="0" fillId="0" borderId="9" xfId="0" applyBorder="1"/>
    <xf numFmtId="0" fontId="0" fillId="0" borderId="10" xfId="0" applyBorder="1"/>
    <xf numFmtId="0" fontId="0" fillId="0" borderId="17" xfId="0" applyBorder="1"/>
    <xf numFmtId="0" fontId="0" fillId="0" borderId="23" xfId="0" applyBorder="1"/>
    <xf numFmtId="0" fontId="0" fillId="0" borderId="16" xfId="0" applyBorder="1"/>
    <xf numFmtId="0" fontId="12" fillId="0" borderId="17" xfId="0" applyFont="1" applyBorder="1"/>
    <xf numFmtId="0" fontId="2" fillId="0" borderId="13" xfId="0" applyFont="1" applyBorder="1" applyAlignment="1">
      <alignment wrapText="1"/>
    </xf>
    <xf numFmtId="0" fontId="2" fillId="0" borderId="28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14" fillId="0" borderId="30" xfId="0" applyFont="1" applyFill="1" applyBorder="1"/>
    <xf numFmtId="0" fontId="13" fillId="0" borderId="1" xfId="0" applyFont="1" applyBorder="1"/>
    <xf numFmtId="0" fontId="16" fillId="0" borderId="0" xfId="0" applyFont="1"/>
    <xf numFmtId="0" fontId="16" fillId="0" borderId="5" xfId="0" applyFont="1" applyBorder="1"/>
    <xf numFmtId="0" fontId="17" fillId="0" borderId="17" xfId="0" applyFont="1" applyBorder="1"/>
    <xf numFmtId="0" fontId="16" fillId="0" borderId="1" xfId="0" applyFont="1" applyBorder="1"/>
    <xf numFmtId="0" fontId="16" fillId="0" borderId="4" xfId="0" applyFont="1" applyBorder="1"/>
    <xf numFmtId="0" fontId="16" fillId="0" borderId="0" xfId="0" applyFont="1" applyBorder="1"/>
    <xf numFmtId="0" fontId="16" fillId="0" borderId="31" xfId="0" applyFont="1" applyBorder="1"/>
    <xf numFmtId="0" fontId="15" fillId="0" borderId="1" xfId="0" applyFont="1" applyBorder="1"/>
    <xf numFmtId="0" fontId="12" fillId="0" borderId="1" xfId="0" applyFont="1" applyBorder="1"/>
    <xf numFmtId="0" fontId="13" fillId="0" borderId="9" xfId="0" applyFont="1" applyBorder="1"/>
    <xf numFmtId="0" fontId="0" fillId="0" borderId="22" xfId="0" applyBorder="1" applyAlignment="1"/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76" fontId="2" fillId="0" borderId="32" xfId="0" applyNumberFormat="1" applyFont="1" applyBorder="1" applyAlignment="1">
      <alignment horizontal="center" vertical="center"/>
    </xf>
    <xf numFmtId="176" fontId="2" fillId="0" borderId="29" xfId="0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176" fontId="4" fillId="0" borderId="32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/>
    <xf numFmtId="0" fontId="0" fillId="0" borderId="32" xfId="0" applyBorder="1"/>
    <xf numFmtId="0" fontId="0" fillId="0" borderId="29" xfId="0" applyBorder="1" applyAlignment="1">
      <alignment horizontal="center"/>
    </xf>
    <xf numFmtId="0" fontId="19" fillId="0" borderId="0" xfId="0" applyFont="1" applyAlignment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2"/>
  <sheetViews>
    <sheetView tabSelected="1" topLeftCell="A48" zoomScaleNormal="100" workbookViewId="0">
      <selection activeCell="B71" sqref="B71"/>
    </sheetView>
  </sheetViews>
  <sheetFormatPr defaultColWidth="8.88671875" defaultRowHeight="13.8"/>
  <cols>
    <col min="1" max="1" width="32.109375" style="29" customWidth="1"/>
    <col min="2" max="2" width="25.33203125" style="29" customWidth="1"/>
    <col min="3" max="3" width="25.44140625" style="29" customWidth="1"/>
    <col min="4" max="16384" width="8.88671875" style="29"/>
  </cols>
  <sheetData>
    <row r="1" spans="1:7">
      <c r="A1" s="39" t="s">
        <v>68</v>
      </c>
      <c r="B1" s="41" t="s">
        <v>67</v>
      </c>
      <c r="C1" s="40" t="s">
        <v>66</v>
      </c>
      <c r="D1" s="30"/>
    </row>
    <row r="2" spans="1:7">
      <c r="A2" s="35" t="s">
        <v>65</v>
      </c>
      <c r="B2" s="45" t="s">
        <v>117</v>
      </c>
      <c r="C2" s="44">
        <v>28</v>
      </c>
      <c r="D2" s="30"/>
    </row>
    <row r="3" spans="1:7">
      <c r="A3" s="35" t="s">
        <v>64</v>
      </c>
      <c r="B3" s="45">
        <v>8</v>
      </c>
      <c r="C3" s="44">
        <v>12.96</v>
      </c>
      <c r="D3" s="30"/>
    </row>
    <row r="4" spans="1:7">
      <c r="A4" s="35" t="s">
        <v>63</v>
      </c>
      <c r="B4" s="45">
        <v>96</v>
      </c>
      <c r="C4" s="44" t="s">
        <v>62</v>
      </c>
      <c r="D4" s="30"/>
    </row>
    <row r="5" spans="1:7">
      <c r="A5" s="35" t="s">
        <v>61</v>
      </c>
      <c r="B5" s="45" t="s">
        <v>60</v>
      </c>
      <c r="C5" s="44" t="s">
        <v>59</v>
      </c>
      <c r="D5" s="30"/>
      <c r="G5" s="96" t="s">
        <v>118</v>
      </c>
    </row>
    <row r="6" spans="1:7">
      <c r="A6" s="35" t="s">
        <v>78</v>
      </c>
      <c r="B6" s="45">
        <v>0.9</v>
      </c>
      <c r="C6" s="44" t="s">
        <v>77</v>
      </c>
      <c r="D6" s="30"/>
      <c r="G6" s="96" t="s">
        <v>119</v>
      </c>
    </row>
    <row r="7" spans="1:7">
      <c r="A7" s="35" t="s">
        <v>58</v>
      </c>
      <c r="B7" s="45">
        <v>200</v>
      </c>
      <c r="C7" s="44">
        <v>250</v>
      </c>
      <c r="D7" s="30"/>
      <c r="G7" s="96" t="s">
        <v>120</v>
      </c>
    </row>
    <row r="8" spans="1:7">
      <c r="A8" s="35" t="s">
        <v>57</v>
      </c>
      <c r="B8" s="45" t="s">
        <v>56</v>
      </c>
      <c r="C8" s="44" t="s">
        <v>55</v>
      </c>
      <c r="D8" s="30"/>
      <c r="G8" s="96" t="s">
        <v>121</v>
      </c>
    </row>
    <row r="9" spans="1:7" ht="14.4" thickBot="1">
      <c r="A9" s="32" t="s">
        <v>54</v>
      </c>
      <c r="B9" s="43" t="s">
        <v>52</v>
      </c>
      <c r="C9" s="42" t="s">
        <v>53</v>
      </c>
      <c r="D9" s="30"/>
      <c r="G9" s="96" t="s">
        <v>122</v>
      </c>
    </row>
    <row r="10" spans="1:7">
      <c r="A10" s="97" t="s">
        <v>52</v>
      </c>
      <c r="B10" s="98"/>
      <c r="C10" s="99"/>
      <c r="D10" s="30"/>
      <c r="G10" s="96" t="s">
        <v>123</v>
      </c>
    </row>
    <row r="11" spans="1:7" ht="15" thickBot="1">
      <c r="A11" s="83" t="s">
        <v>109</v>
      </c>
      <c r="B11" s="81">
        <f>3.6/1024</f>
        <v>3.5156250000000001E-3</v>
      </c>
      <c r="C11" s="82"/>
      <c r="D11" s="30"/>
      <c r="G11" s="96" t="s">
        <v>124</v>
      </c>
    </row>
    <row r="12" spans="1:7" ht="14.4" thickBot="1">
      <c r="A12" s="39" t="s">
        <v>51</v>
      </c>
      <c r="B12" s="41">
        <v>1024</v>
      </c>
      <c r="C12" s="50">
        <v>12288</v>
      </c>
      <c r="D12" s="30"/>
      <c r="G12" s="96" t="s">
        <v>125</v>
      </c>
    </row>
    <row r="13" spans="1:7">
      <c r="A13" s="39" t="s">
        <v>75</v>
      </c>
      <c r="B13" s="38">
        <f>B12*B7*2/1024/1024</f>
        <v>0.390625</v>
      </c>
      <c r="C13" s="37">
        <f>C12*C7*2/1024/1024</f>
        <v>5.859375</v>
      </c>
      <c r="D13" s="30"/>
      <c r="G13" s="96" t="s">
        <v>126</v>
      </c>
    </row>
    <row r="14" spans="1:7" ht="14.4">
      <c r="A14" s="35" t="s">
        <v>110</v>
      </c>
      <c r="B14" s="84">
        <f>9*1024</f>
        <v>9216</v>
      </c>
      <c r="C14" s="85"/>
      <c r="D14" s="30"/>
      <c r="G14" s="96" t="s">
        <v>127</v>
      </c>
    </row>
    <row r="15" spans="1:7" ht="14.4">
      <c r="A15" s="86" t="s">
        <v>108</v>
      </c>
      <c r="B15" s="87">
        <f>B11/(B14*5*10^(-9))</f>
        <v>76.293945312499986</v>
      </c>
      <c r="C15" s="85"/>
      <c r="D15" s="30"/>
      <c r="G15" s="96" t="s">
        <v>128</v>
      </c>
    </row>
    <row r="16" spans="1:7" ht="14.4">
      <c r="A16" s="35" t="s">
        <v>112</v>
      </c>
      <c r="B16" s="34">
        <f>B13*10</f>
        <v>3.90625</v>
      </c>
      <c r="C16" s="49">
        <v>11.6</v>
      </c>
      <c r="D16" s="30"/>
      <c r="G16" s="96" t="s">
        <v>129</v>
      </c>
    </row>
    <row r="17" spans="1:7">
      <c r="A17" s="29" t="s">
        <v>111</v>
      </c>
      <c r="B17" s="34">
        <f>B16*4</f>
        <v>15.625</v>
      </c>
      <c r="C17" s="49"/>
      <c r="D17" s="30"/>
      <c r="G17" s="96" t="s">
        <v>130</v>
      </c>
    </row>
    <row r="18" spans="1:7">
      <c r="A18" s="30"/>
      <c r="B18" s="34"/>
      <c r="C18" s="49"/>
      <c r="D18" s="30"/>
      <c r="G18" s="96" t="s">
        <v>131</v>
      </c>
    </row>
    <row r="19" spans="1:7">
      <c r="A19" s="35" t="s">
        <v>107</v>
      </c>
      <c r="B19" s="36">
        <v>0.15</v>
      </c>
      <c r="C19" s="33">
        <v>0.60899999999999999</v>
      </c>
      <c r="D19" s="30"/>
      <c r="G19" s="96" t="s">
        <v>132</v>
      </c>
    </row>
    <row r="20" spans="1:7">
      <c r="A20" s="35" t="s">
        <v>76</v>
      </c>
      <c r="B20" s="34">
        <f>B13/B19</f>
        <v>2.604166666666667</v>
      </c>
      <c r="C20" s="49">
        <f>C13/C19</f>
        <v>9.6213054187192117</v>
      </c>
      <c r="D20" s="30"/>
      <c r="G20" s="96" t="s">
        <v>133</v>
      </c>
    </row>
    <row r="21" spans="1:7" ht="14.4" thickBot="1">
      <c r="A21" s="32" t="s">
        <v>50</v>
      </c>
      <c r="B21" s="48">
        <f>B17/B19</f>
        <v>104.16666666666667</v>
      </c>
      <c r="C21" s="31">
        <f>C16/C19</f>
        <v>19.047619047619047</v>
      </c>
      <c r="D21" s="30"/>
      <c r="G21" s="96" t="s">
        <v>134</v>
      </c>
    </row>
    <row r="22" spans="1:7" ht="14.4" thickBot="1">
      <c r="A22" s="32" t="s">
        <v>79</v>
      </c>
      <c r="B22" s="32"/>
      <c r="C22" s="32">
        <f>C21/4*(1.1/0.9)^2</f>
        <v>7.1134626690182259</v>
      </c>
      <c r="G22" s="96" t="s">
        <v>135</v>
      </c>
    </row>
    <row r="23" spans="1:7">
      <c r="A23" s="29" t="s">
        <v>113</v>
      </c>
      <c r="B23" s="29">
        <f>B17/B13</f>
        <v>40</v>
      </c>
      <c r="G23" s="96" t="s">
        <v>136</v>
      </c>
    </row>
    <row r="24" spans="1:7">
      <c r="G24" s="96" t="s">
        <v>137</v>
      </c>
    </row>
    <row r="25" spans="1:7">
      <c r="G25" s="96" t="s">
        <v>138</v>
      </c>
    </row>
    <row r="26" spans="1:7">
      <c r="G26" s="96" t="s">
        <v>139</v>
      </c>
    </row>
    <row r="27" spans="1:7">
      <c r="G27" s="96" t="s">
        <v>140</v>
      </c>
    </row>
    <row r="28" spans="1:7">
      <c r="G28" s="96" t="s">
        <v>141</v>
      </c>
    </row>
    <row r="29" spans="1:7">
      <c r="G29" s="96" t="s">
        <v>142</v>
      </c>
    </row>
    <row r="30" spans="1:7">
      <c r="G30" s="96" t="s">
        <v>143</v>
      </c>
    </row>
    <row r="31" spans="1:7">
      <c r="G31" s="96" t="s">
        <v>144</v>
      </c>
    </row>
    <row r="32" spans="1:7">
      <c r="G32" s="96" t="s">
        <v>145</v>
      </c>
    </row>
    <row r="33" spans="1:7">
      <c r="G33" s="96" t="s">
        <v>146</v>
      </c>
    </row>
    <row r="34" spans="1:7">
      <c r="G34" s="96" t="s">
        <v>147</v>
      </c>
    </row>
    <row r="40" spans="1:7">
      <c r="A40" s="29">
        <v>33</v>
      </c>
      <c r="B40" s="29" t="s">
        <v>148</v>
      </c>
    </row>
    <row r="41" spans="1:7">
      <c r="A41" s="29">
        <v>32</v>
      </c>
      <c r="B41" s="29" t="s">
        <v>149</v>
      </c>
    </row>
    <row r="42" spans="1:7">
      <c r="A42" s="29">
        <v>31</v>
      </c>
      <c r="B42" s="29" t="s">
        <v>150</v>
      </c>
    </row>
    <row r="43" spans="1:7">
      <c r="A43" s="29">
        <v>30</v>
      </c>
      <c r="B43" s="29" t="s">
        <v>151</v>
      </c>
    </row>
    <row r="44" spans="1:7">
      <c r="A44" s="29">
        <v>29</v>
      </c>
      <c r="B44" s="29" t="s">
        <v>152</v>
      </c>
    </row>
    <row r="45" spans="1:7">
      <c r="A45" s="29">
        <v>28</v>
      </c>
      <c r="B45" s="29" t="s">
        <v>153</v>
      </c>
    </row>
    <row r="46" spans="1:7">
      <c r="A46" s="29">
        <v>27</v>
      </c>
      <c r="B46" s="29" t="s">
        <v>154</v>
      </c>
    </row>
    <row r="47" spans="1:7">
      <c r="A47" s="29">
        <v>26</v>
      </c>
      <c r="B47" s="29" t="s">
        <v>155</v>
      </c>
    </row>
    <row r="48" spans="1:7">
      <c r="A48" s="29">
        <v>25</v>
      </c>
      <c r="B48" s="29" t="s">
        <v>156</v>
      </c>
    </row>
    <row r="49" spans="1:2">
      <c r="A49" s="29">
        <v>24</v>
      </c>
      <c r="B49" s="29" t="s">
        <v>157</v>
      </c>
    </row>
    <row r="50" spans="1:2">
      <c r="A50" s="29">
        <v>23</v>
      </c>
      <c r="B50" s="29" t="s">
        <v>158</v>
      </c>
    </row>
    <row r="51" spans="1:2">
      <c r="A51" s="29">
        <v>22</v>
      </c>
      <c r="B51" s="29" t="s">
        <v>159</v>
      </c>
    </row>
    <row r="52" spans="1:2">
      <c r="A52" s="29">
        <v>21</v>
      </c>
      <c r="B52" s="29" t="s">
        <v>160</v>
      </c>
    </row>
    <row r="53" spans="1:2">
      <c r="A53" s="29">
        <v>20</v>
      </c>
      <c r="B53" s="29" t="s">
        <v>161</v>
      </c>
    </row>
    <row r="54" spans="1:2">
      <c r="A54" s="29">
        <v>19</v>
      </c>
      <c r="B54" s="29" t="s">
        <v>162</v>
      </c>
    </row>
    <row r="55" spans="1:2">
      <c r="A55" s="29">
        <v>18</v>
      </c>
      <c r="B55" s="29" t="s">
        <v>163</v>
      </c>
    </row>
    <row r="56" spans="1:2">
      <c r="A56" s="29">
        <v>17</v>
      </c>
      <c r="B56" s="29" t="s">
        <v>164</v>
      </c>
    </row>
    <row r="57" spans="1:2">
      <c r="A57" s="29">
        <v>16</v>
      </c>
    </row>
    <row r="58" spans="1:2">
      <c r="A58" s="29">
        <v>15</v>
      </c>
    </row>
    <row r="59" spans="1:2">
      <c r="A59" s="29">
        <v>14</v>
      </c>
    </row>
    <row r="60" spans="1:2">
      <c r="A60" s="29">
        <v>13</v>
      </c>
    </row>
    <row r="61" spans="1:2">
      <c r="A61" s="29">
        <v>12</v>
      </c>
    </row>
    <row r="62" spans="1:2">
      <c r="A62" s="29">
        <v>11</v>
      </c>
    </row>
    <row r="63" spans="1:2">
      <c r="A63" s="29">
        <v>10</v>
      </c>
    </row>
    <row r="64" spans="1:2">
      <c r="A64" s="29">
        <v>9</v>
      </c>
    </row>
    <row r="65" spans="1:1">
      <c r="A65" s="29">
        <v>8</v>
      </c>
    </row>
    <row r="66" spans="1:1">
      <c r="A66" s="29">
        <v>7</v>
      </c>
    </row>
    <row r="67" spans="1:1">
      <c r="A67" s="29">
        <v>6</v>
      </c>
    </row>
    <row r="68" spans="1:1">
      <c r="A68" s="29">
        <v>5</v>
      </c>
    </row>
    <row r="69" spans="1:1">
      <c r="A69" s="29">
        <v>4</v>
      </c>
    </row>
    <row r="70" spans="1:1">
      <c r="A70" s="29">
        <v>3</v>
      </c>
    </row>
    <row r="71" spans="1:1">
      <c r="A71" s="29">
        <v>2</v>
      </c>
    </row>
    <row r="72" spans="1:1">
      <c r="A72" s="29">
        <v>1</v>
      </c>
    </row>
  </sheetData>
  <sortState ref="A40:G72">
    <sortCondition descending="1" ref="A40:A72"/>
  </sortState>
  <mergeCells count="1">
    <mergeCell ref="A10:C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zoomScale="115" zoomScaleNormal="115" workbookViewId="0">
      <pane xSplit="5" ySplit="3" topLeftCell="P16" activePane="bottomRight" state="frozen"/>
      <selection pane="topRight" activeCell="F1" sqref="F1"/>
      <selection pane="bottomLeft" activeCell="A3" sqref="A3"/>
      <selection pane="bottomRight" activeCell="E31" sqref="E31"/>
    </sheetView>
  </sheetViews>
  <sheetFormatPr defaultColWidth="19.77734375" defaultRowHeight="13.8"/>
  <cols>
    <col min="1" max="1" width="17.88671875" style="2" customWidth="1"/>
    <col min="2" max="2" width="16.21875" style="2" customWidth="1"/>
    <col min="3" max="3" width="18.6640625" style="2" customWidth="1"/>
    <col min="4" max="4" width="14.21875" style="7" customWidth="1"/>
    <col min="5" max="5" width="13.88671875" style="26" customWidth="1"/>
    <col min="6" max="6" width="16" style="10" customWidth="1"/>
    <col min="7" max="7" width="10.44140625" style="11" customWidth="1"/>
    <col min="8" max="8" width="10.88671875" style="10" customWidth="1"/>
    <col min="9" max="9" width="22" style="11" customWidth="1"/>
    <col min="10" max="10" width="19.77734375" style="8" customWidth="1"/>
    <col min="11" max="12" width="19.77734375" style="2" customWidth="1"/>
    <col min="13" max="13" width="13.109375" style="2" customWidth="1"/>
    <col min="14" max="16384" width="19.77734375" style="2"/>
  </cols>
  <sheetData>
    <row r="1" spans="1:20">
      <c r="E1" s="65"/>
      <c r="F1" s="66"/>
      <c r="G1" s="67"/>
      <c r="H1" s="66"/>
      <c r="I1" s="67"/>
      <c r="J1" s="100" t="s">
        <v>97</v>
      </c>
      <c r="K1" s="101"/>
      <c r="L1" s="101"/>
      <c r="M1" s="101"/>
      <c r="N1" s="101"/>
      <c r="O1" s="102"/>
      <c r="P1" s="103" t="s">
        <v>98</v>
      </c>
      <c r="Q1" s="101"/>
      <c r="R1" s="101"/>
      <c r="S1" s="101"/>
      <c r="T1" s="102"/>
    </row>
    <row r="2" spans="1:20">
      <c r="A2" s="1" t="s">
        <v>0</v>
      </c>
      <c r="B2" s="1"/>
      <c r="C2" s="1"/>
      <c r="D2" s="6"/>
      <c r="E2" s="24"/>
      <c r="F2" s="107">
        <v>0</v>
      </c>
      <c r="G2" s="108"/>
      <c r="H2" s="107">
        <v>1</v>
      </c>
      <c r="I2" s="108"/>
      <c r="J2" s="8">
        <v>2</v>
      </c>
      <c r="L2" s="2">
        <v>3</v>
      </c>
      <c r="N2" s="2">
        <v>4</v>
      </c>
      <c r="P2" s="2">
        <v>1</v>
      </c>
    </row>
    <row r="3" spans="1:20" ht="13.95" customHeight="1">
      <c r="A3" s="1" t="s">
        <v>34</v>
      </c>
      <c r="B3" s="1"/>
      <c r="C3" s="1"/>
      <c r="D3" s="6"/>
      <c r="E3" s="25"/>
      <c r="F3" s="100" t="s">
        <v>37</v>
      </c>
      <c r="G3" s="109"/>
      <c r="H3" s="100" t="s">
        <v>36</v>
      </c>
      <c r="I3" s="109"/>
      <c r="J3" s="100" t="s">
        <v>35</v>
      </c>
      <c r="K3" s="102"/>
      <c r="L3" s="2" t="s">
        <v>41</v>
      </c>
      <c r="N3" s="2" t="s">
        <v>48</v>
      </c>
      <c r="P3" s="2" t="s">
        <v>100</v>
      </c>
    </row>
    <row r="4" spans="1:20">
      <c r="A4" s="1" t="s">
        <v>1</v>
      </c>
      <c r="B4" s="1"/>
      <c r="C4" s="1" t="s">
        <v>5</v>
      </c>
      <c r="D4" s="6"/>
      <c r="E4" s="25"/>
      <c r="I4" s="11" t="s">
        <v>27</v>
      </c>
      <c r="J4" s="8" t="s">
        <v>33</v>
      </c>
      <c r="L4" s="8" t="s">
        <v>33</v>
      </c>
      <c r="N4" s="8" t="s">
        <v>47</v>
      </c>
      <c r="P4" s="2" t="s">
        <v>99</v>
      </c>
    </row>
    <row r="5" spans="1:20">
      <c r="A5" s="1" t="s">
        <v>2</v>
      </c>
      <c r="B5" s="1"/>
      <c r="C5" s="1">
        <v>100</v>
      </c>
      <c r="D5" s="6"/>
      <c r="E5" s="25"/>
      <c r="I5" s="11">
        <v>1</v>
      </c>
      <c r="J5" s="8">
        <v>1</v>
      </c>
      <c r="L5" s="2">
        <v>100</v>
      </c>
      <c r="N5" s="2">
        <v>100</v>
      </c>
      <c r="P5" s="2">
        <v>1</v>
      </c>
    </row>
    <row r="6" spans="1:20" ht="56.4" customHeight="1">
      <c r="A6" s="1" t="s">
        <v>3</v>
      </c>
      <c r="B6" s="1"/>
      <c r="C6" s="1" t="s">
        <v>6</v>
      </c>
      <c r="D6" s="6"/>
      <c r="E6" s="25"/>
      <c r="I6" s="11" t="s">
        <v>28</v>
      </c>
      <c r="P6" s="1" t="s">
        <v>6</v>
      </c>
    </row>
    <row r="7" spans="1:20">
      <c r="A7" s="1" t="s">
        <v>4</v>
      </c>
      <c r="B7" s="1"/>
      <c r="C7" s="1"/>
      <c r="D7" s="6" t="s">
        <v>23</v>
      </c>
      <c r="E7" s="25"/>
      <c r="I7" s="11">
        <v>298795</v>
      </c>
      <c r="J7" s="8">
        <v>298795</v>
      </c>
      <c r="L7" s="2">
        <v>1808</v>
      </c>
      <c r="N7" s="2">
        <v>1768</v>
      </c>
    </row>
    <row r="8" spans="1:20">
      <c r="A8" s="46"/>
      <c r="B8" s="1" t="s">
        <v>69</v>
      </c>
      <c r="C8" s="1" t="s">
        <v>70</v>
      </c>
      <c r="D8" s="6" t="s">
        <v>71</v>
      </c>
      <c r="E8" s="6" t="s">
        <v>72</v>
      </c>
      <c r="N8" s="2" t="s">
        <v>73</v>
      </c>
      <c r="O8" s="2" t="s">
        <v>74</v>
      </c>
    </row>
    <row r="9" spans="1:20">
      <c r="A9" s="104" t="s">
        <v>14</v>
      </c>
      <c r="B9" s="1" t="s">
        <v>7</v>
      </c>
      <c r="D9" s="6"/>
      <c r="E9" s="25"/>
      <c r="F9" s="12">
        <v>2207681</v>
      </c>
      <c r="H9" s="10">
        <v>2439312</v>
      </c>
      <c r="J9" s="20">
        <v>806671</v>
      </c>
      <c r="L9" s="2">
        <v>806519</v>
      </c>
      <c r="N9" s="2">
        <v>1203839</v>
      </c>
      <c r="P9" s="2">
        <v>1101607</v>
      </c>
    </row>
    <row r="10" spans="1:20">
      <c r="A10" s="105"/>
      <c r="B10" s="1" t="s">
        <v>12</v>
      </c>
      <c r="F10" s="10">
        <v>1673091</v>
      </c>
      <c r="G10" s="13">
        <f>F10/F9</f>
        <v>0.75784997923160091</v>
      </c>
      <c r="H10" s="10">
        <v>1691086</v>
      </c>
      <c r="J10" s="8">
        <v>20841</v>
      </c>
      <c r="N10" s="2">
        <v>21050</v>
      </c>
      <c r="O10" s="2">
        <f>N10/N9*100</f>
        <v>1.7485726911987398</v>
      </c>
    </row>
    <row r="11" spans="1:20">
      <c r="A11" s="105"/>
      <c r="B11" s="1"/>
      <c r="C11" s="4" t="s">
        <v>15</v>
      </c>
      <c r="F11" s="21">
        <v>1383705</v>
      </c>
      <c r="G11" s="11">
        <f>F11/F10</f>
        <v>0.82703511046320854</v>
      </c>
      <c r="H11" s="10">
        <v>1401494</v>
      </c>
      <c r="J11" s="8">
        <v>19815</v>
      </c>
      <c r="P11" s="3">
        <v>745</v>
      </c>
    </row>
    <row r="12" spans="1:20">
      <c r="A12" s="105"/>
      <c r="B12" s="1"/>
      <c r="C12" s="3"/>
      <c r="D12" s="11" t="s">
        <v>38</v>
      </c>
      <c r="F12" s="14"/>
      <c r="J12" s="8">
        <v>19250</v>
      </c>
    </row>
    <row r="13" spans="1:20">
      <c r="A13" s="105"/>
      <c r="B13" s="1"/>
      <c r="C13" s="3"/>
      <c r="E13" s="19" t="s">
        <v>29</v>
      </c>
      <c r="H13" s="14">
        <v>6429</v>
      </c>
      <c r="I13" s="2"/>
      <c r="J13" s="23">
        <v>6660</v>
      </c>
    </row>
    <row r="14" spans="1:20">
      <c r="A14" s="105"/>
      <c r="B14" s="1"/>
      <c r="C14" s="3"/>
      <c r="E14" s="19" t="s">
        <v>30</v>
      </c>
      <c r="H14" s="15">
        <v>1424</v>
      </c>
      <c r="J14" s="8">
        <v>1419</v>
      </c>
    </row>
    <row r="15" spans="1:20">
      <c r="A15" s="105"/>
      <c r="B15" s="1"/>
      <c r="C15" s="3"/>
      <c r="D15" s="19"/>
      <c r="E15" s="27"/>
      <c r="H15" s="15"/>
    </row>
    <row r="16" spans="1:20">
      <c r="A16" s="105"/>
      <c r="B16" s="1"/>
      <c r="C16" s="2" t="s">
        <v>16</v>
      </c>
      <c r="F16" s="10">
        <v>219671</v>
      </c>
      <c r="G16" s="11">
        <f>F16/F10</f>
        <v>0.13129650449377828</v>
      </c>
      <c r="H16" s="15">
        <v>219319</v>
      </c>
      <c r="J16" s="20">
        <v>1006</v>
      </c>
      <c r="P16" s="3">
        <v>6041</v>
      </c>
    </row>
    <row r="17" spans="1:16">
      <c r="A17" s="105"/>
      <c r="B17" s="1"/>
      <c r="C17" s="1"/>
      <c r="D17" s="6"/>
      <c r="E17" s="25"/>
    </row>
    <row r="18" spans="1:16">
      <c r="A18" s="105"/>
      <c r="B18" s="1" t="s">
        <v>10</v>
      </c>
      <c r="F18" s="15">
        <v>427284</v>
      </c>
      <c r="G18" s="13">
        <f>427284/F9</f>
        <v>0.1935442665856163</v>
      </c>
      <c r="H18" s="10">
        <v>434444</v>
      </c>
      <c r="J18" s="28">
        <v>470319</v>
      </c>
      <c r="K18" s="3">
        <f>J18/J9</f>
        <v>0.58303695062795113</v>
      </c>
      <c r="N18" s="2">
        <v>477691</v>
      </c>
      <c r="O18" s="47">
        <f>N18/N9*100</f>
        <v>39.680638357787046</v>
      </c>
      <c r="P18" s="2">
        <v>540989</v>
      </c>
    </row>
    <row r="19" spans="1:16">
      <c r="A19" s="105"/>
      <c r="B19" s="1"/>
      <c r="C19" s="2" t="s">
        <v>17</v>
      </c>
      <c r="F19" s="15">
        <v>9966</v>
      </c>
      <c r="G19" s="11">
        <f>F19/F18</f>
        <v>2.332406549274019E-2</v>
      </c>
      <c r="H19" s="10" t="s">
        <v>31</v>
      </c>
      <c r="J19" s="8">
        <v>10227</v>
      </c>
      <c r="K19" s="4">
        <v>0.75</v>
      </c>
      <c r="P19" s="2">
        <v>10023</v>
      </c>
    </row>
    <row r="20" spans="1:16">
      <c r="A20" s="105"/>
      <c r="B20" s="1"/>
      <c r="C20" s="2" t="s">
        <v>39</v>
      </c>
      <c r="F20" s="15"/>
      <c r="K20" s="2">
        <v>0.193</v>
      </c>
    </row>
    <row r="21" spans="1:16">
      <c r="A21" s="105"/>
      <c r="B21" s="1"/>
      <c r="C21" s="2" t="s">
        <v>40</v>
      </c>
      <c r="F21" s="15"/>
      <c r="K21" s="2">
        <v>3.6999999999999998E-2</v>
      </c>
    </row>
    <row r="22" spans="1:16">
      <c r="A22" s="105"/>
      <c r="B22" s="1" t="s">
        <v>13</v>
      </c>
      <c r="F22" s="16">
        <v>88906</v>
      </c>
      <c r="G22" s="13">
        <f>88906/F9</f>
        <v>4.0271216720169263E-2</v>
      </c>
      <c r="J22" s="8">
        <v>174488</v>
      </c>
      <c r="K22" s="3">
        <f>J22/J9</f>
        <v>0.21630627604066591</v>
      </c>
      <c r="N22" s="2">
        <v>176625</v>
      </c>
      <c r="O22" s="2">
        <f>N22/N9*100</f>
        <v>14.671812426744774</v>
      </c>
      <c r="P22" s="3">
        <v>10849</v>
      </c>
    </row>
    <row r="23" spans="1:16">
      <c r="A23" s="105"/>
      <c r="B23" s="1"/>
      <c r="C23" s="2" t="s">
        <v>18</v>
      </c>
      <c r="F23" s="21">
        <v>52482</v>
      </c>
      <c r="G23" s="11">
        <f>F23/F22</f>
        <v>0.59030886554338291</v>
      </c>
      <c r="J23" s="8">
        <v>58886</v>
      </c>
      <c r="K23" s="2">
        <f>J23/J22</f>
        <v>0.33747879510338818</v>
      </c>
    </row>
    <row r="24" spans="1:16">
      <c r="A24" s="105"/>
      <c r="B24" s="1"/>
      <c r="D24" s="7" t="s">
        <v>43</v>
      </c>
      <c r="F24" s="21"/>
      <c r="J24" s="8">
        <v>7501</v>
      </c>
      <c r="K24" s="2">
        <f>J24*6/J23</f>
        <v>0.76429032367625582</v>
      </c>
    </row>
    <row r="25" spans="1:16" ht="27.6">
      <c r="A25" s="105"/>
      <c r="B25" s="1"/>
      <c r="E25" s="7" t="s">
        <v>42</v>
      </c>
      <c r="F25" s="21"/>
      <c r="J25" s="8">
        <v>6756</v>
      </c>
      <c r="K25" s="3">
        <f>J25/J24</f>
        <v>0.90067990934542064</v>
      </c>
    </row>
    <row r="26" spans="1:16">
      <c r="A26" s="105"/>
      <c r="B26" s="1"/>
      <c r="C26" s="2" t="s">
        <v>19</v>
      </c>
      <c r="F26" s="17">
        <v>18793</v>
      </c>
      <c r="J26" s="20">
        <v>18589</v>
      </c>
      <c r="K26" s="2">
        <f>J26*6/J22</f>
        <v>0.63920728072990696</v>
      </c>
    </row>
    <row r="27" spans="1:16">
      <c r="A27" s="105"/>
      <c r="B27" s="1"/>
      <c r="C27" s="2" t="s">
        <v>20</v>
      </c>
      <c r="F27" s="21">
        <v>3249</v>
      </c>
      <c r="G27" s="18"/>
      <c r="J27" s="20">
        <v>18589</v>
      </c>
    </row>
    <row r="28" spans="1:16">
      <c r="A28" s="105"/>
      <c r="B28" s="1" t="s">
        <v>9</v>
      </c>
      <c r="F28" s="10">
        <v>10902</v>
      </c>
      <c r="G28" s="13">
        <f>10902/F9</f>
        <v>4.9382134465984894E-3</v>
      </c>
      <c r="J28" s="8">
        <v>11312</v>
      </c>
      <c r="K28" s="2">
        <f>J28/J9</f>
        <v>1.4023065165352417E-2</v>
      </c>
      <c r="N28" s="8">
        <v>11312</v>
      </c>
      <c r="O28" s="2">
        <f>N28/N9*100</f>
        <v>0.93966053600190724</v>
      </c>
      <c r="P28" s="2">
        <v>3678</v>
      </c>
    </row>
    <row r="29" spans="1:16">
      <c r="A29" s="105"/>
      <c r="B29" s="1"/>
      <c r="C29" s="2" t="s">
        <v>21</v>
      </c>
      <c r="F29" s="10">
        <v>6816</v>
      </c>
      <c r="G29" s="11">
        <f>F29/F28</f>
        <v>0.62520638414969731</v>
      </c>
      <c r="J29" s="8">
        <v>6819</v>
      </c>
      <c r="N29" s="2">
        <v>11719</v>
      </c>
    </row>
    <row r="30" spans="1:16">
      <c r="A30" s="105"/>
      <c r="B30" s="1"/>
      <c r="C30" s="2" t="s">
        <v>22</v>
      </c>
      <c r="F30" s="10">
        <v>760</v>
      </c>
      <c r="J30" s="8">
        <v>761</v>
      </c>
    </row>
    <row r="31" spans="1:16">
      <c r="A31" s="105"/>
      <c r="B31" s="1" t="s">
        <v>8</v>
      </c>
      <c r="F31" s="10">
        <v>2496</v>
      </c>
      <c r="G31" s="13">
        <f>2496/F9</f>
        <v>1.1305981253632205E-3</v>
      </c>
      <c r="J31" s="8">
        <v>2797</v>
      </c>
      <c r="K31" s="2">
        <f>J31/J9</f>
        <v>3.4673367457116965E-3</v>
      </c>
      <c r="N31" s="2">
        <v>2961</v>
      </c>
      <c r="O31" s="2">
        <f>N31/N9*100</f>
        <v>0.24596312297574677</v>
      </c>
    </row>
    <row r="32" spans="1:16">
      <c r="A32" s="106"/>
      <c r="B32" s="1" t="s">
        <v>11</v>
      </c>
      <c r="F32" s="10" t="s">
        <v>32</v>
      </c>
      <c r="H32" s="12">
        <v>121931</v>
      </c>
      <c r="I32" s="13">
        <f>H32/F9</f>
        <v>5.5230352573582865E-2</v>
      </c>
      <c r="J32" s="8">
        <v>121619</v>
      </c>
      <c r="K32" s="2">
        <f>J32/J9</f>
        <v>0.15076654546897061</v>
      </c>
      <c r="N32" s="2">
        <v>507456</v>
      </c>
      <c r="O32" s="47">
        <f>N32/N9*100</f>
        <v>42.153145063417945</v>
      </c>
      <c r="P32" s="2">
        <v>518399</v>
      </c>
    </row>
    <row r="33" spans="1:14">
      <c r="A33" s="5"/>
      <c r="B33" s="1"/>
      <c r="C33" s="2" t="s">
        <v>25</v>
      </c>
      <c r="H33" s="10">
        <v>33555</v>
      </c>
      <c r="J33" s="9">
        <v>33586</v>
      </c>
      <c r="K33" s="1"/>
      <c r="N33" s="2">
        <v>44581</v>
      </c>
    </row>
    <row r="34" spans="1:14">
      <c r="A34" s="5"/>
      <c r="B34" s="1"/>
      <c r="C34" s="2" t="s">
        <v>26</v>
      </c>
      <c r="H34" s="10">
        <v>21655</v>
      </c>
      <c r="J34" s="9">
        <v>21600</v>
      </c>
      <c r="K34" s="1"/>
      <c r="N34" s="2">
        <v>114849</v>
      </c>
    </row>
    <row r="35" spans="1:14" ht="13.95" customHeight="1">
      <c r="A35" s="5"/>
      <c r="D35" s="7" t="s">
        <v>44</v>
      </c>
      <c r="I35" s="13"/>
      <c r="J35" s="9"/>
      <c r="K35" s="1"/>
      <c r="N35" s="10">
        <v>7094</v>
      </c>
    </row>
    <row r="36" spans="1:14">
      <c r="A36" s="5"/>
      <c r="E36" s="26" t="s">
        <v>45</v>
      </c>
      <c r="I36" s="13"/>
      <c r="J36" s="9"/>
      <c r="K36" s="1"/>
      <c r="N36" s="10">
        <v>362</v>
      </c>
    </row>
    <row r="37" spans="1:14">
      <c r="A37" s="5"/>
      <c r="E37" s="25" t="s">
        <v>46</v>
      </c>
      <c r="I37" s="13"/>
      <c r="J37" s="9"/>
      <c r="K37" s="1"/>
      <c r="N37" s="10">
        <v>689</v>
      </c>
    </row>
    <row r="38" spans="1:14">
      <c r="A38" s="104" t="s">
        <v>24</v>
      </c>
      <c r="B38" s="1" t="s">
        <v>7</v>
      </c>
      <c r="D38" s="6"/>
      <c r="E38" s="2"/>
      <c r="L38" s="2">
        <v>30.434922</v>
      </c>
      <c r="N38" s="2">
        <v>74.7</v>
      </c>
    </row>
    <row r="39" spans="1:14">
      <c r="A39" s="105"/>
      <c r="B39" s="1" t="s">
        <v>12</v>
      </c>
      <c r="L39" s="2">
        <v>1.5</v>
      </c>
      <c r="M39" s="2">
        <f>L39/L38</f>
        <v>4.9285488558176688E-2</v>
      </c>
      <c r="N39" s="2">
        <v>1.4</v>
      </c>
    </row>
    <row r="40" spans="1:14">
      <c r="A40" s="105"/>
      <c r="B40" s="1"/>
      <c r="C40" s="4" t="s">
        <v>15</v>
      </c>
    </row>
    <row r="41" spans="1:14">
      <c r="A41" s="105"/>
      <c r="B41" s="1"/>
      <c r="C41" s="3"/>
      <c r="D41" s="11" t="s">
        <v>38</v>
      </c>
    </row>
    <row r="42" spans="1:14">
      <c r="A42" s="105"/>
      <c r="B42" s="1"/>
      <c r="C42" s="3"/>
      <c r="E42" s="19" t="s">
        <v>29</v>
      </c>
    </row>
    <row r="43" spans="1:14">
      <c r="A43" s="105"/>
      <c r="B43" s="1"/>
      <c r="C43" s="3"/>
      <c r="E43" s="19" t="s">
        <v>30</v>
      </c>
    </row>
    <row r="44" spans="1:14">
      <c r="A44" s="105"/>
      <c r="B44" s="1"/>
      <c r="C44" s="3"/>
      <c r="D44" s="19"/>
      <c r="E44" s="27"/>
    </row>
    <row r="45" spans="1:14">
      <c r="A45" s="105"/>
      <c r="B45" s="1"/>
      <c r="C45" s="2" t="s">
        <v>16</v>
      </c>
    </row>
    <row r="46" spans="1:14">
      <c r="A46" s="105"/>
      <c r="B46" s="1"/>
      <c r="C46" s="1"/>
      <c r="D46" s="6"/>
      <c r="E46" s="25"/>
    </row>
    <row r="47" spans="1:14">
      <c r="A47" s="105"/>
      <c r="B47" s="1" t="s">
        <v>10</v>
      </c>
      <c r="L47" s="2">
        <v>7.2</v>
      </c>
      <c r="M47" s="2">
        <f>L47/L38</f>
        <v>0.23657034507924812</v>
      </c>
      <c r="N47" s="2">
        <v>4.3</v>
      </c>
    </row>
    <row r="48" spans="1:14">
      <c r="A48" s="106"/>
      <c r="B48" s="1"/>
      <c r="C48" s="2" t="s">
        <v>17</v>
      </c>
    </row>
    <row r="49" spans="2:15">
      <c r="B49" s="1"/>
      <c r="C49" s="2" t="s">
        <v>39</v>
      </c>
    </row>
    <row r="50" spans="2:15">
      <c r="B50" s="1"/>
      <c r="C50" s="2" t="s">
        <v>40</v>
      </c>
    </row>
    <row r="51" spans="2:15">
      <c r="B51" s="1" t="s">
        <v>13</v>
      </c>
      <c r="L51" s="2">
        <v>12.7</v>
      </c>
      <c r="M51" s="22">
        <f>L51/L38</f>
        <v>0.41728380312589597</v>
      </c>
      <c r="N51" s="2">
        <v>8.6</v>
      </c>
    </row>
    <row r="52" spans="2:15">
      <c r="B52" s="1"/>
      <c r="C52" s="2" t="s">
        <v>18</v>
      </c>
    </row>
    <row r="53" spans="2:15">
      <c r="B53" s="1"/>
      <c r="C53" s="2" t="s">
        <v>19</v>
      </c>
    </row>
    <row r="54" spans="2:15">
      <c r="B54" s="1"/>
      <c r="C54" s="2" t="s">
        <v>20</v>
      </c>
    </row>
    <row r="55" spans="2:15">
      <c r="B55" s="1" t="s">
        <v>9</v>
      </c>
      <c r="L55" s="2">
        <v>0.69</v>
      </c>
      <c r="N55" s="2">
        <v>0.5</v>
      </c>
    </row>
    <row r="56" spans="2:15">
      <c r="B56" s="1"/>
      <c r="C56" s="2" t="s">
        <v>21</v>
      </c>
    </row>
    <row r="57" spans="2:15">
      <c r="B57" s="1"/>
      <c r="C57" s="2" t="s">
        <v>22</v>
      </c>
    </row>
    <row r="58" spans="2:15">
      <c r="B58" s="1" t="s">
        <v>8</v>
      </c>
      <c r="L58" s="2">
        <v>0.1</v>
      </c>
      <c r="N58" s="2">
        <v>6.7000000000000004E-2</v>
      </c>
    </row>
    <row r="59" spans="2:15">
      <c r="B59" s="1" t="s">
        <v>11</v>
      </c>
      <c r="L59" s="2">
        <v>6.9</v>
      </c>
      <c r="M59" s="2">
        <f>L59/L38</f>
        <v>0.22671324736761278</v>
      </c>
      <c r="N59" s="2">
        <v>59.2</v>
      </c>
      <c r="O59" s="3">
        <f>N59/N38</f>
        <v>0.79250334672021416</v>
      </c>
    </row>
    <row r="60" spans="2:15">
      <c r="O60" s="2" t="s">
        <v>49</v>
      </c>
    </row>
  </sheetData>
  <mergeCells count="9">
    <mergeCell ref="J1:O1"/>
    <mergeCell ref="P1:T1"/>
    <mergeCell ref="J3:K3"/>
    <mergeCell ref="A9:A32"/>
    <mergeCell ref="A38:A48"/>
    <mergeCell ref="F2:G2"/>
    <mergeCell ref="H2:I2"/>
    <mergeCell ref="F3:G3"/>
    <mergeCell ref="H3:I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3"/>
  <sheetViews>
    <sheetView zoomScaleNormal="100" workbookViewId="0">
      <selection activeCell="O5" sqref="O5"/>
    </sheetView>
  </sheetViews>
  <sheetFormatPr defaultRowHeight="13.8"/>
  <cols>
    <col min="1" max="1" width="13.5546875" customWidth="1"/>
    <col min="2" max="4" width="11.21875" customWidth="1"/>
    <col min="5" max="5" width="15.33203125" customWidth="1"/>
    <col min="8" max="8" width="12.21875" customWidth="1"/>
    <col min="11" max="11" width="12.77734375" customWidth="1"/>
  </cols>
  <sheetData>
    <row r="1" spans="1:20">
      <c r="A1" t="s">
        <v>80</v>
      </c>
      <c r="B1" t="s">
        <v>84</v>
      </c>
      <c r="C1" t="s">
        <v>85</v>
      </c>
      <c r="D1" t="s">
        <v>116</v>
      </c>
      <c r="E1" t="s">
        <v>82</v>
      </c>
      <c r="F1" t="s">
        <v>115</v>
      </c>
    </row>
    <row r="2" spans="1:20">
      <c r="A2" t="s">
        <v>81</v>
      </c>
      <c r="B2">
        <v>2048</v>
      </c>
      <c r="C2">
        <v>1</v>
      </c>
      <c r="D2">
        <f>B2*C2/8192</f>
        <v>0.25</v>
      </c>
      <c r="E2">
        <v>6750</v>
      </c>
      <c r="F2">
        <f>(B2*C2)/E2</f>
        <v>0.3034074074074074</v>
      </c>
    </row>
    <row r="3" spans="1:20">
      <c r="A3" t="s">
        <v>83</v>
      </c>
      <c r="B3">
        <v>32</v>
      </c>
      <c r="C3">
        <v>16</v>
      </c>
      <c r="D3">
        <f t="shared" ref="D3:D17" si="0">B3*C3/8192</f>
        <v>6.25E-2</v>
      </c>
      <c r="E3">
        <v>2762</v>
      </c>
      <c r="F3">
        <f t="shared" ref="F3:F17" si="1">(B3*C3)/E3</f>
        <v>0.18537291817523532</v>
      </c>
    </row>
    <row r="4" spans="1:20">
      <c r="A4" t="s">
        <v>83</v>
      </c>
      <c r="B4">
        <v>32</v>
      </c>
      <c r="C4">
        <v>128</v>
      </c>
      <c r="D4">
        <f t="shared" si="0"/>
        <v>0.5</v>
      </c>
      <c r="E4">
        <v>15180</v>
      </c>
      <c r="F4">
        <f t="shared" si="1"/>
        <v>0.26982872200263502</v>
      </c>
    </row>
    <row r="5" spans="1:20">
      <c r="A5" t="s">
        <v>83</v>
      </c>
      <c r="B5">
        <v>64</v>
      </c>
      <c r="C5">
        <v>128</v>
      </c>
      <c r="D5">
        <f t="shared" si="0"/>
        <v>1</v>
      </c>
      <c r="E5">
        <v>15867</v>
      </c>
      <c r="F5">
        <f t="shared" si="1"/>
        <v>0.51629167454465241</v>
      </c>
    </row>
    <row r="6" spans="1:20">
      <c r="A6" t="s">
        <v>83</v>
      </c>
      <c r="B6">
        <v>64</v>
      </c>
      <c r="C6">
        <v>64</v>
      </c>
      <c r="D6">
        <f t="shared" si="0"/>
        <v>0.5</v>
      </c>
      <c r="E6">
        <v>8451</v>
      </c>
      <c r="F6">
        <f t="shared" si="1"/>
        <v>0.48467636966039523</v>
      </c>
    </row>
    <row r="7" spans="1:20">
      <c r="A7" t="s">
        <v>83</v>
      </c>
      <c r="B7">
        <v>128</v>
      </c>
      <c r="C7">
        <v>64</v>
      </c>
      <c r="D7">
        <f t="shared" si="0"/>
        <v>1</v>
      </c>
      <c r="E7">
        <v>9182</v>
      </c>
      <c r="F7">
        <f t="shared" si="1"/>
        <v>0.89218035286429975</v>
      </c>
    </row>
    <row r="8" spans="1:20">
      <c r="A8" t="s">
        <v>83</v>
      </c>
      <c r="B8">
        <v>4096</v>
      </c>
      <c r="C8">
        <v>128</v>
      </c>
      <c r="D8">
        <f t="shared" si="0"/>
        <v>64</v>
      </c>
      <c r="E8">
        <v>118814</v>
      </c>
      <c r="F8">
        <f t="shared" si="1"/>
        <v>4.4126786405642431</v>
      </c>
    </row>
    <row r="9" spans="1:20" ht="14.4" thickBot="1">
      <c r="A9" t="s">
        <v>114</v>
      </c>
      <c r="B9">
        <v>1024</v>
      </c>
      <c r="C9">
        <v>32</v>
      </c>
      <c r="D9">
        <f t="shared" si="0"/>
        <v>4</v>
      </c>
      <c r="E9">
        <v>8301</v>
      </c>
      <c r="F9">
        <f t="shared" si="1"/>
        <v>3.947476207685821</v>
      </c>
    </row>
    <row r="10" spans="1:20" ht="14.4" thickBot="1">
      <c r="A10" t="s">
        <v>114</v>
      </c>
      <c r="B10">
        <v>512</v>
      </c>
      <c r="C10">
        <v>64</v>
      </c>
      <c r="D10">
        <f t="shared" si="0"/>
        <v>4</v>
      </c>
      <c r="E10">
        <v>8726</v>
      </c>
      <c r="F10">
        <f t="shared" si="1"/>
        <v>3.7552143020857209</v>
      </c>
      <c r="H10" s="54"/>
      <c r="I10" s="111" t="s">
        <v>90</v>
      </c>
      <c r="J10" s="112"/>
      <c r="K10" s="113"/>
      <c r="L10" s="114" t="s">
        <v>92</v>
      </c>
      <c r="M10" s="115"/>
      <c r="N10" s="116"/>
      <c r="O10" s="114" t="s">
        <v>91</v>
      </c>
      <c r="P10" s="115"/>
      <c r="Q10" s="116"/>
      <c r="R10" s="56" t="s">
        <v>93</v>
      </c>
      <c r="S10" s="57"/>
      <c r="T10" s="58"/>
    </row>
    <row r="11" spans="1:20" ht="14.4" thickBot="1">
      <c r="A11" t="s">
        <v>114</v>
      </c>
      <c r="B11">
        <v>1024</v>
      </c>
      <c r="C11">
        <v>64</v>
      </c>
      <c r="D11">
        <f t="shared" si="0"/>
        <v>8</v>
      </c>
      <c r="E11">
        <v>14726</v>
      </c>
      <c r="F11">
        <f t="shared" si="1"/>
        <v>4.45035990764634</v>
      </c>
      <c r="H11" s="54"/>
      <c r="I11" s="88"/>
      <c r="J11" s="89"/>
      <c r="K11" s="90"/>
      <c r="L11" s="91"/>
      <c r="M11" s="92"/>
      <c r="N11" s="95"/>
      <c r="O11" s="91"/>
      <c r="P11" s="92"/>
      <c r="Q11" s="95"/>
      <c r="R11" s="56"/>
      <c r="S11" s="57"/>
      <c r="T11" s="94"/>
    </row>
    <row r="12" spans="1:20" ht="14.4" thickBot="1">
      <c r="A12" t="s">
        <v>114</v>
      </c>
      <c r="B12">
        <v>2048</v>
      </c>
      <c r="C12">
        <v>64</v>
      </c>
      <c r="D12">
        <f t="shared" si="0"/>
        <v>16</v>
      </c>
      <c r="E12">
        <v>27288</v>
      </c>
      <c r="F12">
        <f t="shared" si="1"/>
        <v>4.8032834945763705</v>
      </c>
      <c r="H12" s="54"/>
      <c r="I12" s="88"/>
      <c r="J12" s="89"/>
      <c r="K12" s="90"/>
      <c r="L12" s="91"/>
      <c r="M12" s="92"/>
      <c r="N12" s="95"/>
      <c r="O12" s="91"/>
      <c r="P12" s="92"/>
      <c r="Q12" s="95"/>
      <c r="R12" s="56"/>
      <c r="S12" s="57"/>
      <c r="T12" s="94"/>
    </row>
    <row r="13" spans="1:20">
      <c r="A13" t="s">
        <v>114</v>
      </c>
      <c r="B13">
        <v>256</v>
      </c>
      <c r="C13">
        <v>128</v>
      </c>
      <c r="D13">
        <f t="shared" si="0"/>
        <v>4</v>
      </c>
      <c r="E13">
        <v>10836</v>
      </c>
      <c r="F13">
        <f t="shared" si="1"/>
        <v>3.0239940937615355</v>
      </c>
      <c r="H13" s="54"/>
      <c r="I13" s="56" t="s">
        <v>86</v>
      </c>
      <c r="J13" s="57" t="s">
        <v>104</v>
      </c>
      <c r="K13" s="58" t="s">
        <v>95</v>
      </c>
      <c r="L13" s="56" t="s">
        <v>86</v>
      </c>
      <c r="M13" s="57" t="s">
        <v>104</v>
      </c>
      <c r="N13" s="60" t="s">
        <v>95</v>
      </c>
      <c r="O13" s="56" t="s">
        <v>86</v>
      </c>
      <c r="P13" s="57" t="s">
        <v>104</v>
      </c>
      <c r="Q13" s="60" t="s">
        <v>95</v>
      </c>
      <c r="R13" s="56" t="s">
        <v>86</v>
      </c>
      <c r="S13" s="57" t="s">
        <v>104</v>
      </c>
      <c r="T13" s="60" t="s">
        <v>95</v>
      </c>
    </row>
    <row r="14" spans="1:20">
      <c r="A14" t="s">
        <v>114</v>
      </c>
      <c r="B14">
        <v>512</v>
      </c>
      <c r="C14">
        <v>128</v>
      </c>
      <c r="D14">
        <f t="shared" si="0"/>
        <v>8</v>
      </c>
      <c r="E14">
        <v>16342</v>
      </c>
      <c r="F14" s="51">
        <f t="shared" si="1"/>
        <v>4.0102802594541673</v>
      </c>
      <c r="H14" s="54"/>
      <c r="I14" s="93"/>
      <c r="J14" s="55"/>
      <c r="K14" s="94"/>
      <c r="L14" s="93"/>
      <c r="M14" s="55"/>
      <c r="N14" s="60"/>
      <c r="O14" s="93"/>
      <c r="P14" s="55"/>
      <c r="Q14" s="60"/>
      <c r="R14" s="93"/>
      <c r="S14" s="55"/>
      <c r="T14" s="60"/>
    </row>
    <row r="15" spans="1:20">
      <c r="A15" t="s">
        <v>114</v>
      </c>
      <c r="B15">
        <v>1024</v>
      </c>
      <c r="C15">
        <v>128</v>
      </c>
      <c r="D15">
        <f t="shared" si="0"/>
        <v>16</v>
      </c>
      <c r="E15">
        <v>27577</v>
      </c>
      <c r="F15" s="52">
        <f t="shared" si="1"/>
        <v>4.7529462958262316</v>
      </c>
      <c r="H15" s="54"/>
      <c r="I15" s="93"/>
      <c r="J15" s="55"/>
      <c r="K15" s="94"/>
      <c r="L15" s="93"/>
      <c r="M15" s="55"/>
      <c r="N15" s="60"/>
      <c r="O15" s="93"/>
      <c r="P15" s="55"/>
      <c r="Q15" s="60"/>
      <c r="R15" s="93"/>
      <c r="S15" s="55"/>
      <c r="T15" s="60"/>
    </row>
    <row r="16" spans="1:20">
      <c r="A16" t="s">
        <v>114</v>
      </c>
      <c r="B16">
        <v>2048</v>
      </c>
      <c r="C16">
        <v>128</v>
      </c>
      <c r="D16">
        <f t="shared" si="0"/>
        <v>32</v>
      </c>
      <c r="E16">
        <v>51313</v>
      </c>
      <c r="F16">
        <f t="shared" si="1"/>
        <v>5.1087248845321849</v>
      </c>
      <c r="H16" s="54"/>
      <c r="I16" s="93"/>
      <c r="J16" s="55"/>
      <c r="K16" s="94"/>
      <c r="L16" s="93"/>
      <c r="M16" s="55"/>
      <c r="N16" s="60"/>
      <c r="O16" s="93"/>
      <c r="P16" s="55"/>
      <c r="Q16" s="60"/>
      <c r="R16" s="93"/>
      <c r="S16" s="55"/>
      <c r="T16" s="60"/>
    </row>
    <row r="17" spans="1:20">
      <c r="A17" t="s">
        <v>114</v>
      </c>
      <c r="B17">
        <v>128</v>
      </c>
      <c r="C17">
        <v>256</v>
      </c>
      <c r="D17">
        <f t="shared" si="0"/>
        <v>4</v>
      </c>
      <c r="E17">
        <v>9919</v>
      </c>
      <c r="F17">
        <f t="shared" si="1"/>
        <v>3.3035588264946063</v>
      </c>
      <c r="H17" s="54" t="s">
        <v>87</v>
      </c>
      <c r="I17" s="59">
        <v>1.5</v>
      </c>
      <c r="J17" s="53">
        <v>2.2000000000000002</v>
      </c>
      <c r="K17" s="60"/>
      <c r="L17" s="59">
        <v>1.5</v>
      </c>
      <c r="M17" s="53">
        <v>2.2000000000000002</v>
      </c>
      <c r="N17" s="60"/>
      <c r="O17" s="59">
        <v>1.5</v>
      </c>
      <c r="P17" s="53">
        <v>2.2000000000000002</v>
      </c>
      <c r="Q17" s="60"/>
      <c r="R17" s="59">
        <v>1.5</v>
      </c>
      <c r="S17" s="53">
        <v>2.2000000000000002</v>
      </c>
      <c r="T17" s="60"/>
    </row>
    <row r="18" spans="1:20">
      <c r="A18" t="s">
        <v>114</v>
      </c>
      <c r="H18" s="54" t="s">
        <v>102</v>
      </c>
      <c r="I18" s="59">
        <v>0.11</v>
      </c>
      <c r="J18" s="53"/>
      <c r="K18" s="60">
        <v>83</v>
      </c>
      <c r="L18" s="59">
        <v>0.17</v>
      </c>
      <c r="M18" s="53"/>
      <c r="N18" s="60">
        <f>K18*1.8</f>
        <v>149.4</v>
      </c>
      <c r="O18" s="59">
        <v>0.25</v>
      </c>
      <c r="P18" s="53"/>
      <c r="Q18" s="60">
        <f>K18*1.8</f>
        <v>149.4</v>
      </c>
      <c r="R18" s="59">
        <v>0.35</v>
      </c>
      <c r="S18" s="53"/>
      <c r="T18" s="60">
        <f>K18*1.5*1.8</f>
        <v>224.1</v>
      </c>
    </row>
    <row r="19" spans="1:20">
      <c r="A19" t="s">
        <v>114</v>
      </c>
      <c r="H19" s="54" t="s">
        <v>88</v>
      </c>
      <c r="I19" s="59">
        <f>I17-I18*2</f>
        <v>1.28</v>
      </c>
      <c r="J19" s="53">
        <f>J17-I18*2</f>
        <v>1.9800000000000002</v>
      </c>
      <c r="K19" s="60"/>
      <c r="L19" s="59">
        <f>L17-L18*2</f>
        <v>1.1599999999999999</v>
      </c>
      <c r="M19" s="53">
        <f>M17-L18*2</f>
        <v>1.86</v>
      </c>
      <c r="N19" s="60"/>
      <c r="O19" s="59">
        <f>O17-O18*2</f>
        <v>1</v>
      </c>
      <c r="P19" s="53">
        <f>P17-O18*2</f>
        <v>1.7000000000000002</v>
      </c>
      <c r="Q19" s="60"/>
      <c r="R19" s="59">
        <f>R17-R18*2</f>
        <v>0.8</v>
      </c>
      <c r="S19" s="53">
        <f>S17-R18*2</f>
        <v>1.5000000000000002</v>
      </c>
      <c r="T19" s="60"/>
    </row>
    <row r="20" spans="1:20" ht="14.4" thickBot="1">
      <c r="A20" t="s">
        <v>114</v>
      </c>
      <c r="H20" s="54" t="s">
        <v>94</v>
      </c>
      <c r="I20" s="61">
        <f>I19*J19/I17/J17</f>
        <v>0.76800000000000002</v>
      </c>
      <c r="J20" s="62"/>
      <c r="K20" s="63"/>
      <c r="L20" s="64">
        <f>L19*M19/L17/M17</f>
        <v>0.65381818181818174</v>
      </c>
      <c r="M20" s="62"/>
      <c r="N20" s="63"/>
      <c r="O20" s="61">
        <f>O19*P19/O17/P17</f>
        <v>0.51515151515151525</v>
      </c>
      <c r="P20" s="62"/>
      <c r="Q20" s="63"/>
      <c r="R20" s="61">
        <f>R19*S19/R17/S17</f>
        <v>0.3636363636363637</v>
      </c>
      <c r="S20" s="62"/>
      <c r="T20" s="63"/>
    </row>
    <row r="21" spans="1:20">
      <c r="A21" t="s">
        <v>114</v>
      </c>
      <c r="H21" s="53" t="s">
        <v>96</v>
      </c>
      <c r="I21" s="55">
        <f>K18/I19/J19</f>
        <v>32.749368686868685</v>
      </c>
      <c r="J21" s="55"/>
      <c r="K21" s="55"/>
      <c r="L21" s="55">
        <f>N18/L19/M19</f>
        <v>69.243604004449395</v>
      </c>
      <c r="M21" s="55"/>
      <c r="N21" s="55"/>
      <c r="O21" s="55">
        <f>Q18/O19/P19</f>
        <v>87.882352941176464</v>
      </c>
      <c r="P21" s="55"/>
      <c r="Q21" s="55"/>
      <c r="R21" s="55">
        <f>T18/R19/S19</f>
        <v>186.74999999999997</v>
      </c>
      <c r="S21" s="55"/>
      <c r="T21" s="55"/>
    </row>
    <row r="22" spans="1:20">
      <c r="A22" t="s">
        <v>114</v>
      </c>
      <c r="H22" s="68" t="s">
        <v>101</v>
      </c>
      <c r="I22" s="52"/>
      <c r="J22" s="52"/>
      <c r="K22" s="52">
        <f>K18/(I19+J19)/2</f>
        <v>12.730061349693251</v>
      </c>
      <c r="L22" s="52"/>
      <c r="M22" s="52"/>
      <c r="N22" s="52">
        <f>N18/(L19+M19)/2</f>
        <v>24.735099337748345</v>
      </c>
    </row>
    <row r="23" spans="1:20">
      <c r="H23" s="71" t="s">
        <v>87</v>
      </c>
      <c r="I23" s="70">
        <f>I25+I24*2</f>
        <v>1.52</v>
      </c>
      <c r="J23" s="70">
        <f>J25+I24*2</f>
        <v>1.52</v>
      </c>
      <c r="K23" s="70">
        <f>I23*J23</f>
        <v>2.3104</v>
      </c>
      <c r="L23" s="70">
        <f>L25+L24*2</f>
        <v>1.6400000000000001</v>
      </c>
      <c r="M23" s="70">
        <f>M25+L24*2</f>
        <v>1.6400000000000001</v>
      </c>
      <c r="N23" s="70">
        <f>L23*M23</f>
        <v>2.6896000000000004</v>
      </c>
    </row>
    <row r="24" spans="1:20">
      <c r="H24" s="71" t="s">
        <v>89</v>
      </c>
      <c r="I24" s="70">
        <v>0.11</v>
      </c>
      <c r="J24" s="70"/>
      <c r="K24" s="70">
        <f>K22*(I23+J23)*2</f>
        <v>77.398773006134974</v>
      </c>
      <c r="L24" s="70">
        <v>0.17</v>
      </c>
      <c r="M24" s="70"/>
      <c r="N24" s="70">
        <f>N22*(L23+M23)*2</f>
        <v>162.26225165562914</v>
      </c>
    </row>
    <row r="25" spans="1:20">
      <c r="H25" s="71" t="s">
        <v>88</v>
      </c>
      <c r="I25" s="70">
        <v>1.3</v>
      </c>
      <c r="J25" s="70">
        <v>1.3</v>
      </c>
      <c r="K25" s="70">
        <f>I25*J25</f>
        <v>1.6900000000000002</v>
      </c>
      <c r="L25" s="70">
        <v>1.3</v>
      </c>
      <c r="M25" s="70">
        <v>1.3</v>
      </c>
      <c r="N25" s="70"/>
    </row>
    <row r="26" spans="1:20">
      <c r="H26" s="71" t="s">
        <v>103</v>
      </c>
      <c r="I26" s="70"/>
      <c r="J26" s="70"/>
      <c r="K26" s="70">
        <f>I24*(I25+J25)*2</f>
        <v>0.57200000000000006</v>
      </c>
      <c r="L26" s="70"/>
      <c r="M26" s="70"/>
      <c r="N26" s="70">
        <f>L24*(L25+M25)*2</f>
        <v>0.88400000000000012</v>
      </c>
    </row>
    <row r="27" spans="1:20" ht="14.4" thickBot="1">
      <c r="H27" s="71" t="s">
        <v>94</v>
      </c>
      <c r="I27" s="70"/>
      <c r="J27" s="70"/>
      <c r="K27" s="70"/>
      <c r="L27" s="72">
        <f>L25*M25/L23/M23</f>
        <v>0.62834622248661509</v>
      </c>
      <c r="M27" s="70"/>
      <c r="N27" s="70"/>
    </row>
    <row r="28" spans="1:20">
      <c r="H28" s="73" t="s">
        <v>96</v>
      </c>
      <c r="I28" s="70"/>
      <c r="J28" s="70"/>
      <c r="K28" s="70"/>
      <c r="L28" s="74">
        <f>N24/L25/M25</f>
        <v>96.013166660135582</v>
      </c>
      <c r="M28" s="70"/>
      <c r="N28" s="70"/>
    </row>
    <row r="29" spans="1:20" ht="14.4" thickBot="1">
      <c r="H29" s="76"/>
      <c r="I29" s="70"/>
      <c r="J29" s="70"/>
      <c r="K29" s="70"/>
      <c r="L29" s="75"/>
      <c r="M29" s="70"/>
      <c r="N29" s="70"/>
    </row>
    <row r="30" spans="1:20">
      <c r="H30" s="56"/>
      <c r="I30" s="80" t="s">
        <v>90</v>
      </c>
      <c r="J30" s="80"/>
      <c r="K30" s="80"/>
      <c r="L30" s="110" t="s">
        <v>105</v>
      </c>
      <c r="M30" s="110"/>
      <c r="N30" s="110"/>
      <c r="O30" s="110" t="s">
        <v>91</v>
      </c>
      <c r="P30" s="110"/>
      <c r="Q30" s="110"/>
      <c r="R30" s="57" t="s">
        <v>93</v>
      </c>
      <c r="S30" s="57"/>
      <c r="T30" s="58"/>
    </row>
    <row r="31" spans="1:20">
      <c r="H31" s="59"/>
      <c r="I31" s="53" t="s">
        <v>86</v>
      </c>
      <c r="J31" s="53" t="s">
        <v>104</v>
      </c>
      <c r="K31" s="53" t="s">
        <v>106</v>
      </c>
      <c r="L31" s="53" t="s">
        <v>86</v>
      </c>
      <c r="M31" s="53" t="s">
        <v>104</v>
      </c>
      <c r="N31" s="53" t="s">
        <v>95</v>
      </c>
      <c r="O31" s="53" t="s">
        <v>86</v>
      </c>
      <c r="P31" s="53" t="s">
        <v>104</v>
      </c>
      <c r="Q31" s="53" t="s">
        <v>95</v>
      </c>
      <c r="R31" s="53" t="s">
        <v>86</v>
      </c>
      <c r="S31" s="53" t="s">
        <v>104</v>
      </c>
      <c r="T31" s="60" t="s">
        <v>95</v>
      </c>
    </row>
    <row r="32" spans="1:20">
      <c r="H32" s="79" t="s">
        <v>88</v>
      </c>
      <c r="I32" s="69">
        <v>1.7</v>
      </c>
      <c r="J32" s="69">
        <v>1</v>
      </c>
      <c r="K32" s="69">
        <v>0.11</v>
      </c>
      <c r="L32" s="69">
        <v>1.7</v>
      </c>
      <c r="M32" s="69">
        <v>1</v>
      </c>
      <c r="N32" s="69">
        <v>1.7</v>
      </c>
      <c r="O32" s="53"/>
      <c r="P32" s="53"/>
      <c r="Q32" s="53"/>
      <c r="R32" s="53"/>
      <c r="S32" s="53"/>
      <c r="T32" s="60"/>
    </row>
    <row r="33" spans="8:20">
      <c r="H33" s="79" t="s">
        <v>87</v>
      </c>
      <c r="I33" s="69">
        <f>I32+K32*2</f>
        <v>1.92</v>
      </c>
      <c r="J33" s="69">
        <f>J32+K32*2</f>
        <v>1.22</v>
      </c>
      <c r="K33" s="69">
        <f>I33*J33</f>
        <v>2.3424</v>
      </c>
      <c r="L33" s="69">
        <f>L32+L34*2</f>
        <v>2.04</v>
      </c>
      <c r="M33" s="69">
        <f>M32+L34*2</f>
        <v>1.34</v>
      </c>
      <c r="N33" s="69">
        <f>L33*M33</f>
        <v>2.7336</v>
      </c>
      <c r="O33" s="53"/>
      <c r="P33" s="53"/>
      <c r="Q33" s="53"/>
      <c r="R33" s="53"/>
      <c r="S33" s="53"/>
      <c r="T33" s="60"/>
    </row>
    <row r="34" spans="8:20">
      <c r="H34" s="79" t="s">
        <v>95</v>
      </c>
      <c r="J34" s="69"/>
      <c r="K34" s="69">
        <f>K28*(I33+J33)*2</f>
        <v>0</v>
      </c>
      <c r="L34" s="69">
        <v>0.17</v>
      </c>
      <c r="M34" s="69"/>
      <c r="N34" s="69">
        <f>N28*(L33+M33)*2</f>
        <v>0</v>
      </c>
      <c r="O34" s="53"/>
      <c r="P34" s="53"/>
      <c r="Q34" s="53"/>
      <c r="R34" s="53"/>
      <c r="S34" s="53"/>
      <c r="T34" s="60"/>
    </row>
    <row r="35" spans="8:20">
      <c r="H35" s="79" t="s">
        <v>103</v>
      </c>
      <c r="I35" s="69"/>
      <c r="J35" s="69"/>
      <c r="K35" s="69" t="e">
        <f>K33-#REF!</f>
        <v>#REF!</v>
      </c>
      <c r="L35" s="69"/>
      <c r="M35" s="69"/>
      <c r="N35" s="69">
        <f>N33-N32</f>
        <v>1.0336000000000001</v>
      </c>
      <c r="O35" s="53"/>
      <c r="P35" s="53"/>
      <c r="Q35" s="53"/>
      <c r="R35" s="53"/>
      <c r="S35" s="53"/>
      <c r="T35" s="60"/>
    </row>
    <row r="36" spans="8:20">
      <c r="H36" s="79" t="s">
        <v>94</v>
      </c>
      <c r="I36" s="69"/>
      <c r="J36" s="69"/>
      <c r="K36" s="69"/>
      <c r="L36" s="77">
        <f>L32*M32/L33/M33</f>
        <v>0.62189054726368154</v>
      </c>
      <c r="M36" s="69"/>
      <c r="N36" s="69"/>
      <c r="O36" s="53"/>
      <c r="P36" s="53"/>
      <c r="Q36" s="53"/>
      <c r="R36" s="53"/>
      <c r="S36" s="53"/>
      <c r="T36" s="60"/>
    </row>
    <row r="37" spans="8:20">
      <c r="H37" s="79" t="s">
        <v>96</v>
      </c>
      <c r="I37" s="69"/>
      <c r="J37" s="69"/>
      <c r="K37" s="69"/>
      <c r="L37" s="69">
        <f>N34/L32/M32</f>
        <v>0</v>
      </c>
      <c r="M37" s="69"/>
      <c r="N37" s="69"/>
      <c r="O37" s="53"/>
      <c r="P37" s="53"/>
      <c r="Q37" s="53"/>
      <c r="R37" s="53"/>
      <c r="S37" s="53"/>
      <c r="T37" s="60"/>
    </row>
    <row r="38" spans="8:20">
      <c r="H38" s="59" t="s">
        <v>87</v>
      </c>
      <c r="I38" s="53">
        <f>I40+I39*2</f>
        <v>1.07</v>
      </c>
      <c r="J38" s="53">
        <f>J40+I39*2</f>
        <v>2.2200000000000002</v>
      </c>
      <c r="K38" s="53">
        <f>I38*J38</f>
        <v>2.3754000000000004</v>
      </c>
      <c r="L38" s="53">
        <f>L40+L39*2</f>
        <v>1.19</v>
      </c>
      <c r="M38" s="53">
        <f>M40+L39*2</f>
        <v>2.34</v>
      </c>
      <c r="N38" s="53">
        <f>L38*M38</f>
        <v>2.7845999999999997</v>
      </c>
      <c r="O38" s="53"/>
      <c r="P38" s="53"/>
      <c r="Q38" s="53"/>
      <c r="R38" s="53"/>
      <c r="S38" s="53"/>
      <c r="T38" s="60"/>
    </row>
    <row r="39" spans="8:20">
      <c r="H39" s="59" t="s">
        <v>89</v>
      </c>
      <c r="I39" s="53">
        <v>0.11</v>
      </c>
      <c r="J39" s="53"/>
      <c r="K39" s="53">
        <f>K22*(I40+J40)*2</f>
        <v>72.561349693251529</v>
      </c>
      <c r="L39" s="53">
        <v>0.17</v>
      </c>
      <c r="M39" s="53"/>
      <c r="N39" s="53">
        <f>N22*(L40+M40)*2</f>
        <v>140.99006622516558</v>
      </c>
      <c r="O39" s="53"/>
      <c r="P39" s="53"/>
      <c r="Q39" s="53"/>
      <c r="R39" s="53"/>
      <c r="S39" s="53"/>
      <c r="T39" s="60"/>
    </row>
    <row r="40" spans="8:20">
      <c r="H40" s="59" t="s">
        <v>88</v>
      </c>
      <c r="I40" s="53">
        <f>K40/J40</f>
        <v>0.85</v>
      </c>
      <c r="J40" s="53">
        <v>2</v>
      </c>
      <c r="K40" s="53">
        <v>1.7</v>
      </c>
      <c r="L40" s="53">
        <f>N40/M40</f>
        <v>0.85</v>
      </c>
      <c r="M40" s="53">
        <v>2</v>
      </c>
      <c r="N40" s="53">
        <v>1.7</v>
      </c>
      <c r="O40" s="53"/>
      <c r="P40" s="53"/>
      <c r="Q40" s="53"/>
      <c r="R40" s="53"/>
      <c r="S40" s="53"/>
      <c r="T40" s="60"/>
    </row>
    <row r="41" spans="8:20">
      <c r="H41" s="59" t="s">
        <v>103</v>
      </c>
      <c r="I41" s="53"/>
      <c r="J41" s="53"/>
      <c r="K41" s="53">
        <f>K38-K40</f>
        <v>0.67540000000000044</v>
      </c>
      <c r="L41" s="53"/>
      <c r="M41" s="53"/>
      <c r="N41" s="53">
        <f>N38-N40</f>
        <v>1.0845999999999998</v>
      </c>
      <c r="O41" s="53"/>
      <c r="P41" s="53"/>
      <c r="Q41" s="53"/>
      <c r="R41" s="53"/>
      <c r="S41" s="53"/>
      <c r="T41" s="60"/>
    </row>
    <row r="42" spans="8:20">
      <c r="H42" s="59" t="s">
        <v>94</v>
      </c>
      <c r="I42" s="53"/>
      <c r="J42" s="53"/>
      <c r="K42" s="53"/>
      <c r="L42" s="78">
        <f>L40*M40/L38/M38</f>
        <v>0.61050061050061055</v>
      </c>
      <c r="M42" s="53"/>
      <c r="N42" s="53"/>
      <c r="O42" s="53"/>
      <c r="P42" s="53"/>
      <c r="Q42" s="53"/>
      <c r="R42" s="53"/>
      <c r="S42" s="53"/>
      <c r="T42" s="60"/>
    </row>
    <row r="43" spans="8:20" ht="14.4" thickBot="1">
      <c r="H43" s="61" t="s">
        <v>96</v>
      </c>
      <c r="I43" s="62"/>
      <c r="J43" s="62"/>
      <c r="K43" s="62"/>
      <c r="L43" s="62">
        <f>N39/L40/M40</f>
        <v>82.935333073626808</v>
      </c>
      <c r="M43" s="62"/>
      <c r="N43" s="62"/>
      <c r="O43" s="62"/>
      <c r="P43" s="62"/>
      <c r="Q43" s="62"/>
      <c r="R43" s="62"/>
      <c r="S43" s="62"/>
      <c r="T43" s="63"/>
    </row>
  </sheetData>
  <mergeCells count="5">
    <mergeCell ref="O30:Q30"/>
    <mergeCell ref="L30:N30"/>
    <mergeCell ref="I10:K10"/>
    <mergeCell ref="L10:N10"/>
    <mergeCell ref="O10:Q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整体评估</vt:lpstr>
      <vt:lpstr>历次综合结果</vt:lpstr>
      <vt:lpstr>T28工艺库单元特性-面积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2023-03-22T14:05:45Z</dcterms:modified>
</cp:coreProperties>
</file>