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 activeTab="2"/>
  </bookViews>
  <sheets>
    <sheet name="整体评估" sheetId="5" r:id="rId1"/>
    <sheet name="历次综合结果" sheetId="3" r:id="rId2"/>
    <sheet name="T28工艺库单元特性-面积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6" l="1"/>
  <c r="I10" i="6"/>
  <c r="I11" i="6"/>
  <c r="I12" i="6"/>
  <c r="I13" i="6"/>
  <c r="I8" i="6"/>
  <c r="K9" i="6"/>
  <c r="K10" i="6"/>
  <c r="K8" i="6"/>
  <c r="J9" i="6"/>
  <c r="J10" i="6"/>
  <c r="J8" i="6"/>
  <c r="F28" i="6"/>
  <c r="D28" i="6"/>
  <c r="F21" i="6"/>
  <c r="D21" i="6"/>
  <c r="F22" i="6"/>
  <c r="D22" i="6"/>
  <c r="F17" i="6"/>
  <c r="D17" i="6"/>
  <c r="F16" i="6"/>
  <c r="D16" i="6"/>
  <c r="F23" i="6"/>
  <c r="D23" i="6"/>
  <c r="H9" i="6"/>
  <c r="H10" i="6"/>
  <c r="H11" i="6"/>
  <c r="H12" i="6"/>
  <c r="H13" i="6"/>
  <c r="H8" i="6"/>
  <c r="F12" i="6"/>
  <c r="F11" i="6"/>
  <c r="D12" i="6"/>
  <c r="F10" i="6"/>
  <c r="D11" i="6"/>
  <c r="D10" i="6"/>
  <c r="F8" i="6"/>
  <c r="D8" i="6"/>
  <c r="F9" i="6"/>
  <c r="D9" i="6"/>
  <c r="G10" i="6" l="1"/>
  <c r="G11" i="6"/>
  <c r="G12" i="6"/>
  <c r="G9" i="6"/>
  <c r="B18" i="5"/>
  <c r="C17" i="5" l="1"/>
  <c r="C16" i="5"/>
  <c r="F20" i="6" l="1"/>
  <c r="D20" i="6"/>
  <c r="F19" i="6"/>
  <c r="D19" i="6"/>
  <c r="D3" i="6" l="1"/>
  <c r="D4" i="6"/>
  <c r="D5" i="6"/>
  <c r="D6" i="6"/>
  <c r="D7" i="6"/>
  <c r="D13" i="6"/>
  <c r="D15" i="6"/>
  <c r="D18" i="6"/>
  <c r="D24" i="6"/>
  <c r="D25" i="6"/>
  <c r="D26" i="6"/>
  <c r="D27" i="6"/>
  <c r="D29" i="6"/>
  <c r="D2" i="6"/>
  <c r="F27" i="6"/>
  <c r="F26" i="6"/>
  <c r="F3" i="6"/>
  <c r="F4" i="6"/>
  <c r="F5" i="6"/>
  <c r="F6" i="6"/>
  <c r="F7" i="6"/>
  <c r="F13" i="6"/>
  <c r="G13" i="6" s="1"/>
  <c r="F15" i="6"/>
  <c r="F18" i="6"/>
  <c r="F24" i="6"/>
  <c r="F25" i="6"/>
  <c r="F29" i="6"/>
  <c r="F2" i="6"/>
  <c r="B15" i="5" l="1"/>
  <c r="B12" i="5" l="1"/>
  <c r="B16" i="5" s="1"/>
  <c r="AA61" i="6" l="1"/>
  <c r="AB66" i="6"/>
  <c r="AE66" i="6"/>
  <c r="AA68" i="6"/>
  <c r="AA66" i="6" s="1"/>
  <c r="AC66" i="6" s="1"/>
  <c r="AC69" i="6" s="1"/>
  <c r="AD68" i="6"/>
  <c r="AB61" i="6"/>
  <c r="AE61" i="6"/>
  <c r="AD61" i="6"/>
  <c r="AC53" i="6"/>
  <c r="AF54" i="6"/>
  <c r="AC54" i="6"/>
  <c r="AD66" i="6" l="1"/>
  <c r="AF66" i="6" s="1"/>
  <c r="AF69" i="6" s="1"/>
  <c r="AC61" i="6"/>
  <c r="AC63" i="6" s="1"/>
  <c r="AF62" i="6"/>
  <c r="AD65" i="6" s="1"/>
  <c r="AD64" i="6"/>
  <c r="AF61" i="6"/>
  <c r="AF63" i="6" s="1"/>
  <c r="AC62" i="6"/>
  <c r="AB51" i="6"/>
  <c r="AA51" i="6"/>
  <c r="AC51" i="6" s="1"/>
  <c r="AF46" i="6"/>
  <c r="AE51" i="6"/>
  <c r="AD51" i="6"/>
  <c r="AD70" i="6" l="1"/>
  <c r="AF51" i="6"/>
  <c r="AD55" i="6"/>
  <c r="AK47" i="6"/>
  <c r="AJ47" i="6"/>
  <c r="AJ48" i="6" s="1"/>
  <c r="AH47" i="6"/>
  <c r="AG47" i="6"/>
  <c r="AE47" i="6"/>
  <c r="AD47" i="6"/>
  <c r="AL46" i="6"/>
  <c r="AI46" i="6"/>
  <c r="AB47" i="6"/>
  <c r="AA47" i="6"/>
  <c r="AD48" i="6" l="1"/>
  <c r="AG48" i="6"/>
  <c r="AF50" i="6"/>
  <c r="AF67" i="6" s="1"/>
  <c r="AD71" i="6" s="1"/>
  <c r="AA49" i="6"/>
  <c r="AC50" i="6"/>
  <c r="AC67" i="6" s="1"/>
  <c r="AJ49" i="6"/>
  <c r="AG49" i="6"/>
  <c r="AD49" i="6"/>
  <c r="AA48" i="6"/>
  <c r="AC52" i="6" l="1"/>
  <c r="AF52" i="6"/>
  <c r="AD56" i="6" s="1"/>
  <c r="C25" i="5" l="1"/>
  <c r="C21" i="5" s="1"/>
  <c r="O32" i="3" l="1"/>
  <c r="O31" i="3"/>
  <c r="O28" i="3"/>
  <c r="O22" i="3"/>
  <c r="O18" i="3"/>
  <c r="O10" i="3"/>
  <c r="B13" i="5" l="1"/>
  <c r="B23" i="5" s="1"/>
  <c r="B24" i="5" s="1"/>
  <c r="C13" i="5"/>
  <c r="C14" i="5" s="1"/>
  <c r="B14" i="5"/>
  <c r="B17" i="5" s="1"/>
  <c r="B22" i="5" l="1"/>
  <c r="B25" i="5"/>
  <c r="O59" i="3"/>
  <c r="K24" i="3"/>
  <c r="K25" i="3"/>
  <c r="K26" i="3"/>
  <c r="K23" i="3"/>
  <c r="K31" i="3"/>
  <c r="K28" i="3"/>
  <c r="K22" i="3"/>
  <c r="M51" i="3"/>
  <c r="K32" i="3"/>
  <c r="M59" i="3"/>
  <c r="M47" i="3"/>
  <c r="M39" i="3"/>
  <c r="K18" i="3"/>
  <c r="I32" i="3"/>
  <c r="G29" i="3" l="1"/>
  <c r="G23" i="3"/>
  <c r="G19" i="3"/>
  <c r="G16" i="3"/>
  <c r="G11" i="3"/>
  <c r="G10" i="3"/>
  <c r="G31" i="3"/>
  <c r="G28" i="3"/>
  <c r="G22" i="3"/>
  <c r="G18" i="3"/>
</calcChain>
</file>

<file path=xl/comments1.xml><?xml version="1.0" encoding="utf-8"?>
<comments xmlns="http://schemas.openxmlformats.org/spreadsheetml/2006/main">
  <authors>
    <author>作者</author>
  </authors>
  <commentLis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师姐100MHz综合前后90-50mW，我100MHz综合功耗63mW，后仿保守估计不变，200MHz120mW</t>
        </r>
      </text>
    </comment>
    <comment ref="A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总计算量为PointNeXt-S论文的TOPS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A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PointNeXt-S总周期为FPS 3k的3倍9k</t>
        </r>
      </text>
    </comment>
    <comment ref="A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总时间计算的有效算力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2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胜在卷积后聚合和剪枝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面积太小30倍比之前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FPC[1][2]..被综合掉了？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PLC[1-7]的u_SIPO_MAP等被综合掉了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H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与原先16块单口128wordx256bit容量相等，读写带宽因可同时而加倍，互联/块数一致；总之面积(0.55+0.16)/0.48=1.5倍，读写带宽2倍，划算
与原始32块单口128wordx256bit相比，读写总带宽不变，减半，面积(0.55+0.16)/1.27=0.56</t>
        </r>
      </text>
    </comment>
    <comment ref="H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与原始32块单口128wordx256bit相比，读写总带宽不变，容量不变，面积(0.64+0.16)/1.27=0.63</t>
        </r>
      </text>
    </comment>
    <comment ref="H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作者:
与原先16块单口128wordx256bit容量4倍，读写带宽因可同时而加倍，互联/块数一致；总之面积(0.82+0.16)/0.48=2倍，读写带宽2倍，容量4倍，划算
与原始32块单口128wordx256bit相比，读写总带宽不变，容量倍，面积(0.82+0.16)/1.27=0.77
</t>
        </r>
      </text>
    </comment>
    <comment ref="K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容量过于大了，256KB了</t>
        </r>
      </text>
    </comment>
    <comment ref="F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  <comment ref="F2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最合适的了，既带宽大，又密度高是双口的两倍</t>
        </r>
      </text>
    </comment>
  </commentList>
</comments>
</file>

<file path=xl/sharedStrings.xml><?xml version="1.0" encoding="utf-8"?>
<sst xmlns="http://schemas.openxmlformats.org/spreadsheetml/2006/main" count="192" uniqueCount="133">
  <si>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</si>
  <si>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</si>
  <si>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</si>
  <si>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</si>
  <si>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</si>
  <si>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</si>
  <si>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</si>
  <si>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</si>
  <si>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</si>
  <si>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</si>
  <si>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</si>
  <si>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</si>
  <si>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</si>
  <si>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</si>
  <si>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</si>
  <si>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</si>
  <si>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</si>
  <si>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</si>
  <si>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</si>
  <si>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</si>
  <si>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</si>
  <si>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</si>
  <si>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</si>
  <si>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</si>
  <si>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</si>
  <si>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</si>
  <si>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</si>
  <si>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</si>
  <si>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</si>
  <si>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</si>
  <si>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</si>
  <si>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</si>
  <si>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</si>
  <si>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</si>
  <si>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</si>
  <si>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</si>
  <si>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</si>
  <si>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</si>
  <si>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</si>
  <si>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</si>
  <si>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</si>
  <si>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</si>
  <si>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</si>
  <si>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</si>
  <si>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</si>
  <si>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</si>
  <si>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</si>
  <si>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</si>
  <si>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</si>
  <si>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</si>
  <si>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</si>
  <si>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</si>
  <si>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</si>
  <si>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</si>
  <si>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</si>
  <si>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</si>
  <si>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</si>
  <si>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</si>
  <si>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</si>
  <si>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</si>
  <si>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</si>
  <si>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</si>
  <si>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</si>
  <si>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</si>
  <si>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Technology</t>
    <phoneticPr fontId="1" type="noConversion"/>
  </si>
  <si>
    <t>DSPU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</si>
  <si>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</si>
  <si>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</si>
  <si>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</si>
  <si>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</si>
  <si>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</si>
  <si>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</si>
  <si>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</si>
  <si>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</si>
  <si>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</si>
  <si>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</si>
  <si>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</si>
  <si>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uhddpsram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</si>
  <si>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</si>
  <si>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</si>
  <si>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</si>
  <si>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PAD/Core</t>
    <phoneticPr fontId="1" type="noConversion"/>
  </si>
  <si>
    <t>v1</t>
    <phoneticPr fontId="1" type="noConversion"/>
  </si>
  <si>
    <t>v2</t>
    <phoneticPr fontId="1" type="noConversion"/>
  </si>
  <si>
    <t>TOP</t>
    <phoneticPr fontId="1" type="noConversion"/>
  </si>
  <si>
    <t>Date230214_Period1000_group_Track3vt_Notev2</t>
    <phoneticPr fontId="1" type="noConversion"/>
  </si>
  <si>
    <t>PAD/EDGE</t>
    <phoneticPr fontId="1" type="noConversion"/>
  </si>
  <si>
    <t>PAD SIZE</t>
    <phoneticPr fontId="1" type="noConversion"/>
  </si>
  <si>
    <t>Power Consumption (W)@ 200MHz</t>
    <phoneticPr fontId="1" type="noConversion"/>
  </si>
  <si>
    <t>技术加持的有效算力-剪枝理论加持4x4倍，实际只4倍</t>
    <phoneticPr fontId="1" type="noConversion"/>
  </si>
  <si>
    <r>
      <rPr>
        <sz val="11"/>
        <color theme="1"/>
        <rFont val="宋体"/>
        <family val="3"/>
        <charset val="134"/>
      </rPr>
      <t>技术加持的有效算力</t>
    </r>
    <r>
      <rPr>
        <sz val="11"/>
        <color theme="1"/>
        <rFont val="Times New Roman"/>
        <family val="1"/>
      </rPr>
      <t>-K=30</t>
    </r>
    <r>
      <rPr>
        <sz val="11"/>
        <color theme="1"/>
        <rFont val="宋体"/>
        <family val="3"/>
        <charset val="134"/>
      </rPr>
      <t>，但可能深层没有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，因此倍数是</t>
    </r>
    <r>
      <rPr>
        <sz val="11"/>
        <color theme="1"/>
        <rFont val="Times New Roman"/>
        <family val="1"/>
      </rPr>
      <t>10</t>
    </r>
    <phoneticPr fontId="1" type="noConversion"/>
  </si>
  <si>
    <t>等效与真实加速比</t>
    <phoneticPr fontId="1" type="noConversion"/>
  </si>
  <si>
    <t>uhdspsram</t>
    <phoneticPr fontId="1" type="noConversion"/>
  </si>
  <si>
    <t>TSMC 28-nm HPC</t>
    <phoneticPr fontId="1" type="noConversion"/>
  </si>
  <si>
    <t>28 nm</t>
    <phoneticPr fontId="1" type="noConversion"/>
  </si>
  <si>
    <t>Proposed</t>
    <phoneticPr fontId="1" type="noConversion"/>
  </si>
  <si>
    <t>128KB</t>
    <phoneticPr fontId="1" type="noConversion"/>
  </si>
  <si>
    <t>TOP (PointNeXt-S)</t>
    <phoneticPr fontId="1" type="noConversion"/>
  </si>
  <si>
    <t>Inference Time (Cycles)</t>
    <phoneticPr fontId="1" type="noConversion"/>
  </si>
  <si>
    <t>Effective Energy Efficiency (TOPS/W)</t>
    <phoneticPr fontId="1" type="noConversion"/>
  </si>
  <si>
    <t>Speedup</t>
    <phoneticPr fontId="1" type="noConversion"/>
  </si>
  <si>
    <t>NA</t>
    <phoneticPr fontId="1" type="noConversion"/>
  </si>
  <si>
    <t>Type</t>
    <phoneticPr fontId="1" type="noConversion"/>
  </si>
  <si>
    <t>Word</t>
    <phoneticPr fontId="1" type="noConversion"/>
  </si>
  <si>
    <t>IO bit</t>
    <phoneticPr fontId="1" type="noConversion"/>
  </si>
  <si>
    <t>Size (KB)</t>
    <phoneticPr fontId="1" type="noConversion"/>
  </si>
  <si>
    <t>Area (um2)</t>
    <phoneticPr fontId="1" type="noConversion"/>
  </si>
  <si>
    <t>Density (bit/um2)</t>
    <phoneticPr fontId="1" type="noConversion"/>
  </si>
  <si>
    <t>REG</t>
    <phoneticPr fontId="1" type="noConversion"/>
  </si>
  <si>
    <t>Date230329_Period1000_group_Track3vt_NoteGLB_area_16BANK</t>
    <phoneticPr fontId="1" type="noConversion"/>
  </si>
  <si>
    <t>GLB (16bank, Bitwidth256, Word128, WR8, RD16, PAR2,)</t>
    <phoneticPr fontId="1" type="noConversion"/>
  </si>
  <si>
    <t>Date230329_Period1000_group_Track3vt_NoteGLB_area_2WRPAR</t>
    <phoneticPr fontId="1" type="noConversion"/>
  </si>
  <si>
    <t>GLB (32bank, Bitwidth256, Word128, WR2, RD2, PAR2,)</t>
    <phoneticPr fontId="1" type="noConversion"/>
  </si>
  <si>
    <t>Energy consumption (J/frame)</t>
    <phoneticPr fontId="1" type="noConversion"/>
  </si>
  <si>
    <r>
      <t xml:space="preserve">Plan A: </t>
    </r>
    <r>
      <rPr>
        <sz val="11"/>
        <color theme="1"/>
        <rFont val="等线"/>
        <family val="2"/>
      </rPr>
      <t>单圈</t>
    </r>
    <r>
      <rPr>
        <sz val="11"/>
        <color theme="1"/>
        <rFont val="Times New Roman"/>
        <family val="1"/>
      </rPr>
      <t>PAD</t>
    </r>
    <phoneticPr fontId="1" type="noConversion"/>
  </si>
  <si>
    <r>
      <t xml:space="preserve">Plan B: </t>
    </r>
    <r>
      <rPr>
        <sz val="11"/>
        <color theme="1"/>
        <rFont val="等线"/>
        <family val="2"/>
      </rPr>
      <t>交错圈</t>
    </r>
    <r>
      <rPr>
        <sz val="11"/>
        <color theme="1"/>
        <rFont val="Times New Roman"/>
        <family val="1"/>
      </rPr>
      <t>PAD</t>
    </r>
    <phoneticPr fontId="1" type="noConversion"/>
  </si>
  <si>
    <r>
      <t xml:space="preserve">Plan B: </t>
    </r>
    <r>
      <rPr>
        <sz val="11"/>
        <color theme="1"/>
        <rFont val="等线"/>
        <family val="2"/>
      </rPr>
      <t>双圈</t>
    </r>
    <r>
      <rPr>
        <sz val="11"/>
        <color theme="1"/>
        <rFont val="Times New Roman"/>
        <family val="1"/>
      </rPr>
      <t>PAD</t>
    </r>
    <phoneticPr fontId="1" type="noConversion"/>
  </si>
  <si>
    <r>
      <t xml:space="preserve">Plan C: </t>
    </r>
    <r>
      <rPr>
        <sz val="11"/>
        <color theme="1"/>
        <rFont val="等线"/>
        <family val="2"/>
      </rPr>
      <t>双圈交错</t>
    </r>
    <r>
      <rPr>
        <sz val="11"/>
        <color theme="1"/>
        <rFont val="Times New Roman"/>
        <family val="1"/>
      </rPr>
      <t>PAD</t>
    </r>
    <phoneticPr fontId="1" type="noConversion"/>
  </si>
  <si>
    <r>
      <rPr>
        <sz val="11"/>
        <color theme="1"/>
        <rFont val="等线"/>
        <family val="2"/>
      </rPr>
      <t>宽</t>
    </r>
    <phoneticPr fontId="1" type="noConversion"/>
  </si>
  <si>
    <r>
      <rPr>
        <sz val="11"/>
        <color theme="1"/>
        <rFont val="等线"/>
        <family val="2"/>
      </rPr>
      <t>高</t>
    </r>
    <phoneticPr fontId="1" type="noConversion"/>
  </si>
  <si>
    <r>
      <t>PAD</t>
    </r>
    <r>
      <rPr>
        <sz val="11"/>
        <color theme="1"/>
        <rFont val="等线"/>
        <family val="2"/>
      </rPr>
      <t>个数</t>
    </r>
    <phoneticPr fontId="1" type="noConversion"/>
  </si>
  <si>
    <r>
      <t>PAD</t>
    </r>
    <r>
      <rPr>
        <sz val="11"/>
        <color theme="1"/>
        <rFont val="等线"/>
        <family val="2"/>
      </rPr>
      <t>单个长</t>
    </r>
    <phoneticPr fontId="1" type="noConversion"/>
  </si>
  <si>
    <r>
      <t>Core</t>
    </r>
    <r>
      <rPr>
        <sz val="11"/>
        <color theme="1"/>
        <rFont val="等线"/>
        <family val="2"/>
      </rPr>
      <t>利用率</t>
    </r>
    <phoneticPr fontId="1" type="noConversion"/>
  </si>
  <si>
    <r>
      <t>Core</t>
    </r>
    <r>
      <rPr>
        <sz val="11"/>
        <color theme="0" tint="-0.249977111117893"/>
        <rFont val="等线"/>
        <family val="3"/>
        <charset val="134"/>
      </rPr>
      <t>利用率</t>
    </r>
    <phoneticPr fontId="1" type="noConversion"/>
  </si>
  <si>
    <r>
      <t xml:space="preserve">Plan B: </t>
    </r>
    <r>
      <rPr>
        <sz val="11"/>
        <color theme="1"/>
        <rFont val="等线"/>
        <family val="2"/>
      </rPr>
      <t>交错单圈</t>
    </r>
    <r>
      <rPr>
        <sz val="11"/>
        <color theme="1"/>
        <rFont val="Times New Roman"/>
        <family val="1"/>
      </rPr>
      <t>PAD</t>
    </r>
    <phoneticPr fontId="1" type="noConversion"/>
  </si>
  <si>
    <r>
      <t>PAD</t>
    </r>
    <r>
      <rPr>
        <sz val="11"/>
        <color theme="1"/>
        <rFont val="等线"/>
        <family val="2"/>
      </rPr>
      <t>总长度</t>
    </r>
    <phoneticPr fontId="1" type="noConversion"/>
  </si>
  <si>
    <r>
      <t>PAD</t>
    </r>
    <r>
      <rPr>
        <sz val="11"/>
        <rFont val="等线"/>
        <family val="3"/>
        <charset val="134"/>
      </rPr>
      <t>个数</t>
    </r>
    <phoneticPr fontId="1" type="noConversion"/>
  </si>
  <si>
    <r>
      <t>Core</t>
    </r>
    <r>
      <rPr>
        <sz val="11"/>
        <rFont val="等线"/>
        <family val="3"/>
        <charset val="134"/>
      </rPr>
      <t>利用率</t>
    </r>
    <phoneticPr fontId="1" type="noConversion"/>
  </si>
  <si>
    <t xml:space="preserve">Density Increase </t>
    <phoneticPr fontId="1" type="noConversion"/>
  </si>
  <si>
    <t>Area of 32 banks (16 Pairs)</t>
    <phoneticPr fontId="1" type="noConversion"/>
  </si>
  <si>
    <t>Area reduction rate Compared to SP128wordx256bitx32</t>
    <phoneticPr fontId="1" type="noConversion"/>
  </si>
  <si>
    <t>Area increase rate Compared to SP128wordx256bitx32</t>
    <phoneticPr fontId="1" type="noConversion"/>
  </si>
  <si>
    <t>Total area including interconnnect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</si>
</sst>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00_ "/>
    <numFmt numFmtId="178" formatCode="0_);[Red]\(0\)"/>
    <numFmt numFmtId="179" formatCode="0.0_ "/>
    <numFmt numFmtId="180" formatCode="0.00_ "/>
  </numFmts>
  <fonts count="2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8"/>
      <color rgb="FFD4D4D4"/>
      <name val="Consolas"/>
      <family val="3"/>
    </font>
    <font>
      <sz val="11"/>
      <color theme="1"/>
      <name val="等线"/>
      <family val="2"/>
    </font>
    <font>
      <b/>
      <sz val="11"/>
      <color rgb="FF00B050"/>
      <name val="Times New Roman"/>
      <family val="1"/>
    </font>
    <font>
      <sz val="11"/>
      <color theme="0" tint="-0.249977111117893"/>
      <name val="Times New Roman"/>
      <family val="1"/>
    </font>
    <font>
      <sz val="11"/>
      <color theme="0" tint="-0.249977111117893"/>
      <name val="等线"/>
      <family val="3"/>
      <charset val="134"/>
    </font>
    <font>
      <b/>
      <sz val="11"/>
      <color theme="0" tint="-0.249977111117893"/>
      <name val="Times New Roman"/>
      <family val="1"/>
    </font>
    <font>
      <sz val="11"/>
      <name val="等线"/>
      <family val="3"/>
      <charset val="134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wrapText="1"/>
    </xf>
    <xf numFmtId="0" fontId="2" fillId="0" borderId="27" xfId="0" applyFont="1" applyBorder="1" applyAlignment="1">
      <alignment wrapText="1"/>
    </xf>
    <xf numFmtId="0" fontId="2" fillId="0" borderId="28" xfId="0" applyFont="1" applyBorder="1" applyAlignment="1">
      <alignment wrapText="1"/>
    </xf>
    <xf numFmtId="176" fontId="2" fillId="0" borderId="28" xfId="0" applyNumberFormat="1" applyFont="1" applyBorder="1" applyAlignment="1">
      <alignment horizontal="center" vertical="center"/>
    </xf>
    <xf numFmtId="176" fontId="4" fillId="0" borderId="3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178" fontId="2" fillId="0" borderId="3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" xfId="0" applyFont="1" applyBorder="1"/>
    <xf numFmtId="180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80" fontId="5" fillId="0" borderId="1" xfId="0" applyNumberFormat="1" applyFont="1" applyBorder="1"/>
    <xf numFmtId="0" fontId="2" fillId="0" borderId="0" xfId="0" applyFont="1"/>
    <xf numFmtId="0" fontId="2" fillId="0" borderId="5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9" xfId="0" applyFont="1" applyBorder="1"/>
    <xf numFmtId="0" fontId="2" fillId="0" borderId="21" xfId="0" applyFont="1" applyBorder="1"/>
    <xf numFmtId="0" fontId="2" fillId="0" borderId="18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/>
    <xf numFmtId="0" fontId="2" fillId="0" borderId="10" xfId="0" applyFont="1" applyBorder="1"/>
    <xf numFmtId="0" fontId="2" fillId="0" borderId="32" xfId="0" applyFont="1" applyBorder="1"/>
    <xf numFmtId="0" fontId="2" fillId="0" borderId="4" xfId="0" applyFont="1" applyBorder="1"/>
    <xf numFmtId="0" fontId="2" fillId="0" borderId="9" xfId="0" applyFont="1" applyBorder="1"/>
    <xf numFmtId="0" fontId="2" fillId="0" borderId="17" xfId="0" applyFont="1" applyBorder="1"/>
    <xf numFmtId="0" fontId="2" fillId="0" borderId="22" xfId="0" applyFont="1" applyBorder="1"/>
    <xf numFmtId="0" fontId="2" fillId="0" borderId="16" xfId="0" applyFont="1" applyBorder="1"/>
    <xf numFmtId="0" fontId="15" fillId="0" borderId="17" xfId="0" applyFont="1" applyBorder="1"/>
    <xf numFmtId="0" fontId="5" fillId="0" borderId="29" xfId="0" applyFont="1" applyFill="1" applyBorder="1"/>
    <xf numFmtId="0" fontId="5" fillId="0" borderId="0" xfId="0" applyFont="1"/>
    <xf numFmtId="0" fontId="16" fillId="0" borderId="5" xfId="0" applyFont="1" applyBorder="1"/>
    <xf numFmtId="0" fontId="16" fillId="0" borderId="0" xfId="0" applyFont="1"/>
    <xf numFmtId="0" fontId="18" fillId="0" borderId="17" xfId="0" applyFont="1" applyBorder="1"/>
    <xf numFmtId="0" fontId="16" fillId="0" borderId="1" xfId="0" applyFont="1" applyBorder="1"/>
    <xf numFmtId="0" fontId="16" fillId="0" borderId="4" xfId="0" applyFont="1" applyBorder="1"/>
    <xf numFmtId="0" fontId="16" fillId="0" borderId="30" xfId="0" applyFont="1" applyBorder="1"/>
    <xf numFmtId="0" fontId="16" fillId="0" borderId="0" xfId="0" applyFont="1" applyBorder="1"/>
    <xf numFmtId="0" fontId="2" fillId="0" borderId="21" xfId="0" applyFont="1" applyBorder="1" applyAlignment="1"/>
    <xf numFmtId="0" fontId="2" fillId="0" borderId="21" xfId="0" applyFont="1" applyBorder="1" applyAlignment="1">
      <alignment horizontal="center"/>
    </xf>
    <xf numFmtId="0" fontId="5" fillId="0" borderId="9" xfId="0" applyFont="1" applyBorder="1"/>
    <xf numFmtId="0" fontId="5" fillId="0" borderId="1" xfId="0" applyFont="1" applyBorder="1"/>
    <xf numFmtId="0" fontId="20" fillId="0" borderId="1" xfId="0" applyFont="1" applyBorder="1"/>
    <xf numFmtId="0" fontId="15" fillId="0" borderId="1" xfId="0" applyFont="1" applyBorder="1"/>
    <xf numFmtId="180" fontId="15" fillId="0" borderId="1" xfId="0" applyNumberFormat="1" applyFont="1" applyBorder="1"/>
    <xf numFmtId="180" fontId="20" fillId="0" borderId="1" xfId="0" applyNumberFormat="1" applyFont="1" applyBorder="1"/>
    <xf numFmtId="0" fontId="2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18" sqref="B18"/>
    </sheetView>
  </sheetViews>
  <sheetFormatPr defaultColWidth="8.88671875" defaultRowHeight="13.8" x14ac:dyDescent="0.25"/>
  <cols>
    <col min="1" max="1" width="56.44140625" style="29" customWidth="1"/>
    <col min="2" max="2" width="25.33203125" style="29" customWidth="1"/>
    <col min="3" max="3" width="25.44140625" style="29" customWidth="1"/>
    <col min="4" max="16384" width="8.88671875" style="29"/>
  </cols>
  <sheetData>
    <row r="1" spans="1:7" x14ac:dyDescent="0.25">
      <c r="A1" s="39"/>
      <c r="B1" s="41" t="s">
        <v>95</v>
      </c>
      <c r="C1" s="40" t="s">
        <v>65</v>
      </c>
      <c r="D1" s="30"/>
    </row>
    <row r="2" spans="1:7" x14ac:dyDescent="0.25">
      <c r="A2" s="35" t="s">
        <v>64</v>
      </c>
      <c r="B2" s="45" t="s">
        <v>93</v>
      </c>
      <c r="C2" s="44" t="s">
        <v>94</v>
      </c>
      <c r="D2" s="30"/>
    </row>
    <row r="3" spans="1:7" x14ac:dyDescent="0.25">
      <c r="A3" s="35" t="s">
        <v>63</v>
      </c>
      <c r="B3" s="45">
        <v>3</v>
      </c>
      <c r="C3" s="44">
        <v>12.96</v>
      </c>
      <c r="D3" s="30"/>
    </row>
    <row r="4" spans="1:7" x14ac:dyDescent="0.25">
      <c r="A4" s="35" t="s">
        <v>62</v>
      </c>
      <c r="B4" s="45">
        <v>140</v>
      </c>
      <c r="C4" s="44" t="s">
        <v>61</v>
      </c>
      <c r="D4" s="30"/>
    </row>
    <row r="5" spans="1:7" x14ac:dyDescent="0.25">
      <c r="A5" s="35" t="s">
        <v>60</v>
      </c>
      <c r="B5" s="45" t="s">
        <v>96</v>
      </c>
      <c r="C5" s="44" t="s">
        <v>59</v>
      </c>
      <c r="D5" s="30"/>
      <c r="G5" s="56"/>
    </row>
    <row r="6" spans="1:7" x14ac:dyDescent="0.25">
      <c r="A6" s="35" t="s">
        <v>75</v>
      </c>
      <c r="B6" s="45">
        <v>0.9</v>
      </c>
      <c r="C6" s="44" t="s">
        <v>74</v>
      </c>
      <c r="D6" s="30"/>
      <c r="G6" s="56"/>
    </row>
    <row r="7" spans="1:7" x14ac:dyDescent="0.25">
      <c r="A7" s="35" t="s">
        <v>58</v>
      </c>
      <c r="B7" s="45">
        <v>200</v>
      </c>
      <c r="C7" s="44">
        <v>250</v>
      </c>
      <c r="D7" s="30"/>
      <c r="G7" s="56"/>
    </row>
    <row r="8" spans="1:7" ht="14.4" thickBot="1" x14ac:dyDescent="0.3">
      <c r="A8" s="35" t="s">
        <v>57</v>
      </c>
      <c r="B8" s="45" t="s">
        <v>56</v>
      </c>
      <c r="C8" s="44" t="s">
        <v>55</v>
      </c>
      <c r="D8" s="30"/>
      <c r="G8" s="56"/>
    </row>
    <row r="9" spans="1:7" x14ac:dyDescent="0.25">
      <c r="A9" s="39" t="s">
        <v>51</v>
      </c>
      <c r="B9" s="41">
        <v>1024</v>
      </c>
      <c r="C9" s="50">
        <v>12288</v>
      </c>
      <c r="D9" s="30"/>
      <c r="G9" s="56"/>
    </row>
    <row r="10" spans="1:7" ht="14.4" thickBot="1" x14ac:dyDescent="0.3">
      <c r="A10" s="32" t="s">
        <v>54</v>
      </c>
      <c r="B10" s="43" t="s">
        <v>52</v>
      </c>
      <c r="C10" s="42" t="s">
        <v>53</v>
      </c>
      <c r="D10" s="30"/>
      <c r="G10" s="56"/>
    </row>
    <row r="11" spans="1:7" ht="14.4" thickBot="1" x14ac:dyDescent="0.3">
      <c r="A11" s="35" t="s">
        <v>88</v>
      </c>
      <c r="B11" s="36">
        <v>0.15</v>
      </c>
      <c r="C11" s="33">
        <v>0.60899999999999999</v>
      </c>
      <c r="D11" s="30"/>
      <c r="G11" s="56"/>
    </row>
    <row r="12" spans="1:7" ht="14.4" thickBot="1" x14ac:dyDescent="0.3">
      <c r="A12" s="39" t="s">
        <v>97</v>
      </c>
      <c r="B12" s="59">
        <f>3.6/1024</f>
        <v>3.5156250000000001E-3</v>
      </c>
      <c r="C12" s="57" t="s">
        <v>101</v>
      </c>
      <c r="D12" s="30"/>
      <c r="G12" s="56"/>
    </row>
    <row r="13" spans="1:7" x14ac:dyDescent="0.25">
      <c r="A13" s="39" t="s">
        <v>72</v>
      </c>
      <c r="B13" s="38">
        <f>B9*B7*2/1024/1024</f>
        <v>0.390625</v>
      </c>
      <c r="C13" s="37">
        <f>C9*C7*2/1024/1024</f>
        <v>5.859375</v>
      </c>
      <c r="D13" s="30"/>
      <c r="G13" s="56"/>
    </row>
    <row r="14" spans="1:7" x14ac:dyDescent="0.25">
      <c r="A14" s="35" t="s">
        <v>73</v>
      </c>
      <c r="B14" s="34">
        <f>B13/B11</f>
        <v>2.604166666666667</v>
      </c>
      <c r="C14" s="49">
        <f>C13/C11</f>
        <v>9.6213054187192117</v>
      </c>
      <c r="D14" s="30"/>
      <c r="G14" s="56"/>
    </row>
    <row r="15" spans="1:7" x14ac:dyDescent="0.25">
      <c r="A15" s="35" t="s">
        <v>98</v>
      </c>
      <c r="B15" s="60">
        <f>9*1024</f>
        <v>9216</v>
      </c>
      <c r="C15" s="54" t="s">
        <v>101</v>
      </c>
      <c r="D15" s="30"/>
      <c r="G15" s="56"/>
    </row>
    <row r="16" spans="1:7" x14ac:dyDescent="0.25">
      <c r="A16" s="35" t="s">
        <v>99</v>
      </c>
      <c r="B16" s="55">
        <f>B12/(B15*5*10^(-9))</f>
        <v>76.293945312499986</v>
      </c>
      <c r="C16" s="54">
        <f>C23/C11</f>
        <v>19.047619047619047</v>
      </c>
      <c r="D16" s="30"/>
      <c r="G16" s="56"/>
    </row>
    <row r="17" spans="1:7" x14ac:dyDescent="0.25">
      <c r="A17" s="35" t="s">
        <v>100</v>
      </c>
      <c r="B17" s="61">
        <f>B16/B14</f>
        <v>29.296874999999993</v>
      </c>
      <c r="C17" s="58">
        <f>C16/C14</f>
        <v>1.9797333333333333</v>
      </c>
    </row>
    <row r="18" spans="1:7" x14ac:dyDescent="0.25">
      <c r="A18" s="35" t="s">
        <v>113</v>
      </c>
      <c r="B18" s="58">
        <f>B11*(B15*5*10^(-9))</f>
        <v>6.9120000000000009E-6</v>
      </c>
    </row>
    <row r="21" spans="1:7" ht="14.4" thickBot="1" x14ac:dyDescent="0.3">
      <c r="A21" s="32" t="s">
        <v>76</v>
      </c>
      <c r="B21" s="32"/>
      <c r="C21" s="32">
        <f>C25/4*(1.1/0.9)^2</f>
        <v>7.1134626690182259</v>
      </c>
      <c r="G21" s="56"/>
    </row>
    <row r="22" spans="1:7" x14ac:dyDescent="0.25">
      <c r="A22" s="29" t="s">
        <v>91</v>
      </c>
      <c r="B22" s="29">
        <f>B24/B13</f>
        <v>40</v>
      </c>
      <c r="G22" s="56"/>
    </row>
    <row r="23" spans="1:7" ht="14.4" x14ac:dyDescent="0.25">
      <c r="A23" s="35" t="s">
        <v>90</v>
      </c>
      <c r="B23" s="34">
        <f>B13*10</f>
        <v>3.90625</v>
      </c>
      <c r="C23" s="49">
        <v>11.6</v>
      </c>
      <c r="D23" s="30"/>
      <c r="G23" s="56"/>
    </row>
    <row r="24" spans="1:7" x14ac:dyDescent="0.25">
      <c r="A24" s="29" t="s">
        <v>89</v>
      </c>
      <c r="B24" s="34">
        <f>B23*4</f>
        <v>15.625</v>
      </c>
      <c r="C24" s="49"/>
      <c r="D24" s="30"/>
      <c r="G24" s="56"/>
    </row>
    <row r="25" spans="1:7" ht="14.4" thickBot="1" x14ac:dyDescent="0.3">
      <c r="A25" s="32" t="s">
        <v>50</v>
      </c>
      <c r="B25" s="48">
        <f>B24/B11</f>
        <v>104.16666666666667</v>
      </c>
      <c r="C25" s="31">
        <f>C23/C11</f>
        <v>19.047619047619047</v>
      </c>
      <c r="D25" s="30"/>
      <c r="G25" s="56"/>
    </row>
    <row r="26" spans="1:7" x14ac:dyDescent="0.25">
      <c r="G26" s="56"/>
    </row>
    <row r="27" spans="1:7" x14ac:dyDescent="0.25">
      <c r="G27" s="56"/>
    </row>
    <row r="28" spans="1:7" x14ac:dyDescent="0.25">
      <c r="G28" s="56"/>
    </row>
    <row r="29" spans="1:7" x14ac:dyDescent="0.25">
      <c r="G29" s="56"/>
    </row>
    <row r="30" spans="1:7" x14ac:dyDescent="0.25">
      <c r="G30" s="56"/>
    </row>
    <row r="31" spans="1:7" x14ac:dyDescent="0.25">
      <c r="G31" s="56"/>
    </row>
    <row r="32" spans="1:7" x14ac:dyDescent="0.25">
      <c r="G32" s="56"/>
    </row>
    <row r="33" spans="7:7" x14ac:dyDescent="0.25">
      <c r="G33" s="56"/>
    </row>
  </sheetData>
  <sortState ref="A40:G72">
    <sortCondition descending="1" ref="A40:A72"/>
  </sortState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zoomScale="115" zoomScaleNormal="115" workbookViewId="0">
      <pane xSplit="5" ySplit="3" topLeftCell="P4" activePane="bottomRight" state="frozen"/>
      <selection pane="topRight" activeCell="F1" sqref="F1"/>
      <selection pane="bottomLeft" activeCell="A3" sqref="A3"/>
      <selection pane="bottomRight" activeCell="Q18" sqref="Q18"/>
    </sheetView>
  </sheetViews>
  <sheetFormatPr defaultColWidth="19.77734375" defaultRowHeight="13.8" x14ac:dyDescent="0.25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" width="19.77734375" style="2"/>
    <col min="17" max="17" width="33.33203125" style="2" customWidth="1"/>
    <col min="18" max="16384" width="19.77734375" style="2"/>
  </cols>
  <sheetData>
    <row r="1" spans="1:20" x14ac:dyDescent="0.25">
      <c r="E1" s="51"/>
      <c r="F1" s="52"/>
      <c r="G1" s="53"/>
      <c r="H1" s="52"/>
      <c r="I1" s="53"/>
      <c r="J1" s="62" t="s">
        <v>82</v>
      </c>
      <c r="K1" s="63"/>
      <c r="L1" s="63"/>
      <c r="M1" s="63"/>
      <c r="N1" s="63"/>
      <c r="O1" s="64"/>
      <c r="P1" s="65" t="s">
        <v>83</v>
      </c>
      <c r="Q1" s="63"/>
      <c r="R1" s="63"/>
      <c r="S1" s="63"/>
      <c r="T1" s="64"/>
    </row>
    <row r="2" spans="1:20" x14ac:dyDescent="0.25">
      <c r="A2" s="1" t="s">
        <v>0</v>
      </c>
      <c r="B2" s="1"/>
      <c r="C2" s="1"/>
      <c r="D2" s="6"/>
      <c r="E2" s="24"/>
      <c r="F2" s="69">
        <v>0</v>
      </c>
      <c r="G2" s="70"/>
      <c r="H2" s="69">
        <v>1</v>
      </c>
      <c r="I2" s="70"/>
      <c r="J2" s="8">
        <v>2</v>
      </c>
      <c r="L2" s="2">
        <v>3</v>
      </c>
      <c r="N2" s="2">
        <v>4</v>
      </c>
      <c r="P2" s="2">
        <v>1</v>
      </c>
      <c r="R2" s="2">
        <v>1</v>
      </c>
    </row>
    <row r="3" spans="1:20" ht="13.95" customHeight="1" x14ac:dyDescent="0.25">
      <c r="A3" s="1" t="s">
        <v>34</v>
      </c>
      <c r="B3" s="1"/>
      <c r="C3" s="1"/>
      <c r="D3" s="6"/>
      <c r="E3" s="25"/>
      <c r="F3" s="62" t="s">
        <v>37</v>
      </c>
      <c r="G3" s="71"/>
      <c r="H3" s="62" t="s">
        <v>36</v>
      </c>
      <c r="I3" s="71"/>
      <c r="J3" s="62" t="s">
        <v>35</v>
      </c>
      <c r="K3" s="64"/>
      <c r="L3" s="2" t="s">
        <v>41</v>
      </c>
      <c r="N3" s="2" t="s">
        <v>48</v>
      </c>
      <c r="P3" s="2" t="s">
        <v>85</v>
      </c>
      <c r="Q3" s="2" t="s">
        <v>109</v>
      </c>
      <c r="R3" s="2" t="s">
        <v>111</v>
      </c>
    </row>
    <row r="4" spans="1:20" ht="41.4" x14ac:dyDescent="0.25">
      <c r="A4" s="1" t="s">
        <v>1</v>
      </c>
      <c r="B4" s="1"/>
      <c r="C4" s="1" t="s">
        <v>5</v>
      </c>
      <c r="D4" s="6"/>
      <c r="E4" s="25"/>
      <c r="I4" s="11" t="s">
        <v>27</v>
      </c>
      <c r="J4" s="8" t="s">
        <v>33</v>
      </c>
      <c r="L4" s="8" t="s">
        <v>33</v>
      </c>
      <c r="N4" s="8" t="s">
        <v>47</v>
      </c>
      <c r="P4" s="2" t="s">
        <v>84</v>
      </c>
      <c r="Q4" s="2" t="s">
        <v>110</v>
      </c>
      <c r="R4" s="2" t="s">
        <v>112</v>
      </c>
    </row>
    <row r="5" spans="1:20" x14ac:dyDescent="0.25">
      <c r="A5" s="1" t="s">
        <v>2</v>
      </c>
      <c r="B5" s="1"/>
      <c r="C5" s="1">
        <v>100</v>
      </c>
      <c r="D5" s="6"/>
      <c r="E5" s="25"/>
      <c r="I5" s="11">
        <v>1</v>
      </c>
      <c r="J5" s="8">
        <v>1</v>
      </c>
      <c r="L5" s="2">
        <v>100</v>
      </c>
      <c r="N5" s="2">
        <v>100</v>
      </c>
      <c r="P5" s="2">
        <v>1</v>
      </c>
    </row>
    <row r="6" spans="1:20" ht="56.4" customHeight="1" x14ac:dyDescent="0.25">
      <c r="A6" s="1" t="s">
        <v>3</v>
      </c>
      <c r="B6" s="1"/>
      <c r="C6" s="1" t="s">
        <v>6</v>
      </c>
      <c r="D6" s="6"/>
      <c r="E6" s="25"/>
      <c r="I6" s="11" t="s">
        <v>28</v>
      </c>
      <c r="P6" s="1" t="s">
        <v>6</v>
      </c>
    </row>
    <row r="7" spans="1:20" x14ac:dyDescent="0.25">
      <c r="A7" s="1" t="s">
        <v>4</v>
      </c>
      <c r="B7" s="1"/>
      <c r="C7" s="1"/>
      <c r="D7" s="6" t="s">
        <v>23</v>
      </c>
      <c r="E7" s="25"/>
      <c r="I7" s="11">
        <v>298795</v>
      </c>
      <c r="J7" s="8">
        <v>298795</v>
      </c>
      <c r="L7" s="2">
        <v>1808</v>
      </c>
      <c r="N7" s="2">
        <v>1768</v>
      </c>
    </row>
    <row r="8" spans="1:20" x14ac:dyDescent="0.25">
      <c r="A8" s="46"/>
      <c r="B8" s="1" t="s">
        <v>66</v>
      </c>
      <c r="C8" s="1" t="s">
        <v>67</v>
      </c>
      <c r="D8" s="6" t="s">
        <v>68</v>
      </c>
      <c r="E8" s="6" t="s">
        <v>69</v>
      </c>
      <c r="N8" s="2" t="s">
        <v>70</v>
      </c>
      <c r="O8" s="2" t="s">
        <v>71</v>
      </c>
    </row>
    <row r="9" spans="1:20" x14ac:dyDescent="0.25">
      <c r="A9" s="66" t="s">
        <v>14</v>
      </c>
      <c r="B9" s="1" t="s">
        <v>7</v>
      </c>
      <c r="D9" s="6"/>
      <c r="E9" s="25"/>
      <c r="F9" s="12">
        <v>2207681</v>
      </c>
      <c r="H9" s="10">
        <v>2439312</v>
      </c>
      <c r="J9" s="20">
        <v>806671</v>
      </c>
      <c r="L9" s="2">
        <v>806519</v>
      </c>
      <c r="N9" s="2">
        <v>1203839</v>
      </c>
      <c r="P9" s="2">
        <v>1101607</v>
      </c>
    </row>
    <row r="10" spans="1:20" x14ac:dyDescent="0.25">
      <c r="A10" s="67"/>
      <c r="B10" s="1" t="s">
        <v>12</v>
      </c>
      <c r="F10" s="10">
        <v>1673091</v>
      </c>
      <c r="G10" s="13">
        <f>F10/F9</f>
        <v>0.75784997923160091</v>
      </c>
      <c r="H10" s="10">
        <v>1691086</v>
      </c>
      <c r="J10" s="8">
        <v>20841</v>
      </c>
      <c r="N10" s="2">
        <v>21050</v>
      </c>
      <c r="O10" s="2">
        <f>N10/N9*100</f>
        <v>1.7485726911987398</v>
      </c>
    </row>
    <row r="11" spans="1:20" x14ac:dyDescent="0.25">
      <c r="A11" s="67"/>
      <c r="B11" s="1"/>
      <c r="C11" s="4" t="s">
        <v>15</v>
      </c>
      <c r="F11" s="21">
        <v>1383705</v>
      </c>
      <c r="G11" s="11">
        <f>F11/F10</f>
        <v>0.82703511046320854</v>
      </c>
      <c r="H11" s="10">
        <v>1401494</v>
      </c>
      <c r="J11" s="8">
        <v>19815</v>
      </c>
      <c r="P11" s="3">
        <v>745</v>
      </c>
    </row>
    <row r="12" spans="1:20" x14ac:dyDescent="0.25">
      <c r="A12" s="67"/>
      <c r="B12" s="1"/>
      <c r="C12" s="3"/>
      <c r="D12" s="11" t="s">
        <v>38</v>
      </c>
      <c r="F12" s="14"/>
      <c r="J12" s="8">
        <v>19250</v>
      </c>
    </row>
    <row r="13" spans="1:20" x14ac:dyDescent="0.25">
      <c r="A13" s="67"/>
      <c r="B13" s="1"/>
      <c r="C13" s="3"/>
      <c r="E13" s="19" t="s">
        <v>29</v>
      </c>
      <c r="H13" s="14">
        <v>6429</v>
      </c>
      <c r="I13" s="2"/>
      <c r="J13" s="23">
        <v>6660</v>
      </c>
    </row>
    <row r="14" spans="1:20" x14ac:dyDescent="0.25">
      <c r="A14" s="67"/>
      <c r="B14" s="1"/>
      <c r="C14" s="3"/>
      <c r="E14" s="19" t="s">
        <v>30</v>
      </c>
      <c r="H14" s="15">
        <v>1424</v>
      </c>
      <c r="J14" s="8">
        <v>1419</v>
      </c>
    </row>
    <row r="15" spans="1:20" x14ac:dyDescent="0.25">
      <c r="A15" s="67"/>
      <c r="B15" s="1"/>
      <c r="C15" s="3"/>
      <c r="D15" s="19"/>
      <c r="E15" s="27"/>
      <c r="H15" s="15"/>
    </row>
    <row r="16" spans="1:20" x14ac:dyDescent="0.25">
      <c r="A16" s="67"/>
      <c r="B16" s="1"/>
      <c r="C16" s="2" t="s">
        <v>16</v>
      </c>
      <c r="F16" s="10">
        <v>219671</v>
      </c>
      <c r="G16" s="11">
        <f>F16/F10</f>
        <v>0.13129650449377828</v>
      </c>
      <c r="H16" s="15">
        <v>219319</v>
      </c>
      <c r="J16" s="20">
        <v>1006</v>
      </c>
      <c r="P16" s="3">
        <v>6041</v>
      </c>
    </row>
    <row r="17" spans="1:18" x14ac:dyDescent="0.25">
      <c r="A17" s="67"/>
      <c r="B17" s="1"/>
      <c r="C17" s="1"/>
      <c r="D17" s="6"/>
      <c r="E17" s="25"/>
    </row>
    <row r="18" spans="1:18" x14ac:dyDescent="0.25">
      <c r="A18" s="67"/>
      <c r="B18" s="1" t="s">
        <v>10</v>
      </c>
      <c r="F18" s="15">
        <v>427284</v>
      </c>
      <c r="G18" s="13">
        <f>427284/F9</f>
        <v>0.1935442665856163</v>
      </c>
      <c r="H18" s="10">
        <v>434444</v>
      </c>
      <c r="J18" s="28">
        <v>470319</v>
      </c>
      <c r="K18" s="3">
        <f>J18/J9</f>
        <v>0.58303695062795113</v>
      </c>
      <c r="N18" s="2">
        <v>477691</v>
      </c>
      <c r="O18" s="47">
        <f>N18/N9*100</f>
        <v>39.680638357787046</v>
      </c>
      <c r="P18" s="2">
        <v>540989</v>
      </c>
      <c r="Q18" s="2">
        <v>479411</v>
      </c>
      <c r="R18" s="2">
        <v>443245</v>
      </c>
    </row>
    <row r="19" spans="1:18" x14ac:dyDescent="0.25">
      <c r="A19" s="67"/>
      <c r="B19" s="1"/>
      <c r="C19" s="2" t="s">
        <v>17</v>
      </c>
      <c r="F19" s="15">
        <v>9966</v>
      </c>
      <c r="G19" s="11">
        <f>F19/F18</f>
        <v>2.332406549274019E-2</v>
      </c>
      <c r="H19" s="10" t="s">
        <v>31</v>
      </c>
      <c r="J19" s="8">
        <v>10227</v>
      </c>
      <c r="K19" s="4">
        <v>0.75</v>
      </c>
      <c r="P19" s="2">
        <v>10023</v>
      </c>
      <c r="Q19" s="2">
        <v>10019</v>
      </c>
      <c r="R19" s="2">
        <v>10021</v>
      </c>
    </row>
    <row r="20" spans="1:18" x14ac:dyDescent="0.25">
      <c r="A20" s="67"/>
      <c r="B20" s="1"/>
      <c r="C20" s="2" t="s">
        <v>39</v>
      </c>
      <c r="F20" s="15"/>
      <c r="K20" s="2">
        <v>0.193</v>
      </c>
    </row>
    <row r="21" spans="1:18" x14ac:dyDescent="0.25">
      <c r="A21" s="67"/>
      <c r="B21" s="1"/>
      <c r="C21" s="2" t="s">
        <v>40</v>
      </c>
      <c r="F21" s="15"/>
      <c r="K21" s="2">
        <v>3.6999999999999998E-2</v>
      </c>
    </row>
    <row r="22" spans="1:18" x14ac:dyDescent="0.25">
      <c r="A22" s="67"/>
      <c r="B22" s="1" t="s">
        <v>13</v>
      </c>
      <c r="F22" s="16">
        <v>88906</v>
      </c>
      <c r="G22" s="13">
        <f>88906/F9</f>
        <v>4.0271216720169263E-2</v>
      </c>
      <c r="J22" s="8">
        <v>174488</v>
      </c>
      <c r="K22" s="3">
        <f>J22/J9</f>
        <v>0.21630627604066591</v>
      </c>
      <c r="N22" s="2">
        <v>176625</v>
      </c>
      <c r="O22" s="2">
        <f>N22/N9*100</f>
        <v>14.671812426744774</v>
      </c>
      <c r="P22" s="3">
        <v>10849</v>
      </c>
    </row>
    <row r="23" spans="1:18" x14ac:dyDescent="0.25">
      <c r="A23" s="67"/>
      <c r="B23" s="1"/>
      <c r="C23" s="2" t="s">
        <v>18</v>
      </c>
      <c r="F23" s="21">
        <v>52482</v>
      </c>
      <c r="G23" s="11">
        <f>F23/F22</f>
        <v>0.59030886554338291</v>
      </c>
      <c r="J23" s="8">
        <v>58886</v>
      </c>
      <c r="K23" s="2">
        <f>J23/J22</f>
        <v>0.33747879510338818</v>
      </c>
    </row>
    <row r="24" spans="1:18" x14ac:dyDescent="0.25">
      <c r="A24" s="67"/>
      <c r="B24" s="1"/>
      <c r="D24" s="7" t="s">
        <v>43</v>
      </c>
      <c r="F24" s="21"/>
      <c r="J24" s="8">
        <v>7501</v>
      </c>
      <c r="K24" s="2">
        <f>J24*6/J23</f>
        <v>0.76429032367625582</v>
      </c>
    </row>
    <row r="25" spans="1:18" ht="27.6" x14ac:dyDescent="0.25">
      <c r="A25" s="67"/>
      <c r="B25" s="1"/>
      <c r="E25" s="7" t="s">
        <v>42</v>
      </c>
      <c r="F25" s="21"/>
      <c r="J25" s="8">
        <v>6756</v>
      </c>
      <c r="K25" s="3">
        <f>J25/J24</f>
        <v>0.90067990934542064</v>
      </c>
    </row>
    <row r="26" spans="1:18" x14ac:dyDescent="0.25">
      <c r="A26" s="67"/>
      <c r="B26" s="1"/>
      <c r="C26" s="2" t="s">
        <v>19</v>
      </c>
      <c r="F26" s="17">
        <v>18793</v>
      </c>
      <c r="J26" s="20">
        <v>18589</v>
      </c>
      <c r="K26" s="2">
        <f>J26*6/J22</f>
        <v>0.63920728072990696</v>
      </c>
    </row>
    <row r="27" spans="1:18" x14ac:dyDescent="0.25">
      <c r="A27" s="67"/>
      <c r="B27" s="1"/>
      <c r="C27" s="2" t="s">
        <v>20</v>
      </c>
      <c r="F27" s="21">
        <v>3249</v>
      </c>
      <c r="G27" s="18"/>
      <c r="J27" s="20">
        <v>18589</v>
      </c>
    </row>
    <row r="28" spans="1:18" x14ac:dyDescent="0.25">
      <c r="A28" s="67"/>
      <c r="B28" s="1" t="s">
        <v>9</v>
      </c>
      <c r="F28" s="10">
        <v>10902</v>
      </c>
      <c r="G28" s="13">
        <f>10902/F9</f>
        <v>4.9382134465984894E-3</v>
      </c>
      <c r="J28" s="8">
        <v>11312</v>
      </c>
      <c r="K28" s="2">
        <f>J28/J9</f>
        <v>1.4023065165352417E-2</v>
      </c>
      <c r="N28" s="8">
        <v>11312</v>
      </c>
      <c r="O28" s="2">
        <f>N28/N9*100</f>
        <v>0.93966053600190724</v>
      </c>
      <c r="P28" s="2">
        <v>3678</v>
      </c>
    </row>
    <row r="29" spans="1:18" x14ac:dyDescent="0.25">
      <c r="A29" s="67"/>
      <c r="B29" s="1"/>
      <c r="C29" s="2" t="s">
        <v>21</v>
      </c>
      <c r="F29" s="10">
        <v>6816</v>
      </c>
      <c r="G29" s="11">
        <f>F29/F28</f>
        <v>0.62520638414969731</v>
      </c>
      <c r="J29" s="8">
        <v>6819</v>
      </c>
      <c r="N29" s="2">
        <v>11719</v>
      </c>
    </row>
    <row r="30" spans="1:18" x14ac:dyDescent="0.25">
      <c r="A30" s="67"/>
      <c r="B30" s="1"/>
      <c r="C30" s="2" t="s">
        <v>22</v>
      </c>
      <c r="F30" s="10">
        <v>760</v>
      </c>
      <c r="J30" s="8">
        <v>761</v>
      </c>
    </row>
    <row r="31" spans="1:18" x14ac:dyDescent="0.25">
      <c r="A31" s="67"/>
      <c r="B31" s="1" t="s">
        <v>8</v>
      </c>
      <c r="F31" s="10">
        <v>2496</v>
      </c>
      <c r="G31" s="13">
        <f>2496/F9</f>
        <v>1.1305981253632205E-3</v>
      </c>
      <c r="J31" s="8">
        <v>2797</v>
      </c>
      <c r="K31" s="2">
        <f>J31/J9</f>
        <v>3.4673367457116965E-3</v>
      </c>
      <c r="N31" s="2">
        <v>2961</v>
      </c>
      <c r="O31" s="2">
        <f>N31/N9*100</f>
        <v>0.24596312297574677</v>
      </c>
    </row>
    <row r="32" spans="1:18" x14ac:dyDescent="0.25">
      <c r="A32" s="68"/>
      <c r="B32" s="1" t="s">
        <v>11</v>
      </c>
      <c r="F32" s="10" t="s">
        <v>32</v>
      </c>
      <c r="H32" s="12">
        <v>121931</v>
      </c>
      <c r="I32" s="13">
        <f>H32/F9</f>
        <v>5.5230352573582865E-2</v>
      </c>
      <c r="J32" s="8">
        <v>121619</v>
      </c>
      <c r="K32" s="2">
        <f>J32/J9</f>
        <v>0.15076654546897061</v>
      </c>
      <c r="N32" s="2">
        <v>507456</v>
      </c>
      <c r="O32" s="47">
        <f>N32/N9*100</f>
        <v>42.153145063417945</v>
      </c>
      <c r="P32" s="2">
        <v>518399</v>
      </c>
    </row>
    <row r="33" spans="1:14" x14ac:dyDescent="0.25">
      <c r="A33" s="5"/>
      <c r="B33" s="1"/>
      <c r="C33" s="2" t="s">
        <v>25</v>
      </c>
      <c r="H33" s="10">
        <v>33555</v>
      </c>
      <c r="J33" s="9">
        <v>33586</v>
      </c>
      <c r="K33" s="1"/>
      <c r="N33" s="2">
        <v>44581</v>
      </c>
    </row>
    <row r="34" spans="1:14" x14ac:dyDescent="0.25">
      <c r="A34" s="5"/>
      <c r="B34" s="1"/>
      <c r="C34" s="2" t="s">
        <v>26</v>
      </c>
      <c r="H34" s="10">
        <v>21655</v>
      </c>
      <c r="J34" s="9">
        <v>21600</v>
      </c>
      <c r="K34" s="1"/>
      <c r="N34" s="2">
        <v>114849</v>
      </c>
    </row>
    <row r="35" spans="1:14" ht="13.95" customHeight="1" x14ac:dyDescent="0.25">
      <c r="A35" s="5"/>
      <c r="D35" s="7" t="s">
        <v>44</v>
      </c>
      <c r="I35" s="13"/>
      <c r="J35" s="9"/>
      <c r="K35" s="1"/>
      <c r="N35" s="10">
        <v>7094</v>
      </c>
    </row>
    <row r="36" spans="1:14" x14ac:dyDescent="0.25">
      <c r="A36" s="5"/>
      <c r="E36" s="26" t="s">
        <v>45</v>
      </c>
      <c r="I36" s="13"/>
      <c r="J36" s="9"/>
      <c r="K36" s="1"/>
      <c r="N36" s="10">
        <v>362</v>
      </c>
    </row>
    <row r="37" spans="1:14" x14ac:dyDescent="0.25">
      <c r="A37" s="5"/>
      <c r="E37" s="25" t="s">
        <v>46</v>
      </c>
      <c r="I37" s="13"/>
      <c r="J37" s="9"/>
      <c r="K37" s="1"/>
      <c r="N37" s="10">
        <v>689</v>
      </c>
    </row>
    <row r="38" spans="1:14" x14ac:dyDescent="0.25">
      <c r="A38" s="66" t="s">
        <v>24</v>
      </c>
      <c r="B38" s="1" t="s">
        <v>7</v>
      </c>
      <c r="D38" s="6"/>
      <c r="E38" s="2"/>
      <c r="L38" s="2">
        <v>30.434922</v>
      </c>
      <c r="N38" s="2">
        <v>74.7</v>
      </c>
    </row>
    <row r="39" spans="1:14" x14ac:dyDescent="0.25">
      <c r="A39" s="67"/>
      <c r="B39" s="1" t="s">
        <v>12</v>
      </c>
      <c r="L39" s="2">
        <v>1.5</v>
      </c>
      <c r="M39" s="2">
        <f>L39/L38</f>
        <v>4.9285488558176688E-2</v>
      </c>
      <c r="N39" s="2">
        <v>1.4</v>
      </c>
    </row>
    <row r="40" spans="1:14" x14ac:dyDescent="0.25">
      <c r="A40" s="67"/>
      <c r="B40" s="1"/>
      <c r="C40" s="4" t="s">
        <v>15</v>
      </c>
    </row>
    <row r="41" spans="1:14" x14ac:dyDescent="0.25">
      <c r="A41" s="67"/>
      <c r="B41" s="1"/>
      <c r="C41" s="3"/>
      <c r="D41" s="11" t="s">
        <v>38</v>
      </c>
    </row>
    <row r="42" spans="1:14" x14ac:dyDescent="0.25">
      <c r="A42" s="67"/>
      <c r="B42" s="1"/>
      <c r="C42" s="3"/>
      <c r="E42" s="19" t="s">
        <v>29</v>
      </c>
    </row>
    <row r="43" spans="1:14" x14ac:dyDescent="0.25">
      <c r="A43" s="67"/>
      <c r="B43" s="1"/>
      <c r="C43" s="3"/>
      <c r="E43" s="19" t="s">
        <v>30</v>
      </c>
    </row>
    <row r="44" spans="1:14" x14ac:dyDescent="0.25">
      <c r="A44" s="67"/>
      <c r="B44" s="1"/>
      <c r="C44" s="3"/>
      <c r="D44" s="19"/>
      <c r="E44" s="27"/>
    </row>
    <row r="45" spans="1:14" x14ac:dyDescent="0.25">
      <c r="A45" s="67"/>
      <c r="B45" s="1"/>
      <c r="C45" s="2" t="s">
        <v>16</v>
      </c>
    </row>
    <row r="46" spans="1:14" x14ac:dyDescent="0.25">
      <c r="A46" s="67"/>
      <c r="B46" s="1"/>
      <c r="C46" s="1"/>
      <c r="D46" s="6"/>
      <c r="E46" s="25"/>
    </row>
    <row r="47" spans="1:14" x14ac:dyDescent="0.25">
      <c r="A47" s="67"/>
      <c r="B47" s="1" t="s">
        <v>10</v>
      </c>
      <c r="L47" s="2">
        <v>7.2</v>
      </c>
      <c r="M47" s="2">
        <f>L47/L38</f>
        <v>0.23657034507924812</v>
      </c>
      <c r="N47" s="2">
        <v>4.3</v>
      </c>
    </row>
    <row r="48" spans="1:14" x14ac:dyDescent="0.25">
      <c r="A48" s="68"/>
      <c r="B48" s="1"/>
      <c r="C48" s="2" t="s">
        <v>17</v>
      </c>
    </row>
    <row r="49" spans="2:15" x14ac:dyDescent="0.25">
      <c r="B49" s="1"/>
      <c r="C49" s="2" t="s">
        <v>39</v>
      </c>
    </row>
    <row r="50" spans="2:15" x14ac:dyDescent="0.25">
      <c r="B50" s="1"/>
      <c r="C50" s="2" t="s">
        <v>40</v>
      </c>
    </row>
    <row r="51" spans="2:15" x14ac:dyDescent="0.25">
      <c r="B51" s="1" t="s">
        <v>13</v>
      </c>
      <c r="L51" s="2">
        <v>12.7</v>
      </c>
      <c r="M51" s="22">
        <f>L51/L38</f>
        <v>0.41728380312589597</v>
      </c>
      <c r="N51" s="2">
        <v>8.6</v>
      </c>
    </row>
    <row r="52" spans="2:15" x14ac:dyDescent="0.25">
      <c r="B52" s="1"/>
      <c r="C52" s="2" t="s">
        <v>18</v>
      </c>
    </row>
    <row r="53" spans="2:15" x14ac:dyDescent="0.25">
      <c r="B53" s="1"/>
      <c r="C53" s="2" t="s">
        <v>19</v>
      </c>
    </row>
    <row r="54" spans="2:15" x14ac:dyDescent="0.25">
      <c r="B54" s="1"/>
      <c r="C54" s="2" t="s">
        <v>20</v>
      </c>
    </row>
    <row r="55" spans="2:15" x14ac:dyDescent="0.25">
      <c r="B55" s="1" t="s">
        <v>9</v>
      </c>
      <c r="L55" s="2">
        <v>0.69</v>
      </c>
      <c r="N55" s="2">
        <v>0.5</v>
      </c>
    </row>
    <row r="56" spans="2:15" x14ac:dyDescent="0.25">
      <c r="B56" s="1"/>
      <c r="C56" s="2" t="s">
        <v>21</v>
      </c>
    </row>
    <row r="57" spans="2:15" x14ac:dyDescent="0.25">
      <c r="B57" s="1"/>
      <c r="C57" s="2" t="s">
        <v>22</v>
      </c>
    </row>
    <row r="58" spans="2:15" x14ac:dyDescent="0.25">
      <c r="B58" s="1" t="s">
        <v>8</v>
      </c>
      <c r="L58" s="2">
        <v>0.1</v>
      </c>
      <c r="N58" s="2">
        <v>6.7000000000000004E-2</v>
      </c>
    </row>
    <row r="59" spans="2:15" x14ac:dyDescent="0.25">
      <c r="B59" s="1" t="s">
        <v>11</v>
      </c>
      <c r="L59" s="2">
        <v>6.9</v>
      </c>
      <c r="M59" s="2">
        <f>L59/L38</f>
        <v>0.22671324736761278</v>
      </c>
      <c r="N59" s="2">
        <v>59.2</v>
      </c>
      <c r="O59" s="3">
        <f>N59/N38</f>
        <v>0.79250334672021416</v>
      </c>
    </row>
    <row r="60" spans="2:15" x14ac:dyDescent="0.25">
      <c r="O60" s="2" t="s">
        <v>49</v>
      </c>
    </row>
  </sheetData>
  <mergeCells count="9">
    <mergeCell ref="J1:O1"/>
    <mergeCell ref="P1:T1"/>
    <mergeCell ref="J3:K3"/>
    <mergeCell ref="A9:A32"/>
    <mergeCell ref="A38:A48"/>
    <mergeCell ref="F2:G2"/>
    <mergeCell ref="H2:I2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1"/>
  <sheetViews>
    <sheetView tabSelected="1" zoomScale="85" zoomScaleNormal="85" workbookViewId="0">
      <selection activeCell="L18" sqref="L18"/>
    </sheetView>
  </sheetViews>
  <sheetFormatPr defaultRowHeight="13.8" x14ac:dyDescent="0.25"/>
  <cols>
    <col min="1" max="1" width="13.5546875" style="76" customWidth="1"/>
    <col min="2" max="4" width="11.21875" style="76" customWidth="1"/>
    <col min="5" max="5" width="15.33203125" style="76" customWidth="1"/>
    <col min="6" max="6" width="10.6640625" style="76" customWidth="1"/>
    <col min="7" max="7" width="8.88671875" style="76"/>
    <col min="8" max="9" width="12.21875" style="76" customWidth="1"/>
    <col min="10" max="11" width="8.88671875" style="76"/>
    <col min="12" max="12" width="12.77734375" style="76" customWidth="1"/>
    <col min="13" max="16384" width="8.88671875" style="76"/>
  </cols>
  <sheetData>
    <row r="1" spans="1:11" x14ac:dyDescent="0.25">
      <c r="A1" s="72" t="s">
        <v>102</v>
      </c>
      <c r="B1" s="72" t="s">
        <v>103</v>
      </c>
      <c r="C1" s="72" t="s">
        <v>104</v>
      </c>
      <c r="D1" s="72" t="s">
        <v>105</v>
      </c>
      <c r="E1" s="72" t="s">
        <v>106</v>
      </c>
      <c r="F1" s="72" t="s">
        <v>107</v>
      </c>
      <c r="G1" s="76" t="s">
        <v>128</v>
      </c>
      <c r="H1" s="76" t="s">
        <v>129</v>
      </c>
      <c r="I1" s="76" t="s">
        <v>132</v>
      </c>
      <c r="J1" s="76" t="s">
        <v>130</v>
      </c>
      <c r="K1" s="76" t="s">
        <v>131</v>
      </c>
    </row>
    <row r="2" spans="1:11" x14ac:dyDescent="0.25">
      <c r="A2" s="72" t="s">
        <v>108</v>
      </c>
      <c r="B2" s="72">
        <v>2048</v>
      </c>
      <c r="C2" s="72">
        <v>1</v>
      </c>
      <c r="D2" s="72">
        <f>B2*C2/8192</f>
        <v>0.25</v>
      </c>
      <c r="E2" s="72">
        <v>6750</v>
      </c>
      <c r="F2" s="73">
        <f>(B2*C2)/E2</f>
        <v>0.3034074074074074</v>
      </c>
    </row>
    <row r="3" spans="1:11" x14ac:dyDescent="0.25">
      <c r="A3" s="74" t="s">
        <v>77</v>
      </c>
      <c r="B3" s="72">
        <v>32</v>
      </c>
      <c r="C3" s="72">
        <v>16</v>
      </c>
      <c r="D3" s="72">
        <f t="shared" ref="D3:D29" si="0">B3*C3/8192</f>
        <v>6.25E-2</v>
      </c>
      <c r="E3" s="72">
        <v>2762</v>
      </c>
      <c r="F3" s="73">
        <f t="shared" ref="F3:F29" si="1">(B3*C3)/E3</f>
        <v>0.18537291817523532</v>
      </c>
    </row>
    <row r="4" spans="1:11" x14ac:dyDescent="0.25">
      <c r="A4" s="74"/>
      <c r="B4" s="72">
        <v>32</v>
      </c>
      <c r="C4" s="72">
        <v>128</v>
      </c>
      <c r="D4" s="72">
        <f t="shared" si="0"/>
        <v>0.5</v>
      </c>
      <c r="E4" s="72">
        <v>15180</v>
      </c>
      <c r="F4" s="73">
        <f t="shared" si="1"/>
        <v>0.26982872200263502</v>
      </c>
    </row>
    <row r="5" spans="1:11" x14ac:dyDescent="0.25">
      <c r="A5" s="74"/>
      <c r="B5" s="72">
        <v>64</v>
      </c>
      <c r="C5" s="72">
        <v>128</v>
      </c>
      <c r="D5" s="72">
        <f t="shared" si="0"/>
        <v>1</v>
      </c>
      <c r="E5" s="72">
        <v>15867</v>
      </c>
      <c r="F5" s="73">
        <f t="shared" si="1"/>
        <v>0.51629167454465241</v>
      </c>
    </row>
    <row r="6" spans="1:11" x14ac:dyDescent="0.25">
      <c r="A6" s="74"/>
      <c r="B6" s="72">
        <v>64</v>
      </c>
      <c r="C6" s="72">
        <v>64</v>
      </c>
      <c r="D6" s="72">
        <f t="shared" si="0"/>
        <v>0.5</v>
      </c>
      <c r="E6" s="72">
        <v>8451</v>
      </c>
      <c r="F6" s="73">
        <f t="shared" si="1"/>
        <v>0.48467636966039523</v>
      </c>
    </row>
    <row r="7" spans="1:11" x14ac:dyDescent="0.25">
      <c r="A7" s="74"/>
      <c r="B7" s="72">
        <v>128</v>
      </c>
      <c r="C7" s="72">
        <v>64</v>
      </c>
      <c r="D7" s="72">
        <f t="shared" si="0"/>
        <v>1</v>
      </c>
      <c r="E7" s="72">
        <v>9182</v>
      </c>
      <c r="F7" s="118">
        <f t="shared" si="1"/>
        <v>0.89218035286429975</v>
      </c>
    </row>
    <row r="8" spans="1:11" x14ac:dyDescent="0.25">
      <c r="A8" s="74"/>
      <c r="B8" s="72">
        <v>128</v>
      </c>
      <c r="C8" s="72">
        <v>128</v>
      </c>
      <c r="D8" s="72">
        <f t="shared" si="0"/>
        <v>2</v>
      </c>
      <c r="E8" s="72">
        <v>17239</v>
      </c>
      <c r="F8" s="118">
        <f t="shared" si="1"/>
        <v>0.95040315563547773</v>
      </c>
      <c r="H8" s="76">
        <f>E8*32/1000000</f>
        <v>0.55164800000000003</v>
      </c>
      <c r="I8" s="76">
        <f>H8+0.16</f>
        <v>0.71164800000000006</v>
      </c>
      <c r="J8" s="76">
        <f>(1.27-(H8+0.16))/1.27</f>
        <v>0.43964724409448813</v>
      </c>
      <c r="K8" s="76">
        <f>(D8-4)/4</f>
        <v>-0.5</v>
      </c>
    </row>
    <row r="9" spans="1:11" x14ac:dyDescent="0.25">
      <c r="A9" s="74"/>
      <c r="B9" s="115">
        <v>256</v>
      </c>
      <c r="C9" s="115">
        <v>128</v>
      </c>
      <c r="D9" s="115">
        <f t="shared" si="0"/>
        <v>4</v>
      </c>
      <c r="E9" s="115">
        <v>19964</v>
      </c>
      <c r="F9" s="118">
        <f t="shared" si="1"/>
        <v>1.6413544379883791</v>
      </c>
      <c r="G9" s="119">
        <f>(F9-F8)/F8</f>
        <v>0.72700861550791418</v>
      </c>
      <c r="H9" s="119">
        <f t="shared" ref="H9:H13" si="2">E9*32/1000000</f>
        <v>0.63884799999999997</v>
      </c>
      <c r="I9" s="119">
        <f t="shared" ref="I9:I13" si="3">H9+0.16</f>
        <v>0.798848</v>
      </c>
      <c r="J9" s="119">
        <f t="shared" ref="J9:J10" si="4">(1.27-(H9+0.16))/1.27</f>
        <v>0.37098582677165354</v>
      </c>
      <c r="K9" s="119">
        <f t="shared" ref="K9:K10" si="5">(D9-4)/4</f>
        <v>0</v>
      </c>
    </row>
    <row r="10" spans="1:11" x14ac:dyDescent="0.25">
      <c r="A10" s="74"/>
      <c r="B10" s="114">
        <v>512</v>
      </c>
      <c r="C10" s="114">
        <v>128</v>
      </c>
      <c r="D10" s="114">
        <f t="shared" si="0"/>
        <v>8</v>
      </c>
      <c r="E10" s="114">
        <v>25586</v>
      </c>
      <c r="F10" s="75">
        <f t="shared" si="1"/>
        <v>2.5614007660439304</v>
      </c>
      <c r="G10" s="103">
        <f t="shared" ref="G10:G13" si="6">(F10-F9)/F9</f>
        <v>0.56054092081607132</v>
      </c>
      <c r="H10" s="103">
        <f t="shared" si="2"/>
        <v>0.81875200000000004</v>
      </c>
      <c r="I10" s="76">
        <f t="shared" si="3"/>
        <v>0.97875200000000007</v>
      </c>
      <c r="J10" s="76">
        <f t="shared" si="4"/>
        <v>0.22932913385826767</v>
      </c>
      <c r="K10" s="76">
        <f t="shared" si="5"/>
        <v>1</v>
      </c>
    </row>
    <row r="11" spans="1:11" x14ac:dyDescent="0.25">
      <c r="A11" s="74"/>
      <c r="B11" s="72">
        <v>1024</v>
      </c>
      <c r="C11" s="72">
        <v>128</v>
      </c>
      <c r="D11" s="72">
        <f t="shared" si="0"/>
        <v>16</v>
      </c>
      <c r="E11" s="72">
        <v>36545</v>
      </c>
      <c r="F11" s="73">
        <f t="shared" si="1"/>
        <v>3.5865918730332469</v>
      </c>
      <c r="G11" s="76">
        <f t="shared" si="6"/>
        <v>0.40024627171979754</v>
      </c>
      <c r="H11" s="76">
        <f t="shared" si="2"/>
        <v>1.16944</v>
      </c>
      <c r="I11" s="76">
        <f t="shared" si="3"/>
        <v>1.32944</v>
      </c>
    </row>
    <row r="12" spans="1:11" x14ac:dyDescent="0.25">
      <c r="A12" s="74"/>
      <c r="B12" s="72">
        <v>2048</v>
      </c>
      <c r="C12" s="72">
        <v>128</v>
      </c>
      <c r="D12" s="72">
        <f t="shared" si="0"/>
        <v>32</v>
      </c>
      <c r="E12" s="72">
        <v>63968</v>
      </c>
      <c r="F12" s="73">
        <f t="shared" si="1"/>
        <v>4.0980490245122558</v>
      </c>
      <c r="G12" s="76">
        <f t="shared" si="6"/>
        <v>0.14260255127563767</v>
      </c>
      <c r="H12" s="76">
        <f t="shared" si="2"/>
        <v>2.0469759999999999</v>
      </c>
      <c r="I12" s="76">
        <f t="shared" si="3"/>
        <v>2.206976</v>
      </c>
    </row>
    <row r="13" spans="1:11" x14ac:dyDescent="0.25">
      <c r="A13" s="74"/>
      <c r="B13" s="72">
        <v>4096</v>
      </c>
      <c r="C13" s="72">
        <v>128</v>
      </c>
      <c r="D13" s="72">
        <f t="shared" si="0"/>
        <v>64</v>
      </c>
      <c r="E13" s="72">
        <v>118814</v>
      </c>
      <c r="F13" s="73">
        <f t="shared" si="1"/>
        <v>4.4126786405642431</v>
      </c>
      <c r="G13" s="76">
        <f t="shared" si="6"/>
        <v>7.6775464170888985E-2</v>
      </c>
      <c r="H13" s="76">
        <f t="shared" si="2"/>
        <v>3.8020480000000001</v>
      </c>
      <c r="I13" s="76">
        <f t="shared" si="3"/>
        <v>3.9620480000000002</v>
      </c>
    </row>
    <row r="14" spans="1:11" x14ac:dyDescent="0.25">
      <c r="A14" s="72"/>
      <c r="B14" s="72"/>
      <c r="C14" s="72"/>
      <c r="D14" s="72"/>
      <c r="E14" s="72"/>
      <c r="F14" s="73"/>
    </row>
    <row r="15" spans="1:11" x14ac:dyDescent="0.25">
      <c r="A15" s="74" t="s">
        <v>92</v>
      </c>
      <c r="B15" s="72">
        <v>1024</v>
      </c>
      <c r="C15" s="72">
        <v>32</v>
      </c>
      <c r="D15" s="72">
        <f t="shared" si="0"/>
        <v>4</v>
      </c>
      <c r="E15" s="72">
        <v>8301</v>
      </c>
      <c r="F15" s="73">
        <f t="shared" si="1"/>
        <v>3.947476207685821</v>
      </c>
    </row>
    <row r="16" spans="1:11" x14ac:dyDescent="0.25">
      <c r="A16" s="74"/>
      <c r="B16" s="72">
        <v>128</v>
      </c>
      <c r="C16" s="72">
        <v>64</v>
      </c>
      <c r="D16" s="72">
        <f t="shared" si="0"/>
        <v>1</v>
      </c>
      <c r="E16" s="72">
        <v>4316</v>
      </c>
      <c r="F16" s="73">
        <f t="shared" si="1"/>
        <v>1.8980537534754403</v>
      </c>
    </row>
    <row r="17" spans="1:6" x14ac:dyDescent="0.25">
      <c r="A17" s="74"/>
      <c r="B17" s="72">
        <v>256</v>
      </c>
      <c r="C17" s="72">
        <v>64</v>
      </c>
      <c r="D17" s="72">
        <f t="shared" si="0"/>
        <v>2</v>
      </c>
      <c r="E17" s="72">
        <v>5786</v>
      </c>
      <c r="F17" s="73">
        <f t="shared" si="1"/>
        <v>2.8316626339440027</v>
      </c>
    </row>
    <row r="18" spans="1:6" x14ac:dyDescent="0.25">
      <c r="A18" s="74"/>
      <c r="B18" s="72">
        <v>512</v>
      </c>
      <c r="C18" s="72">
        <v>64</v>
      </c>
      <c r="D18" s="72">
        <f t="shared" si="0"/>
        <v>4</v>
      </c>
      <c r="E18" s="72">
        <v>8726</v>
      </c>
      <c r="F18" s="73">
        <f t="shared" si="1"/>
        <v>3.7552143020857209</v>
      </c>
    </row>
    <row r="19" spans="1:6" x14ac:dyDescent="0.25">
      <c r="A19" s="74"/>
      <c r="B19" s="72">
        <v>1024</v>
      </c>
      <c r="C19" s="72">
        <v>64</v>
      </c>
      <c r="D19" s="72">
        <f t="shared" si="0"/>
        <v>8</v>
      </c>
      <c r="E19" s="72">
        <v>14726</v>
      </c>
      <c r="F19" s="73">
        <f t="shared" si="1"/>
        <v>4.45035990764634</v>
      </c>
    </row>
    <row r="20" spans="1:6" x14ac:dyDescent="0.25">
      <c r="A20" s="74"/>
      <c r="B20" s="72">
        <v>2048</v>
      </c>
      <c r="C20" s="72">
        <v>64</v>
      </c>
      <c r="D20" s="72">
        <f t="shared" si="0"/>
        <v>16</v>
      </c>
      <c r="E20" s="72">
        <v>27288</v>
      </c>
      <c r="F20" s="73">
        <f t="shared" si="1"/>
        <v>4.8032834945763705</v>
      </c>
    </row>
    <row r="21" spans="1:6" x14ac:dyDescent="0.25">
      <c r="A21" s="74"/>
      <c r="B21" s="72">
        <v>32</v>
      </c>
      <c r="C21" s="72">
        <v>128</v>
      </c>
      <c r="D21" s="72">
        <f t="shared" si="0"/>
        <v>0.5</v>
      </c>
      <c r="E21" s="72">
        <v>3102</v>
      </c>
      <c r="F21" s="73">
        <f t="shared" si="1"/>
        <v>1.3204384268214056</v>
      </c>
    </row>
    <row r="22" spans="1:6" x14ac:dyDescent="0.25">
      <c r="A22" s="74"/>
      <c r="B22" s="72">
        <v>64</v>
      </c>
      <c r="C22" s="72">
        <v>128</v>
      </c>
      <c r="D22" s="72">
        <f t="shared" si="0"/>
        <v>1</v>
      </c>
      <c r="E22" s="72">
        <v>3879</v>
      </c>
      <c r="F22" s="73">
        <f t="shared" si="1"/>
        <v>2.1118845063160609</v>
      </c>
    </row>
    <row r="23" spans="1:6" x14ac:dyDescent="0.25">
      <c r="A23" s="74"/>
      <c r="B23" s="72">
        <v>128</v>
      </c>
      <c r="C23" s="72">
        <v>128</v>
      </c>
      <c r="D23" s="72">
        <f t="shared" si="0"/>
        <v>2</v>
      </c>
      <c r="E23" s="72">
        <v>8083</v>
      </c>
      <c r="F23" s="73">
        <f t="shared" si="1"/>
        <v>2.0269701843374985</v>
      </c>
    </row>
    <row r="24" spans="1:6" x14ac:dyDescent="0.25">
      <c r="A24" s="74"/>
      <c r="B24" s="72">
        <v>256</v>
      </c>
      <c r="C24" s="72">
        <v>128</v>
      </c>
      <c r="D24" s="72">
        <f t="shared" si="0"/>
        <v>4</v>
      </c>
      <c r="E24" s="72">
        <v>10836</v>
      </c>
      <c r="F24" s="75">
        <f t="shared" si="1"/>
        <v>3.0239940937615355</v>
      </c>
    </row>
    <row r="25" spans="1:6" x14ac:dyDescent="0.25">
      <c r="A25" s="74"/>
      <c r="B25" s="72">
        <v>512</v>
      </c>
      <c r="C25" s="72">
        <v>128</v>
      </c>
      <c r="D25" s="72">
        <f t="shared" si="0"/>
        <v>8</v>
      </c>
      <c r="E25" s="72">
        <v>16342</v>
      </c>
      <c r="F25" s="75">
        <f t="shared" si="1"/>
        <v>4.0102802594541673</v>
      </c>
    </row>
    <row r="26" spans="1:6" x14ac:dyDescent="0.25">
      <c r="A26" s="74"/>
      <c r="B26" s="72">
        <v>1024</v>
      </c>
      <c r="C26" s="72">
        <v>128</v>
      </c>
      <c r="D26" s="72">
        <f t="shared" si="0"/>
        <v>16</v>
      </c>
      <c r="E26" s="72">
        <v>27577</v>
      </c>
      <c r="F26" s="75">
        <f t="shared" si="1"/>
        <v>4.7529462958262316</v>
      </c>
    </row>
    <row r="27" spans="1:6" x14ac:dyDescent="0.25">
      <c r="A27" s="74"/>
      <c r="B27" s="72">
        <v>2048</v>
      </c>
      <c r="C27" s="72">
        <v>128</v>
      </c>
      <c r="D27" s="72">
        <f t="shared" si="0"/>
        <v>32</v>
      </c>
      <c r="E27" s="72">
        <v>51313</v>
      </c>
      <c r="F27" s="73">
        <f t="shared" si="1"/>
        <v>5.1087248845321849</v>
      </c>
    </row>
    <row r="28" spans="1:6" x14ac:dyDescent="0.25">
      <c r="A28" s="74"/>
      <c r="B28" s="72">
        <v>64</v>
      </c>
      <c r="C28" s="72">
        <v>256</v>
      </c>
      <c r="D28" s="72">
        <f t="shared" si="0"/>
        <v>2</v>
      </c>
      <c r="E28" s="72">
        <v>7083</v>
      </c>
      <c r="F28" s="73">
        <f t="shared" si="1"/>
        <v>2.3131441479599042</v>
      </c>
    </row>
    <row r="29" spans="1:6" x14ac:dyDescent="0.25">
      <c r="A29" s="74"/>
      <c r="B29" s="72">
        <v>128</v>
      </c>
      <c r="C29" s="72">
        <v>256</v>
      </c>
      <c r="D29" s="72">
        <f t="shared" si="0"/>
        <v>4</v>
      </c>
      <c r="E29" s="72">
        <v>9919</v>
      </c>
      <c r="F29" s="117">
        <f t="shared" si="1"/>
        <v>3.3035588264946063</v>
      </c>
    </row>
    <row r="30" spans="1:6" x14ac:dyDescent="0.25">
      <c r="A30" s="74"/>
      <c r="B30" s="72"/>
      <c r="C30" s="72"/>
      <c r="D30" s="72"/>
      <c r="E30" s="72"/>
      <c r="F30" s="72"/>
    </row>
    <row r="31" spans="1:6" x14ac:dyDescent="0.25">
      <c r="A31" s="74"/>
      <c r="B31" s="72"/>
      <c r="C31" s="72"/>
      <c r="D31" s="72"/>
      <c r="E31" s="72"/>
      <c r="F31" s="72"/>
    </row>
    <row r="32" spans="1:6" x14ac:dyDescent="0.25">
      <c r="A32" s="74"/>
      <c r="B32" s="72"/>
      <c r="C32" s="72"/>
      <c r="D32" s="72"/>
      <c r="E32" s="72"/>
      <c r="F32" s="72"/>
    </row>
    <row r="33" spans="1:38" ht="14.4" thickBot="1" x14ac:dyDescent="0.3">
      <c r="A33" s="74"/>
      <c r="B33" s="72"/>
      <c r="C33" s="72"/>
      <c r="D33" s="72"/>
      <c r="E33" s="72"/>
      <c r="F33" s="72"/>
    </row>
    <row r="34" spans="1:38" ht="14.4" thickBot="1" x14ac:dyDescent="0.3">
      <c r="A34" s="74"/>
      <c r="B34" s="72"/>
      <c r="C34" s="72"/>
      <c r="D34" s="72"/>
      <c r="E34" s="72"/>
      <c r="F34" s="72"/>
      <c r="Z34" s="77"/>
      <c r="AA34" s="78" t="s">
        <v>114</v>
      </c>
      <c r="AB34" s="79"/>
      <c r="AC34" s="80"/>
      <c r="AD34" s="81" t="s">
        <v>115</v>
      </c>
      <c r="AE34" s="82"/>
      <c r="AF34" s="83"/>
      <c r="AG34" s="81" t="s">
        <v>116</v>
      </c>
      <c r="AH34" s="82"/>
      <c r="AI34" s="83"/>
      <c r="AJ34" s="84" t="s">
        <v>117</v>
      </c>
      <c r="AK34" s="85"/>
      <c r="AL34" s="86"/>
    </row>
    <row r="35" spans="1:38" ht="14.4" thickBot="1" x14ac:dyDescent="0.3">
      <c r="Z35" s="77"/>
      <c r="AA35" s="87"/>
      <c r="AB35" s="88"/>
      <c r="AC35" s="89"/>
      <c r="AD35" s="90"/>
      <c r="AE35" s="91"/>
      <c r="AF35" s="92"/>
      <c r="AG35" s="90"/>
      <c r="AH35" s="91"/>
      <c r="AI35" s="92"/>
      <c r="AJ35" s="84"/>
      <c r="AK35" s="85"/>
      <c r="AL35" s="93"/>
    </row>
    <row r="36" spans="1:38" ht="14.4" thickBot="1" x14ac:dyDescent="0.3">
      <c r="Z36" s="77"/>
      <c r="AA36" s="87"/>
      <c r="AB36" s="88"/>
      <c r="AC36" s="89"/>
      <c r="AD36" s="90"/>
      <c r="AE36" s="91"/>
      <c r="AF36" s="92"/>
      <c r="AG36" s="90"/>
      <c r="AH36" s="91"/>
      <c r="AI36" s="92"/>
      <c r="AJ36" s="84"/>
      <c r="AK36" s="85"/>
      <c r="AL36" s="93"/>
    </row>
    <row r="37" spans="1:38" ht="14.4" thickBot="1" x14ac:dyDescent="0.3">
      <c r="Z37" s="77"/>
      <c r="AA37" s="87"/>
      <c r="AB37" s="88"/>
      <c r="AC37" s="89"/>
      <c r="AD37" s="90"/>
      <c r="AE37" s="91"/>
      <c r="AF37" s="92"/>
      <c r="AG37" s="90"/>
      <c r="AH37" s="91"/>
      <c r="AI37" s="92"/>
      <c r="AJ37" s="84"/>
      <c r="AK37" s="85"/>
      <c r="AL37" s="93"/>
    </row>
    <row r="38" spans="1:38" ht="14.4" thickBot="1" x14ac:dyDescent="0.3">
      <c r="Z38" s="77"/>
      <c r="AA38" s="87"/>
      <c r="AB38" s="88"/>
      <c r="AC38" s="89"/>
      <c r="AD38" s="90"/>
      <c r="AE38" s="91"/>
      <c r="AF38" s="92"/>
      <c r="AG38" s="90"/>
      <c r="AH38" s="91"/>
      <c r="AI38" s="92"/>
      <c r="AJ38" s="84"/>
      <c r="AK38" s="85"/>
      <c r="AL38" s="93"/>
    </row>
    <row r="39" spans="1:38" ht="14.4" thickBot="1" x14ac:dyDescent="0.3">
      <c r="Z39" s="77"/>
      <c r="AA39" s="87"/>
      <c r="AB39" s="88"/>
      <c r="AC39" s="89"/>
      <c r="AD39" s="90"/>
      <c r="AE39" s="91"/>
      <c r="AF39" s="92"/>
      <c r="AG39" s="90"/>
      <c r="AH39" s="91"/>
      <c r="AI39" s="92"/>
      <c r="AJ39" s="84"/>
      <c r="AK39" s="85"/>
      <c r="AL39" s="93"/>
    </row>
    <row r="40" spans="1:38" x14ac:dyDescent="0.25">
      <c r="Z40" s="77"/>
      <c r="AA40" s="84" t="s">
        <v>118</v>
      </c>
      <c r="AB40" s="85" t="s">
        <v>119</v>
      </c>
      <c r="AC40" s="86" t="s">
        <v>120</v>
      </c>
      <c r="AD40" s="84" t="s">
        <v>118</v>
      </c>
      <c r="AE40" s="85" t="s">
        <v>119</v>
      </c>
      <c r="AF40" s="94" t="s">
        <v>120</v>
      </c>
      <c r="AG40" s="84" t="s">
        <v>118</v>
      </c>
      <c r="AH40" s="85" t="s">
        <v>119</v>
      </c>
      <c r="AI40" s="94" t="s">
        <v>120</v>
      </c>
      <c r="AJ40" s="84" t="s">
        <v>118</v>
      </c>
      <c r="AK40" s="85" t="s">
        <v>119</v>
      </c>
      <c r="AL40" s="94" t="s">
        <v>120</v>
      </c>
    </row>
    <row r="41" spans="1:38" x14ac:dyDescent="0.25">
      <c r="Z41" s="77"/>
      <c r="AA41" s="95"/>
      <c r="AB41" s="96"/>
      <c r="AC41" s="93"/>
      <c r="AD41" s="95"/>
      <c r="AE41" s="96"/>
      <c r="AF41" s="94"/>
      <c r="AG41" s="95"/>
      <c r="AH41" s="96"/>
      <c r="AI41" s="94"/>
      <c r="AJ41" s="95"/>
      <c r="AK41" s="96"/>
      <c r="AL41" s="94"/>
    </row>
    <row r="42" spans="1:38" x14ac:dyDescent="0.25">
      <c r="Z42" s="77"/>
      <c r="AA42" s="95"/>
      <c r="AB42" s="96"/>
      <c r="AC42" s="93"/>
      <c r="AD42" s="95"/>
      <c r="AE42" s="96"/>
      <c r="AF42" s="94"/>
      <c r="AG42" s="95"/>
      <c r="AH42" s="96"/>
      <c r="AI42" s="94"/>
      <c r="AJ42" s="95"/>
      <c r="AK42" s="96"/>
      <c r="AL42" s="94"/>
    </row>
    <row r="43" spans="1:38" x14ac:dyDescent="0.25">
      <c r="Z43" s="77"/>
      <c r="AA43" s="95"/>
      <c r="AB43" s="96"/>
      <c r="AC43" s="93"/>
      <c r="AD43" s="95"/>
      <c r="AE43" s="96"/>
      <c r="AF43" s="94"/>
      <c r="AG43" s="95"/>
      <c r="AH43" s="96"/>
      <c r="AI43" s="94"/>
      <c r="AJ43" s="95"/>
      <c r="AK43" s="96"/>
      <c r="AL43" s="94"/>
    </row>
    <row r="44" spans="1:38" x14ac:dyDescent="0.25">
      <c r="Z44" s="77"/>
      <c r="AA44" s="95"/>
      <c r="AB44" s="96"/>
      <c r="AC44" s="93"/>
      <c r="AD44" s="95"/>
      <c r="AE44" s="96"/>
      <c r="AF44" s="94"/>
      <c r="AG44" s="95"/>
      <c r="AH44" s="96"/>
      <c r="AI44" s="94"/>
      <c r="AJ44" s="95"/>
      <c r="AK44" s="96"/>
      <c r="AL44" s="94"/>
    </row>
    <row r="45" spans="1:38" x14ac:dyDescent="0.25">
      <c r="Z45" s="77" t="s">
        <v>78</v>
      </c>
      <c r="AA45" s="97">
        <v>1.5</v>
      </c>
      <c r="AB45" s="72">
        <v>2.2000000000000002</v>
      </c>
      <c r="AC45" s="94"/>
      <c r="AD45" s="97">
        <v>1.5</v>
      </c>
      <c r="AE45" s="72">
        <v>2.2000000000000002</v>
      </c>
      <c r="AF45" s="94"/>
      <c r="AG45" s="97">
        <v>1.5</v>
      </c>
      <c r="AH45" s="72">
        <v>2.2000000000000002</v>
      </c>
      <c r="AI45" s="94"/>
      <c r="AJ45" s="97">
        <v>1.5</v>
      </c>
      <c r="AK45" s="72">
        <v>2.2000000000000002</v>
      </c>
      <c r="AL45" s="94"/>
    </row>
    <row r="46" spans="1:38" x14ac:dyDescent="0.25">
      <c r="Z46" s="77" t="s">
        <v>121</v>
      </c>
      <c r="AA46" s="97">
        <v>0.11</v>
      </c>
      <c r="AB46" s="72"/>
      <c r="AC46" s="94">
        <v>83</v>
      </c>
      <c r="AD46" s="97">
        <v>0.17</v>
      </c>
      <c r="AE46" s="72"/>
      <c r="AF46" s="94">
        <f>AC46*1.8</f>
        <v>149.4</v>
      </c>
      <c r="AG46" s="97">
        <v>0.25</v>
      </c>
      <c r="AH46" s="72"/>
      <c r="AI46" s="94">
        <f>AC46*1.8</f>
        <v>149.4</v>
      </c>
      <c r="AJ46" s="97">
        <v>0.35</v>
      </c>
      <c r="AK46" s="72"/>
      <c r="AL46" s="94">
        <f>AC46*1.5*1.8</f>
        <v>224.1</v>
      </c>
    </row>
    <row r="47" spans="1:38" x14ac:dyDescent="0.25">
      <c r="Z47" s="77" t="s">
        <v>79</v>
      </c>
      <c r="AA47" s="97">
        <f>AA45-AA46*2</f>
        <v>1.28</v>
      </c>
      <c r="AB47" s="72">
        <f>AB45-AA46*2</f>
        <v>1.9800000000000002</v>
      </c>
      <c r="AC47" s="94"/>
      <c r="AD47" s="97">
        <f>AD45-AD46*2</f>
        <v>1.1599999999999999</v>
      </c>
      <c r="AE47" s="72">
        <f>AE45-AD46*2</f>
        <v>1.86</v>
      </c>
      <c r="AF47" s="94"/>
      <c r="AG47" s="97">
        <f>AG45-AG46*2</f>
        <v>1</v>
      </c>
      <c r="AH47" s="72">
        <f>AH45-AG46*2</f>
        <v>1.7000000000000002</v>
      </c>
      <c r="AI47" s="94"/>
      <c r="AJ47" s="97">
        <f>AJ45-AJ46*2</f>
        <v>0.8</v>
      </c>
      <c r="AK47" s="72">
        <f>AK45-AJ46*2</f>
        <v>1.5000000000000002</v>
      </c>
      <c r="AL47" s="94"/>
    </row>
    <row r="48" spans="1:38" ht="14.4" thickBot="1" x14ac:dyDescent="0.3">
      <c r="Z48" s="77" t="s">
        <v>122</v>
      </c>
      <c r="AA48" s="98">
        <f>AA47*AB47/AA45/AB45</f>
        <v>0.76800000000000002</v>
      </c>
      <c r="AB48" s="99"/>
      <c r="AC48" s="100"/>
      <c r="AD48" s="101">
        <f>AD47*AE47/AD45/AE45</f>
        <v>0.65381818181818174</v>
      </c>
      <c r="AE48" s="99"/>
      <c r="AF48" s="100"/>
      <c r="AG48" s="98">
        <f>AG47*AH47/AG45/AH45</f>
        <v>0.51515151515151525</v>
      </c>
      <c r="AH48" s="99"/>
      <c r="AI48" s="100"/>
      <c r="AJ48" s="98">
        <f>AJ47*AK47/AJ45/AK45</f>
        <v>0.3636363636363637</v>
      </c>
      <c r="AK48" s="99"/>
      <c r="AL48" s="100"/>
    </row>
    <row r="49" spans="26:38" x14ac:dyDescent="0.25">
      <c r="Z49" s="72" t="s">
        <v>81</v>
      </c>
      <c r="AA49" s="96">
        <f>AC46/AA47/AB47</f>
        <v>32.749368686868685</v>
      </c>
      <c r="AB49" s="96"/>
      <c r="AC49" s="96"/>
      <c r="AD49" s="96">
        <f>AF46/AD47/AE47</f>
        <v>69.243604004449395</v>
      </c>
      <c r="AE49" s="96"/>
      <c r="AF49" s="96"/>
      <c r="AG49" s="96">
        <f>AI46/AG47/AH47</f>
        <v>87.882352941176464</v>
      </c>
      <c r="AH49" s="96"/>
      <c r="AI49" s="96"/>
      <c r="AJ49" s="96">
        <f>AL46/AJ47/AK47</f>
        <v>186.74999999999997</v>
      </c>
      <c r="AK49" s="96"/>
      <c r="AL49" s="96"/>
    </row>
    <row r="50" spans="26:38" x14ac:dyDescent="0.25">
      <c r="Z50" s="102" t="s">
        <v>86</v>
      </c>
      <c r="AA50" s="103"/>
      <c r="AB50" s="103"/>
      <c r="AC50" s="103">
        <f>AC46/(AA47+AB47)/2</f>
        <v>12.730061349693251</v>
      </c>
      <c r="AD50" s="103"/>
      <c r="AE50" s="103"/>
      <c r="AF50" s="103">
        <f>AF46/(AD47+AE47)/2</f>
        <v>24.735099337748345</v>
      </c>
    </row>
    <row r="51" spans="26:38" x14ac:dyDescent="0.25">
      <c r="Z51" s="104" t="s">
        <v>78</v>
      </c>
      <c r="AA51" s="105">
        <f>AA53+AA52*2</f>
        <v>1.52</v>
      </c>
      <c r="AB51" s="105">
        <f>AB53+AA52*2</f>
        <v>1.52</v>
      </c>
      <c r="AC51" s="105">
        <f>AA51*AB51</f>
        <v>2.3104</v>
      </c>
      <c r="AD51" s="105">
        <f>AD53+AD52*2</f>
        <v>1.6400000000000001</v>
      </c>
      <c r="AE51" s="105">
        <f>AE53+AD52*2</f>
        <v>1.6400000000000001</v>
      </c>
      <c r="AF51" s="105">
        <f>AD51*AE51</f>
        <v>2.6896000000000004</v>
      </c>
    </row>
    <row r="52" spans="26:38" x14ac:dyDescent="0.25">
      <c r="Z52" s="104" t="s">
        <v>80</v>
      </c>
      <c r="AA52" s="105">
        <v>0.11</v>
      </c>
      <c r="AB52" s="105"/>
      <c r="AC52" s="105">
        <f>AC50*(AA51+AB51)*2</f>
        <v>77.398773006134974</v>
      </c>
      <c r="AD52" s="105">
        <v>0.17</v>
      </c>
      <c r="AE52" s="105"/>
      <c r="AF52" s="105">
        <f>AF50*(AD51+AE51)*2</f>
        <v>162.26225165562914</v>
      </c>
    </row>
    <row r="53" spans="26:38" x14ac:dyDescent="0.25">
      <c r="Z53" s="104" t="s">
        <v>79</v>
      </c>
      <c r="AA53" s="105">
        <v>1.3</v>
      </c>
      <c r="AB53" s="105">
        <v>1.3</v>
      </c>
      <c r="AC53" s="105">
        <f>AA53*AB53</f>
        <v>1.6900000000000002</v>
      </c>
      <c r="AD53" s="105">
        <v>1.3</v>
      </c>
      <c r="AE53" s="105">
        <v>1.3</v>
      </c>
      <c r="AF53" s="105"/>
    </row>
    <row r="54" spans="26:38" x14ac:dyDescent="0.25">
      <c r="Z54" s="104" t="s">
        <v>87</v>
      </c>
      <c r="AA54" s="105"/>
      <c r="AB54" s="105"/>
      <c r="AC54" s="105">
        <f>AA52*(AA53+AB53)*2</f>
        <v>0.57200000000000006</v>
      </c>
      <c r="AD54" s="105"/>
      <c r="AE54" s="105"/>
      <c r="AF54" s="105">
        <f>AD52*(AD53+AE53)*2</f>
        <v>0.88400000000000012</v>
      </c>
    </row>
    <row r="55" spans="26:38" ht="14.4" thickBot="1" x14ac:dyDescent="0.3">
      <c r="Z55" s="104" t="s">
        <v>123</v>
      </c>
      <c r="AA55" s="105"/>
      <c r="AB55" s="105"/>
      <c r="AC55" s="105"/>
      <c r="AD55" s="106">
        <f>AD53*AE53/AD51/AE51</f>
        <v>0.62834622248661509</v>
      </c>
      <c r="AE55" s="105"/>
      <c r="AF55" s="105"/>
    </row>
    <row r="56" spans="26:38" x14ac:dyDescent="0.25">
      <c r="Z56" s="107" t="s">
        <v>81</v>
      </c>
      <c r="AA56" s="105"/>
      <c r="AB56" s="105"/>
      <c r="AC56" s="105"/>
      <c r="AD56" s="108">
        <f>AF52/AD53/AE53</f>
        <v>96.013166660135582</v>
      </c>
      <c r="AE56" s="105"/>
      <c r="AF56" s="105"/>
    </row>
    <row r="57" spans="26:38" ht="14.4" thickBot="1" x14ac:dyDescent="0.3">
      <c r="Z57" s="109"/>
      <c r="AA57" s="105"/>
      <c r="AB57" s="105"/>
      <c r="AC57" s="105"/>
      <c r="AD57" s="110"/>
      <c r="AE57" s="105"/>
      <c r="AF57" s="105"/>
    </row>
    <row r="58" spans="26:38" x14ac:dyDescent="0.25">
      <c r="Z58" s="84"/>
      <c r="AA58" s="111" t="s">
        <v>114</v>
      </c>
      <c r="AB58" s="111"/>
      <c r="AC58" s="111"/>
      <c r="AD58" s="112" t="s">
        <v>124</v>
      </c>
      <c r="AE58" s="112"/>
      <c r="AF58" s="112"/>
      <c r="AG58" s="112" t="s">
        <v>116</v>
      </c>
      <c r="AH58" s="112"/>
      <c r="AI58" s="112"/>
      <c r="AJ58" s="85" t="s">
        <v>117</v>
      </c>
      <c r="AK58" s="85"/>
      <c r="AL58" s="86"/>
    </row>
    <row r="59" spans="26:38" x14ac:dyDescent="0.25">
      <c r="Z59" s="97"/>
      <c r="AA59" s="72" t="s">
        <v>118</v>
      </c>
      <c r="AB59" s="72" t="s">
        <v>119</v>
      </c>
      <c r="AC59" s="72" t="s">
        <v>125</v>
      </c>
      <c r="AD59" s="72" t="s">
        <v>118</v>
      </c>
      <c r="AE59" s="72" t="s">
        <v>119</v>
      </c>
      <c r="AF59" s="72" t="s">
        <v>120</v>
      </c>
      <c r="AG59" s="72" t="s">
        <v>118</v>
      </c>
      <c r="AH59" s="72" t="s">
        <v>119</v>
      </c>
      <c r="AI59" s="72" t="s">
        <v>120</v>
      </c>
      <c r="AJ59" s="72" t="s">
        <v>118</v>
      </c>
      <c r="AK59" s="72" t="s">
        <v>119</v>
      </c>
      <c r="AL59" s="94" t="s">
        <v>120</v>
      </c>
    </row>
    <row r="60" spans="26:38" x14ac:dyDescent="0.25">
      <c r="Z60" s="113" t="s">
        <v>79</v>
      </c>
      <c r="AA60" s="114">
        <v>1.7</v>
      </c>
      <c r="AB60" s="114">
        <v>1</v>
      </c>
      <c r="AC60" s="114">
        <v>0.11</v>
      </c>
      <c r="AD60" s="114">
        <v>1.7</v>
      </c>
      <c r="AE60" s="114">
        <v>1</v>
      </c>
      <c r="AF60" s="114">
        <v>1.7</v>
      </c>
      <c r="AG60" s="72"/>
      <c r="AH60" s="72"/>
      <c r="AI60" s="72"/>
      <c r="AJ60" s="72"/>
      <c r="AK60" s="72"/>
      <c r="AL60" s="94"/>
    </row>
    <row r="61" spans="26:38" x14ac:dyDescent="0.25">
      <c r="Z61" s="113" t="s">
        <v>78</v>
      </c>
      <c r="AA61" s="114">
        <f>AA60+AC60*2</f>
        <v>1.92</v>
      </c>
      <c r="AB61" s="114">
        <f>AB60+AC60*2</f>
        <v>1.22</v>
      </c>
      <c r="AC61" s="114">
        <f>AA61*AB61</f>
        <v>2.3424</v>
      </c>
      <c r="AD61" s="114">
        <f>AD60+AD62*2</f>
        <v>2.04</v>
      </c>
      <c r="AE61" s="114">
        <f>AE60+AD62*2</f>
        <v>1.34</v>
      </c>
      <c r="AF61" s="114">
        <f>AD61*AE61</f>
        <v>2.7336</v>
      </c>
      <c r="AG61" s="72"/>
      <c r="AH61" s="72"/>
      <c r="AI61" s="72"/>
      <c r="AJ61" s="72"/>
      <c r="AK61" s="72"/>
      <c r="AL61" s="94"/>
    </row>
    <row r="62" spans="26:38" x14ac:dyDescent="0.25">
      <c r="Z62" s="113" t="s">
        <v>126</v>
      </c>
      <c r="AB62" s="114"/>
      <c r="AC62" s="114">
        <f>AC56*(AA61+AB61)*2</f>
        <v>0</v>
      </c>
      <c r="AD62" s="114">
        <v>0.17</v>
      </c>
      <c r="AE62" s="114"/>
      <c r="AF62" s="114">
        <f>AF56*(AD61+AE61)*2</f>
        <v>0</v>
      </c>
      <c r="AG62" s="72"/>
      <c r="AH62" s="72"/>
      <c r="AI62" s="72"/>
      <c r="AJ62" s="72"/>
      <c r="AK62" s="72"/>
      <c r="AL62" s="94"/>
    </row>
    <row r="63" spans="26:38" x14ac:dyDescent="0.25">
      <c r="Z63" s="113" t="s">
        <v>87</v>
      </c>
      <c r="AA63" s="114"/>
      <c r="AB63" s="114"/>
      <c r="AC63" s="114" t="e">
        <f>AC61-#REF!</f>
        <v>#REF!</v>
      </c>
      <c r="AD63" s="114"/>
      <c r="AE63" s="114"/>
      <c r="AF63" s="114">
        <f>AF61-AF60</f>
        <v>1.0336000000000001</v>
      </c>
      <c r="AG63" s="72"/>
      <c r="AH63" s="72"/>
      <c r="AI63" s="72"/>
      <c r="AJ63" s="72"/>
      <c r="AK63" s="72"/>
      <c r="AL63" s="94"/>
    </row>
    <row r="64" spans="26:38" x14ac:dyDescent="0.25">
      <c r="Z64" s="113" t="s">
        <v>127</v>
      </c>
      <c r="AA64" s="114"/>
      <c r="AB64" s="114"/>
      <c r="AC64" s="114"/>
      <c r="AD64" s="115">
        <f>AD60*AE60/AD61/AE61</f>
        <v>0.62189054726368154</v>
      </c>
      <c r="AE64" s="114"/>
      <c r="AF64" s="114"/>
      <c r="AG64" s="72"/>
      <c r="AH64" s="72"/>
      <c r="AI64" s="72"/>
      <c r="AJ64" s="72"/>
      <c r="AK64" s="72"/>
      <c r="AL64" s="94"/>
    </row>
    <row r="65" spans="26:38" x14ac:dyDescent="0.25">
      <c r="Z65" s="113" t="s">
        <v>81</v>
      </c>
      <c r="AA65" s="114"/>
      <c r="AB65" s="114"/>
      <c r="AC65" s="114"/>
      <c r="AD65" s="114">
        <f>AF62/AD60/AE60</f>
        <v>0</v>
      </c>
      <c r="AE65" s="114"/>
      <c r="AF65" s="114"/>
      <c r="AG65" s="72"/>
      <c r="AH65" s="72"/>
      <c r="AI65" s="72"/>
      <c r="AJ65" s="72"/>
      <c r="AK65" s="72"/>
      <c r="AL65" s="94"/>
    </row>
    <row r="66" spans="26:38" x14ac:dyDescent="0.25">
      <c r="Z66" s="97" t="s">
        <v>78</v>
      </c>
      <c r="AA66" s="72">
        <f>AA68+AA67*2</f>
        <v>1.07</v>
      </c>
      <c r="AB66" s="72">
        <f>AB68+AA67*2</f>
        <v>2.2200000000000002</v>
      </c>
      <c r="AC66" s="72">
        <f>AA66*AB66</f>
        <v>2.3754000000000004</v>
      </c>
      <c r="AD66" s="72">
        <f>AD68+AD67*2</f>
        <v>1.19</v>
      </c>
      <c r="AE66" s="72">
        <f>AE68+AD67*2</f>
        <v>2.34</v>
      </c>
      <c r="AF66" s="72">
        <f>AD66*AE66</f>
        <v>2.7845999999999997</v>
      </c>
      <c r="AG66" s="72"/>
      <c r="AH66" s="72"/>
      <c r="AI66" s="72"/>
      <c r="AJ66" s="72"/>
      <c r="AK66" s="72"/>
      <c r="AL66" s="94"/>
    </row>
    <row r="67" spans="26:38" x14ac:dyDescent="0.25">
      <c r="Z67" s="97" t="s">
        <v>80</v>
      </c>
      <c r="AA67" s="72">
        <v>0.11</v>
      </c>
      <c r="AB67" s="72"/>
      <c r="AC67" s="72">
        <f>AC50*(AA68+AB68)*2</f>
        <v>72.561349693251529</v>
      </c>
      <c r="AD67" s="72">
        <v>0.17</v>
      </c>
      <c r="AE67" s="72"/>
      <c r="AF67" s="72">
        <f>AF50*(AD68+AE68)*2</f>
        <v>140.99006622516558</v>
      </c>
      <c r="AG67" s="72"/>
      <c r="AH67" s="72"/>
      <c r="AI67" s="72"/>
      <c r="AJ67" s="72"/>
      <c r="AK67" s="72"/>
      <c r="AL67" s="94"/>
    </row>
    <row r="68" spans="26:38" x14ac:dyDescent="0.25">
      <c r="Z68" s="97" t="s">
        <v>79</v>
      </c>
      <c r="AA68" s="72">
        <f>AC68/AB68</f>
        <v>0.85</v>
      </c>
      <c r="AB68" s="72">
        <v>2</v>
      </c>
      <c r="AC68" s="72">
        <v>1.7</v>
      </c>
      <c r="AD68" s="72">
        <f>AF68/AE68</f>
        <v>0.85</v>
      </c>
      <c r="AE68" s="72">
        <v>2</v>
      </c>
      <c r="AF68" s="72">
        <v>1.7</v>
      </c>
      <c r="AG68" s="72"/>
      <c r="AH68" s="72"/>
      <c r="AI68" s="72"/>
      <c r="AJ68" s="72"/>
      <c r="AK68" s="72"/>
      <c r="AL68" s="94"/>
    </row>
    <row r="69" spans="26:38" x14ac:dyDescent="0.25">
      <c r="Z69" s="97" t="s">
        <v>87</v>
      </c>
      <c r="AA69" s="72"/>
      <c r="AB69" s="72"/>
      <c r="AC69" s="72">
        <f>AC66-AC68</f>
        <v>0.67540000000000044</v>
      </c>
      <c r="AD69" s="72"/>
      <c r="AE69" s="72"/>
      <c r="AF69" s="72">
        <f>AF66-AF68</f>
        <v>1.0845999999999998</v>
      </c>
      <c r="AG69" s="72"/>
      <c r="AH69" s="72"/>
      <c r="AI69" s="72"/>
      <c r="AJ69" s="72"/>
      <c r="AK69" s="72"/>
      <c r="AL69" s="94"/>
    </row>
    <row r="70" spans="26:38" x14ac:dyDescent="0.25">
      <c r="Z70" s="97" t="s">
        <v>122</v>
      </c>
      <c r="AA70" s="72"/>
      <c r="AB70" s="72"/>
      <c r="AC70" s="72"/>
      <c r="AD70" s="116">
        <f>AD68*AE68/AD66/AE66</f>
        <v>0.61050061050061055</v>
      </c>
      <c r="AE70" s="72"/>
      <c r="AF70" s="72"/>
      <c r="AG70" s="72"/>
      <c r="AH70" s="72"/>
      <c r="AI70" s="72"/>
      <c r="AJ70" s="72"/>
      <c r="AK70" s="72"/>
      <c r="AL70" s="94"/>
    </row>
    <row r="71" spans="26:38" ht="14.4" thickBot="1" x14ac:dyDescent="0.3">
      <c r="Z71" s="98" t="s">
        <v>81</v>
      </c>
      <c r="AA71" s="99"/>
      <c r="AB71" s="99"/>
      <c r="AC71" s="99"/>
      <c r="AD71" s="99">
        <f>AF67/AD68/AE68</f>
        <v>82.935333073626808</v>
      </c>
      <c r="AE71" s="99"/>
      <c r="AF71" s="99"/>
      <c r="AG71" s="99"/>
      <c r="AH71" s="99"/>
      <c r="AI71" s="99"/>
      <c r="AJ71" s="99"/>
      <c r="AK71" s="99"/>
      <c r="AL71" s="100"/>
    </row>
  </sheetData>
  <mergeCells count="7">
    <mergeCell ref="A3:A13"/>
    <mergeCell ref="A15:A34"/>
    <mergeCell ref="AG58:AI58"/>
    <mergeCell ref="AD58:AF58"/>
    <mergeCell ref="AA34:AC34"/>
    <mergeCell ref="AD34:AF34"/>
    <mergeCell ref="AG34:AI3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整体评估</vt:lpstr>
      <vt:lpstr>历次综合结果</vt:lpstr>
      <vt:lpstr>T28工艺库单元特性-面积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2023-03-30T09:13:38Z</dcterms:modified>
</cp:coreProperties>
</file>