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-bom" sheetId="1" r:id="rId1"/>
  </sheets>
  <definedNames>
    <definedName name="BoardQty" localSheetId="0">'kicost-bom'!$G$1</definedName>
    <definedName name="PURCHASE_DESCRIPTION" localSheetId="0">'kicost-bom'!$G$23</definedName>
    <definedName name="TotalCost" localSheetId="0">'kicost-bom'!$G$3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H7" authorId="0">
      <text>
        <r>
          <rPr>
            <sz val="8"/>
            <color indexed="81"/>
            <rFont val="Tahoma"/>
            <family val="2"/>
          </rPr>
          <t>643 In voorraad</t>
        </r>
      </text>
    </comment>
    <comment ref="J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€2.71      €2.71
     5   €2.62     €13.10
  3000   €2.62  €7,860.00</t>
        </r>
      </text>
    </comment>
    <comment ref="M7" authorId="0">
      <text>
        <r>
          <rPr>
            <sz val="8"/>
            <color indexed="81"/>
            <rFont val="Tahoma"/>
            <family val="2"/>
          </rPr>
          <t>Desc: Antennes 868MHz Chip Ant.</t>
        </r>
      </text>
    </comment>
    <comment ref="H8" authorId="0">
      <text>
        <r>
          <rPr>
            <sz val="8"/>
            <color indexed="81"/>
            <rFont val="Tahoma"/>
            <family val="2"/>
          </rPr>
          <t>Geen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€90.18     €90.18
    10  €87.17    €871.70
    25  €81.89  €2,047.25</t>
        </r>
      </text>
    </comment>
    <comment ref="M8" authorId="0">
      <text>
        <r>
          <rPr>
            <sz val="8"/>
            <color indexed="81"/>
            <rFont val="Tahoma"/>
            <family val="2"/>
          </rPr>
          <t>Desc: Energie Transformators Rectifier Power Transformer</t>
        </r>
      </text>
    </comment>
    <comment ref="H9" authorId="0">
      <text>
        <r>
          <rPr>
            <sz val="8"/>
            <color indexed="81"/>
            <rFont val="Tahoma"/>
            <family val="2"/>
          </rPr>
          <t>928170 In voorraad</t>
        </r>
      </text>
    </comment>
    <comment ref="J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€0.03      €0.30
   100   €0.02      €1.90
  1000   €0.01     €14.00
  4000   €0.01     €36.00
  8000   €0.01     €64.00
 24000   €0.01    €168.00</t>
        </r>
      </text>
    </comment>
    <comment ref="M9" authorId="0">
      <text>
        <r>
          <rPr>
            <sz val="8"/>
            <color indexed="81"/>
            <rFont val="Tahoma"/>
            <family val="2"/>
          </rPr>
          <t>Desc: Meerlaagse keramische condensatoren MLCC - SMD/SMT CGA 0603 25V 0.1uF X7R 10% AEC-Q200</t>
        </r>
      </text>
    </comment>
    <comment ref="H10" authorId="0">
      <text>
        <r>
          <rPr>
            <sz val="8"/>
            <color indexed="81"/>
            <rFont val="Tahoma"/>
            <family val="2"/>
          </rPr>
          <t>16674 In voorraad</t>
        </r>
      </text>
    </comment>
    <comment ref="J1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€0.14      €0.14
    10   €0.14      €1.38
   100   €0.10     €10.50
  1000   €0.07     €65.00
  2000   €0.06    €114.00
 10000   €0.02    €230.00
 24000   €0.02    €480.00
 50000   €0.02    €900.00
100000   €0.02  €1,700.00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Desc: Meerlaagse keramische condensatoren MLCC - SMD/SMT X7R, 4.7uF, +/-10%, 10v, 0805</t>
        </r>
      </text>
    </comment>
    <comment ref="H11" authorId="0">
      <text>
        <r>
          <rPr>
            <sz val="8"/>
            <color indexed="81"/>
            <rFont val="Tahoma"/>
            <family val="2"/>
          </rPr>
          <t>Geen</t>
        </r>
      </text>
    </comment>
    <comment ref="J1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700   €3.04  €2,128.00
  1050   €2.59  €2,719.50</t>
        </r>
      </text>
    </comment>
    <comment ref="M11" authorId="0">
      <text>
        <r>
          <rPr>
            <sz val="8"/>
            <color indexed="81"/>
            <rFont val="Tahoma"/>
            <family val="2"/>
          </rPr>
          <t>Desc: AC-stroomsnoeren AC Cord North America, C5 for C6 inlet, 18/3 SPT-2, 9', Blue</t>
        </r>
      </text>
    </comment>
    <comment ref="H12" authorId="0">
      <text>
        <r>
          <rPr>
            <sz val="8"/>
            <color indexed="81"/>
            <rFont val="Tahoma"/>
            <family val="2"/>
          </rPr>
          <t>5668 In voorraad</t>
        </r>
      </text>
    </comment>
    <comment ref="J1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€0.48      €0.48
    10   €0.33      €3.33
   100   €0.24     €24.50
   500   €0.19     €94.50
  1000   €0.15    €155.00
  3000   €0.13    €399.00
  6000   €0.13    €762.00
  9000   €0.12  €1,080.00</t>
        </r>
      </text>
    </comment>
    <comment ref="M12" authorId="0">
      <text>
        <r>
          <rPr>
            <sz val="8"/>
            <color indexed="81"/>
            <rFont val="Tahoma"/>
            <family val="2"/>
          </rPr>
          <t>Desc: MOSFET's -20V Vds 8V Vgs SOT-23</t>
        </r>
      </text>
    </comment>
    <comment ref="H13" authorId="0">
      <text>
        <r>
          <rPr>
            <sz val="8"/>
            <color indexed="81"/>
            <rFont val="Tahoma"/>
            <family val="2"/>
          </rPr>
          <t>190615 In voorraad</t>
        </r>
      </text>
    </comment>
    <comment ref="J1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€0.01      €0.09
   100   €0.01      €0.80
   500   €0.01      €2.50
  5000   €0.00     €15.00</t>
        </r>
      </text>
    </comment>
    <comment ref="M13" authorId="0">
      <text>
        <r>
          <rPr>
            <sz val="8"/>
            <color indexed="81"/>
            <rFont val="Tahoma"/>
            <family val="2"/>
          </rPr>
          <t>Desc: Weerstanden met dikke folie - SMD 4.7K ohm 1%</t>
        </r>
      </text>
    </comment>
    <comment ref="H14" authorId="0">
      <text>
        <r>
          <rPr>
            <sz val="8"/>
            <color indexed="81"/>
            <rFont val="Tahoma"/>
            <family val="2"/>
          </rPr>
          <t>64642 In voorraad</t>
        </r>
      </text>
    </comment>
    <comment ref="J1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€0.01      €0.10
   100   €0.01      €0.70
  1000   €0.01      €6.00
  5000   €0.01     €30.00
 10000   €0.01     €50.00
 25000   €0.00     €75.00
100000   €0.00    €200.00</t>
        </r>
      </text>
    </comment>
    <comment ref="M14" authorId="0">
      <text>
        <r>
          <rPr>
            <sz val="8"/>
            <color indexed="81"/>
            <rFont val="Tahoma"/>
            <family val="2"/>
          </rPr>
          <t>Desc: Weerstanden met dikke folie - SMD 330kOhms 1/10W 0603  5% AEC-Q200 Standard Power Version</t>
        </r>
      </text>
    </comment>
    <comment ref="H15" authorId="0">
      <text>
        <r>
          <rPr>
            <sz val="8"/>
            <color indexed="81"/>
            <rFont val="Tahoma"/>
            <family val="2"/>
          </rPr>
          <t>2739 In voorraad</t>
        </r>
      </text>
    </comment>
    <comment ref="J1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€0.55      €0.55
    25   €0.55     €13.70
    50   €0.51     €25.70
   100   €0.47     €46.60
   500   €0.42    €212.50
  1000   €0.37    €369.00
  3300   €0.33  €1,089.00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Desc: Drukschakelaars Tact Switch SMT 1.65mm</t>
        </r>
      </text>
    </comment>
    <comment ref="H16" authorId="0">
      <text>
        <r>
          <rPr>
            <sz val="8"/>
            <color indexed="81"/>
            <rFont val="Tahoma"/>
            <family val="2"/>
          </rPr>
          <t>2166 In voorraad</t>
        </r>
      </text>
    </comment>
    <comment ref="J1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€0.51      €0.51
    25   €0.49     €12.30
    50   €0.47     €23.45
   250   €0.42    €106.25
  2900   €0.31    €899.00</t>
        </r>
      </text>
    </comment>
    <comment ref="M16" authorId="0">
      <text>
        <r>
          <rPr>
            <sz val="8"/>
            <color indexed="81"/>
            <rFont val="Tahoma"/>
            <family val="2"/>
          </rPr>
          <t>Desc: Drukschakelaars WS-TASV SMT 2.5mm 160g 50mA 16V Black</t>
        </r>
      </text>
    </comment>
    <comment ref="H17" authorId="0">
      <text>
        <r>
          <rPr>
            <sz val="8"/>
            <color indexed="81"/>
            <rFont val="Tahoma"/>
            <family val="2"/>
          </rPr>
          <t>96 In voorraad</t>
        </r>
      </text>
    </comment>
    <comment ref="J1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€7.64      €7.64</t>
        </r>
      </text>
    </comment>
    <comment ref="M17" authorId="0">
      <text>
        <r>
          <rPr>
            <sz val="8"/>
            <color indexed="81"/>
            <rFont val="Tahoma"/>
            <family val="2"/>
          </rPr>
          <t>Desc: RF-modules Wio-E5-LE Wireless Module (Tape Reel) - STM32WLE5JC, ARM Cortex-M4 and SX126x embedded, supports LoRaWAN on EU868 &amp; US915</t>
        </r>
      </text>
    </comment>
    <comment ref="H18" authorId="0">
      <text>
        <r>
          <rPr>
            <sz val="8"/>
            <color indexed="81"/>
            <rFont val="Tahoma"/>
            <family val="2"/>
          </rPr>
          <t>3347 In voorraad</t>
        </r>
      </text>
    </comment>
    <comment ref="J1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€1.39      €1.39
    10   €1.24     €12.40
   100   €1.21    €121.00
   250   €1.17    €292.50
   500   €1.14    €570.00
  1000   €1.11  €1,110.00
  3000   €1.06  €3,180.00
  6000   €1.03  €6,180.00
  9000   €0.99  €8,892.00</t>
        </r>
      </text>
    </comment>
    <comment ref="M18" authorId="0">
      <text>
        <r>
          <rPr>
            <sz val="8"/>
            <color indexed="81"/>
            <rFont val="Tahoma"/>
            <family val="2"/>
          </rPr>
          <t>Desc: EEPROM SERIAL EEPROM</t>
        </r>
      </text>
    </comment>
    <comment ref="H19" authorId="0">
      <text>
        <r>
          <rPr>
            <sz val="8"/>
            <color indexed="81"/>
            <rFont val="Tahoma"/>
            <family val="2"/>
          </rPr>
          <t>3188 In voorraad</t>
        </r>
      </text>
    </comment>
    <comment ref="J1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€1.47      €1.47
    10   €1.23     €12.30
   100   €1.16    €116.00
   250   €1.14    €285.00
   500   €1.07    €535.00
  1000   €1.06  €1,060.00
  2500   €0.99  €2,470.00
  5000   €0.91  €4,555.00</t>
        </r>
      </text>
    </comment>
    <comment ref="M19" authorId="0">
      <text>
        <r>
          <rPr>
            <sz val="8"/>
            <color indexed="81"/>
            <rFont val="Tahoma"/>
            <family val="2"/>
          </rPr>
          <t>Desc: Inplugbare vochtigheidssensoren +/-1.8%RH/+/-0.2C, 4th generation, digital (I2C) humidity and temperature sensor with 0x45 I2C address.</t>
        </r>
      </text>
    </comment>
    <comment ref="H20" authorId="0">
      <text>
        <r>
          <rPr>
            <sz val="8"/>
            <color indexed="81"/>
            <rFont val="Tahoma"/>
            <family val="2"/>
          </rPr>
          <t>8371 In voorraad</t>
        </r>
      </text>
    </comment>
    <comment ref="J2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€1.79      €1.79
    10   €1.49     €14.90
   100   €1.42    €142.00
   500   €1.28    €640.00
  1000   €1.24  €1,240.00
  3500   €1.13  €3,955.00
  7000   €1.10  €7,700.00</t>
        </r>
      </text>
    </comment>
    <comment ref="M20" authorId="0">
      <text>
        <r>
          <rPr>
            <sz val="8"/>
            <color indexed="81"/>
            <rFont val="Tahoma"/>
            <family val="2"/>
          </rPr>
          <t>Desc: Licht naar digitale converters Hi-Sensitvty Ambient Light Sensor IC</t>
        </r>
      </text>
    </comment>
    <comment ref="F22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23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<sst xmlns="http://schemas.openxmlformats.org/spreadsheetml/2006/main" count="115" uniqueCount="71">
  <si>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</si>
  <si>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</si>
  <si>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</si>
  <si>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</si>
  <si>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</si>
  <si>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</si>
  <si>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</si>
  <si>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</si>
  <si>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ANT1</t>
  </si>
  <si>
    <t>???</t>
  </si>
  <si>
    <t>ANT-868-CHP-T</t>
  </si>
  <si>
    <t>BH1</t>
  </si>
  <si>
    <t>108</t>
  </si>
  <si>
    <t>C1-C3,C5</t>
  </si>
  <si>
    <t>CGA3E2X7R1E104K080AA</t>
  </si>
  <si>
    <t>C10,C11</t>
  </si>
  <si>
    <t>CL21B475KPFNFNE</t>
  </si>
  <si>
    <t>CONN2</t>
  </si>
  <si>
    <t>NA</t>
  </si>
  <si>
    <t>Q1</t>
  </si>
  <si>
    <t>SI2367DS-T1-GE3</t>
  </si>
  <si>
    <t>R1-R3</t>
  </si>
  <si>
    <t>CR0603-FX-4701ELF</t>
  </si>
  <si>
    <t>R4</t>
  </si>
  <si>
    <t>AC0603JR-07330KL</t>
  </si>
  <si>
    <t>SW1</t>
  </si>
  <si>
    <t>434351045816</t>
  </si>
  <si>
    <t>SW2</t>
  </si>
  <si>
    <t>434133025816</t>
  </si>
  <si>
    <t>U1</t>
  </si>
  <si>
    <t>114993121</t>
  </si>
  <si>
    <t>U2</t>
  </si>
  <si>
    <t>BR24G1MFVT-5AE2</t>
  </si>
  <si>
    <t>U3</t>
  </si>
  <si>
    <t>SHT40-BD1B-R2</t>
  </si>
  <si>
    <t>U4</t>
  </si>
  <si>
    <t>TSL25911FN</t>
  </si>
  <si>
    <t>Mouser</t>
  </si>
  <si>
    <t>Avail</t>
  </si>
  <si>
    <t>Purch</t>
  </si>
  <si>
    <t>MOQ</t>
  </si>
  <si>
    <t>Cat#</t>
  </si>
  <si>
    <t>712-ANT-868-CHP-T</t>
  </si>
  <si>
    <t>530-10-8</t>
  </si>
  <si>
    <t>NonStk</t>
  </si>
  <si>
    <t>810-CGA3E2X7R1E104K</t>
  </si>
  <si>
    <t>187-CL21B475KPFNFNE</t>
  </si>
  <si>
    <t>179-AC-C5-L-BNA</t>
  </si>
  <si>
    <t>781-SI2367DS-GE3</t>
  </si>
  <si>
    <t>652-CR0603FX-4701ELF</t>
  </si>
  <si>
    <t>603-AC0603JR-07330KL</t>
  </si>
  <si>
    <t>710-434351045816</t>
  </si>
  <si>
    <t>710-434133025816</t>
  </si>
  <si>
    <t>713-114993121</t>
  </si>
  <si>
    <t>755-BR24G1MFVT-5AE2</t>
  </si>
  <si>
    <t>403-SHT40-BD1B-R2</t>
  </si>
  <si>
    <t>985-TSL25911FN</t>
  </si>
  <si>
    <t>Buy here</t>
  </si>
  <si>
    <t>Total Purchase:</t>
  </si>
  <si>
    <t>Purchase description:</t>
  </si>
  <si>
    <t>Prj:</t>
  </si>
  <si>
    <t>kicost-bom.csv</t>
  </si>
  <si>
    <t>Co.:</t>
  </si>
  <si>
    <t>Prj date:</t>
  </si>
  <si>
    <t>2025-03-11 14:46:47 (file)</t>
  </si>
  <si>
    <t>Board Qty:</t>
  </si>
  <si>
    <t>Total Cost:</t>
  </si>
  <si>
    <t>Unit Cost:</t>
  </si>
  <si>
    <t>$ date:</t>
  </si>
  <si>
    <t>2025-03-12 16:15:15</t>
  </si>
  <si>
    <t>KiCost® v1.1.19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</si>
</sst>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€#,##0.0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4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datasheet/2/418/9/lnncs00024_1-3238509.pdf" TargetMode="External"/><Relationship Id="rId2" Type="http://schemas.openxmlformats.org/officeDocument/2006/relationships/hyperlink" Target="https://www.mouser.be/ProductDetail/TE-Connectivity-Linx-Technologies/ANT-868-CHP-T?qs=K5ta8V%252BWhtZPeQ5HIBgYyQ%3D%3D" TargetMode="External"/><Relationship Id="rId3" Type="http://schemas.openxmlformats.org/officeDocument/2006/relationships/hyperlink" Target="https://www.mouser.com/datasheet/2/643/ds_st_rectifiers_series-1384684.pdf" TargetMode="External"/><Relationship Id="rId4" Type="http://schemas.openxmlformats.org/officeDocument/2006/relationships/hyperlink" Target="https://www.mouser.be/ProductDetail/Bel-Signal-Transformer/10-8?qs=0%2F2GmT7MRM%2FiGa7OCQo%252Bvw%3D%3D" TargetMode="External"/><Relationship Id="rId5" Type="http://schemas.openxmlformats.org/officeDocument/2006/relationships/hyperlink" Target="https://www.mouser.be/ProductDetail/TDK/CGA3E2X7R1E104K080AA?qs=NRhsANhppD%2Fm7%2FOmmsm0vg%3D%3D" TargetMode="External"/><Relationship Id="rId6" Type="http://schemas.openxmlformats.org/officeDocument/2006/relationships/hyperlink" Target="https://www.mouser.com/datasheet/2/585/MLCC-1837944.pdf" TargetMode="External"/><Relationship Id="rId7" Type="http://schemas.openxmlformats.org/officeDocument/2006/relationships/hyperlink" Target="https://www.mouser.be/ProductDetail/Samsung-Electro-Mechanics/CL21B475KPFNFNE?qs=xZ%2FP%252Ba9zWqbCEjUEMOirsA%3D%3D" TargetMode="External"/><Relationship Id="rId8" Type="http://schemas.openxmlformats.org/officeDocument/2006/relationships/hyperlink" Target="https://www.mouser.com/datasheet/2/1628/ac_c5_na-3519839.pdf" TargetMode="External"/><Relationship Id="rId9" Type="http://schemas.openxmlformats.org/officeDocument/2006/relationships/hyperlink" Target="https://www.mouser.be/ProductDetail/Same-Sky/AC-C5-L-B-NA?qs=%252BXxaIXUDbq377a9viFQN2A%3D%3D" TargetMode="External"/><Relationship Id="rId10" Type="http://schemas.openxmlformats.org/officeDocument/2006/relationships/hyperlink" Target="https://www.mouser.be/ProductDetail/Vishay-Semiconductors/SI2367DS-T1-GE3?qs=kt16UJ73eEHbeglRjuryig%3D%3D" TargetMode="External"/><Relationship Id="rId11" Type="http://schemas.openxmlformats.org/officeDocument/2006/relationships/hyperlink" Target="https://www.mouser.com/datasheet/2/54/cr-1858361.pdf" TargetMode="External"/><Relationship Id="rId12" Type="http://schemas.openxmlformats.org/officeDocument/2006/relationships/hyperlink" Target="https://www.mouser.be/ProductDetail/Bourns/CR0603-FX-4701ELF?qs=CCIlxZRRv7jGwxSydcgiTA%3D%3D" TargetMode="External"/><Relationship Id="rId13" Type="http://schemas.openxmlformats.org/officeDocument/2006/relationships/hyperlink" Target="https://www.mouser.com/datasheet/2/447/PYu_AC_51_RoHS_L_11-3418659.pdf" TargetMode="External"/><Relationship Id="rId14" Type="http://schemas.openxmlformats.org/officeDocument/2006/relationships/hyperlink" Target="https://www.mouser.be/ProductDetail/YAGEO/AC0603JR-07330KL?qs=ygRr%2FtkhteswRX2BvSPS%2Fg%3D%3D" TargetMode="External"/><Relationship Id="rId15" Type="http://schemas.openxmlformats.org/officeDocument/2006/relationships/hyperlink" Target="https://www.mouser.be/ProductDetail/Wurth-Elektronik/434351045816?qs=wr8lucFkNMUGT%2FvJONN5XA%3D%3D" TargetMode="External"/><Relationship Id="rId16" Type="http://schemas.openxmlformats.org/officeDocument/2006/relationships/hyperlink" Target="https://www.mouser.be/ProductDetail/Wurth-Elektronik/434133025816?qs=sPbYRqrBIVmKpJ9kaO4kMw%3D%3D" TargetMode="External"/><Relationship Id="rId17" Type="http://schemas.openxmlformats.org/officeDocument/2006/relationships/hyperlink" Target="https://www.mouser.com/datasheet/2/744/Wio_E5_LE_module_datasheet_v1_0-3446934.pdf" TargetMode="External"/><Relationship Id="rId18" Type="http://schemas.openxmlformats.org/officeDocument/2006/relationships/hyperlink" Target="https://www.mouser.be/ProductDetail/Seeed-Studio/114993121?qs=QpmGXVUTftF1SD6oRXq2Mw%3D%3D" TargetMode="External"/><Relationship Id="rId19" Type="http://schemas.openxmlformats.org/officeDocument/2006/relationships/hyperlink" Target="https://www.mouser.be/ProductDetail/ROHM-Semiconductor/BR24G1MFVT-5AE2?qs=MyNHzdoqoQKnzx5taP2O%252BA%3D%3D" TargetMode="External"/><Relationship Id="rId20" Type="http://schemas.openxmlformats.org/officeDocument/2006/relationships/hyperlink" Target="https://www.mouser.com/datasheet/2/682/HT_DS_Datasheet_SHT4x_3-2936319.pdf" TargetMode="External"/><Relationship Id="rId21" Type="http://schemas.openxmlformats.org/officeDocument/2006/relationships/hyperlink" Target="https://www.mouser.be/ProductDetail/Sensirion/SHT40-BD1B-R2?qs=ulEaXIWI0c%252BjgdkzNQkrGw%3D%3D" TargetMode="External"/><Relationship Id="rId22" Type="http://schemas.openxmlformats.org/officeDocument/2006/relationships/hyperlink" Target="https://www.mouser.com/datasheet/2/588/asset_pdf_25493382-3432823.pdf" TargetMode="External"/><Relationship Id="rId23" Type="http://schemas.openxmlformats.org/officeDocument/2006/relationships/hyperlink" Target="https://www.mouser.be/ProductDetail/ams-OSRAM/TSL25911FN?qs=6irNfxKJ9AaiNMbaQmyIug%3D%3D" TargetMode="External"/><Relationship Id="rId24" Type="http://schemas.openxmlformats.org/officeDocument/2006/relationships/hyperlink" Target="https://mouser.com/bom/" TargetMode="External"/><Relationship Id="rId25" Type="http://schemas.openxmlformats.org/officeDocument/2006/relationships/vmlDrawing" Target="../drawings/vmlDrawing1.vml"/><Relationship Id="rId2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3"/>
  <cols>
    <col min="1" max="1" width="9.7109375" customWidth="1"/>
    <col min="3" max="3" width="12.7109375" customWidth="1" outlineLevel="2"/>
    <col min="4" max="4" width="21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21.7109375" customWidth="1" outlineLevel="2"/>
  </cols>
  <sheetData>
    <row r="1" spans="1:13">
      <c r="A1" s="1" t="s">
        <v>60</v>
      </c>
      <c r="B1" s="2" t="s">
        <v>61</v>
      </c>
      <c r="F1" s="3" t="s">
        <v>65</v>
      </c>
      <c r="G1" s="3">
        <v>100</v>
      </c>
    </row>
    <row r="2" spans="1:13">
      <c r="A2" s="1" t="s">
        <v>62</v>
      </c>
      <c r="B2" s="2"/>
      <c r="F2" s="1" t="s">
        <v>67</v>
      </c>
      <c r="G2" s="4">
        <f>TotalCost/BoardQty</f>
        <v>97.437</v>
      </c>
    </row>
    <row r="3" spans="1:13">
      <c r="A3" s="1" t="s">
        <v>63</v>
      </c>
      <c r="B3" s="2" t="s">
        <v>64</v>
      </c>
      <c r="F3" s="1" t="s">
        <v>66</v>
      </c>
      <c r="G3" s="5">
        <f>SUM(G7:G20)</f>
        <v>9743.7</v>
      </c>
      <c r="L3" s="5">
        <f>SUM(L7:L20)</f>
        <v>9743.7</v>
      </c>
      <c r="M3" s="6" t="str">
        <f>(COUNTA(L7:L20)&amp;" of "&amp;ROWS(L7:L20)&amp;" parts found")</f>
        <v>14 of 14 parts found</v>
      </c>
    </row>
    <row r="4" spans="1:13">
      <c r="A4" s="1" t="s">
        <v>68</v>
      </c>
      <c r="B4" s="2" t="s">
        <v>69</v>
      </c>
    </row>
    <row r="5" spans="1:13">
      <c r="A5" s="7" t="s">
        <v>0</v>
      </c>
      <c r="B5" s="7"/>
      <c r="C5" s="7"/>
      <c r="D5" s="7"/>
      <c r="E5" s="7"/>
      <c r="F5" s="7"/>
      <c r="G5" s="7"/>
      <c r="H5" s="8" t="s">
        <v>37</v>
      </c>
      <c r="I5" s="8"/>
      <c r="J5" s="8"/>
      <c r="K5" s="8"/>
      <c r="L5" s="8"/>
      <c r="M5" s="8"/>
    </row>
    <row r="6" spans="1:13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38</v>
      </c>
      <c r="I6" s="9" t="s">
        <v>39</v>
      </c>
      <c r="J6" s="9" t="s">
        <v>6</v>
      </c>
      <c r="K6" s="9" t="s">
        <v>40</v>
      </c>
      <c r="L6" s="9" t="s">
        <v>7</v>
      </c>
      <c r="M6" s="9" t="s">
        <v>41</v>
      </c>
    </row>
    <row r="7" spans="1:13">
      <c r="A7" s="10" t="s">
        <v>8</v>
      </c>
      <c r="B7" s="10" t="s">
        <v>9</v>
      </c>
      <c r="C7" s="10" t="s">
        <v>9</v>
      </c>
      <c r="D7" s="10" t="s">
        <v>10</v>
      </c>
      <c r="E7" s="10">
        <f>CEILING(BoardQty*1.0,1)</f>
        <v>100</v>
      </c>
      <c r="F7" s="11">
        <f>IF(MIN(J7)&lt;&gt;0,MIN(J7),"")</f>
        <v>2.62</v>
      </c>
      <c r="G7" s="12">
        <f>IF(AND(ISNUMBER(E7),ISNUMBER(F7)),E7*F7,"")</f>
        <v>262.0</v>
      </c>
      <c r="H7" s="10">
        <v>643</v>
      </c>
      <c r="I7" s="10"/>
      <c r="J7" s="11">
        <f>IFERROR(IF(OR(I7&gt;=K7,E7&gt;=K7),LOOKUP(IF(I7="",E7,I7),{0,1,5,3000},{0.0,2.71,2.62,2.62}),"MOQ="&amp;K7),"")</f>
        <v>2.62</v>
      </c>
      <c r="K7" s="10">
        <v>1</v>
      </c>
      <c r="L7" s="12">
        <f>IFERROR(IF(I7="",E7,I7)*J7,"")</f>
        <v>262.0</v>
      </c>
      <c r="M7" s="10" t="s">
        <v>42</v>
      </c>
    </row>
    <row r="8" spans="1:13">
      <c r="A8" s="10" t="s">
        <v>11</v>
      </c>
      <c r="B8" s="10" t="s">
        <v>9</v>
      </c>
      <c r="C8" s="10" t="s">
        <v>9</v>
      </c>
      <c r="D8" s="10" t="s">
        <v>12</v>
      </c>
      <c r="E8" s="10">
        <f>CEILING(BoardQty*1.0,1)</f>
        <v>100</v>
      </c>
      <c r="F8" s="11">
        <f>IF(MIN(J8)&lt;&gt;0,MIN(J8),"")</f>
        <v>81.89</v>
      </c>
      <c r="G8" s="12">
        <f>IF(AND(ISNUMBER(E8),ISNUMBER(F8)),E8*F8,"")</f>
        <v>8189.0</v>
      </c>
      <c r="H8" s="13" t="s">
        <v>44</v>
      </c>
      <c r="I8" s="10"/>
      <c r="J8" s="11">
        <f>IFERROR(IF(OR(I8&gt;=K8,E8&gt;=K8),LOOKUP(IF(I8="",E8,I8),{0,1,10,25},{0.0,90.18,87.17,81.89}),"MOQ="&amp;K8),"")</f>
        <v>81.89</v>
      </c>
      <c r="K8" s="10">
        <v>1</v>
      </c>
      <c r="L8" s="12">
        <f>IFERROR(IF(I8="",E8,I8)*J8,"")</f>
        <v>8189.0</v>
      </c>
      <c r="M8" s="10" t="s">
        <v>43</v>
      </c>
    </row>
    <row r="9" spans="1:13">
      <c r="A9" s="10" t="s">
        <v>13</v>
      </c>
      <c r="B9" s="10" t="s">
        <v>9</v>
      </c>
      <c r="C9" s="10" t="s">
        <v>9</v>
      </c>
      <c r="D9" s="10" t="s">
        <v>14</v>
      </c>
      <c r="E9" s="10">
        <f>CEILING(BoardQty*4.0,1)</f>
        <v>400</v>
      </c>
      <c r="F9" s="11">
        <f>IF(MIN(J9)&lt;&gt;0,MIN(J9),"")</f>
        <v>0.019</v>
      </c>
      <c r="G9" s="12">
        <f>IF(AND(ISNUMBER(E9),ISNUMBER(F9)),E9*F9,"")</f>
        <v>7.6</v>
      </c>
      <c r="H9" s="10">
        <v>928170</v>
      </c>
      <c r="I9" s="10"/>
      <c r="J9" s="11">
        <f>IFERROR(IF(OR(I9&gt;=K9,E9&gt;=K9),LOOKUP(IF(I9="",E9,I9),{0,1,10,100,1000,4000,8000,24000},{0.0,0.095,0.03,0.019,0.014,0.009,0.008,0.007}),"MOQ="&amp;K9),"")</f>
        <v>0.019</v>
      </c>
      <c r="K9" s="10">
        <v>1</v>
      </c>
      <c r="L9" s="12">
        <f>IFERROR(IF(I9="",E9,I9)*J9,"")</f>
        <v>7.6</v>
      </c>
      <c r="M9" s="10" t="s">
        <v>45</v>
      </c>
    </row>
    <row r="10" spans="1:13">
      <c r="A10" s="10" t="s">
        <v>15</v>
      </c>
      <c r="B10" s="10" t="s">
        <v>9</v>
      </c>
      <c r="C10" s="10" t="s">
        <v>9</v>
      </c>
      <c r="D10" s="10" t="s">
        <v>16</v>
      </c>
      <c r="E10" s="10">
        <f>CEILING(BoardQty*2.0,1)</f>
        <v>200</v>
      </c>
      <c r="F10" s="11">
        <f>IF(MIN(J10)&lt;&gt;0,MIN(J10),"")</f>
        <v>0.105</v>
      </c>
      <c r="G10" s="12">
        <f>IF(AND(ISNUMBER(E10),ISNUMBER(F10)),E10*F10,"")</f>
        <v>21.0</v>
      </c>
      <c r="H10" s="10">
        <v>16674</v>
      </c>
      <c r="I10" s="10"/>
      <c r="J10" s="11">
        <f>IFERROR(IF(OR(I10&gt;=K10,E10&gt;=K10),LOOKUP(IF(I10="",E10,I10),{0,1,10,100,1000,2000,10000,24000,50000,100000},{0.0,0.143,0.138,0.105,0.065,0.057,0.023,0.02,0.018,0.017}),"MOQ="&amp;K10),"")</f>
        <v>0.105</v>
      </c>
      <c r="K10" s="10">
        <v>1</v>
      </c>
      <c r="L10" s="12">
        <f>IFERROR(IF(I10="",E10,I10)*J10,"")</f>
        <v>21.0</v>
      </c>
      <c r="M10" s="10" t="s">
        <v>46</v>
      </c>
    </row>
    <row r="11" spans="1:13">
      <c r="A11" s="10" t="s">
        <v>17</v>
      </c>
      <c r="B11" s="10" t="s">
        <v>9</v>
      </c>
      <c r="C11" s="10" t="s">
        <v>9</v>
      </c>
      <c r="D11" s="10" t="s">
        <v>18</v>
      </c>
      <c r="E11" s="10">
        <f>CEILING(BoardQty*1.0,1)</f>
        <v>100</v>
      </c>
      <c r="F11" s="11">
        <f>IF(MIN(J11)&lt;&gt;0,MIN(J11),"")</f>
        <v/>
      </c>
      <c r="G11" s="12">
        <f>IF(AND(ISNUMBER(E11),ISNUMBER(F11)),E11*F11,"")</f>
        <v/>
      </c>
      <c r="H11" s="13" t="s">
        <v>44</v>
      </c>
      <c r="I11" s="10"/>
      <c r="J11" s="11">
        <f>IFERROR(IF(OR(I11&gt;=K11,E11&gt;=K11),LOOKUP(IF(I11="",E11,I11),{0,1,700,1050},{0.0,3.04,3.04,2.59}),"MOQ="&amp;K11),"")</f>
        <v/>
      </c>
      <c r="K11" s="10">
        <v>700</v>
      </c>
      <c r="L11" s="12">
        <f>IFERROR(IF(I11="",E11,I11)*J11,"")</f>
        <v/>
      </c>
      <c r="M11" s="10" t="s">
        <v>47</v>
      </c>
    </row>
    <row r="12" spans="1:13">
      <c r="A12" s="10" t="s">
        <v>19</v>
      </c>
      <c r="B12" s="10" t="s">
        <v>9</v>
      </c>
      <c r="C12" s="10" t="s">
        <v>9</v>
      </c>
      <c r="D12" s="10" t="s">
        <v>20</v>
      </c>
      <c r="E12" s="10">
        <f>CEILING(BoardQty*1.0,1)</f>
        <v>100</v>
      </c>
      <c r="F12" s="11">
        <f>IF(MIN(J12)&lt;&gt;0,MIN(J12),"")</f>
        <v>0.245</v>
      </c>
      <c r="G12" s="12">
        <f>IF(AND(ISNUMBER(E12),ISNUMBER(F12)),E12*F12,"")</f>
        <v>24.5</v>
      </c>
      <c r="H12" s="10">
        <v>5668</v>
      </c>
      <c r="I12" s="10"/>
      <c r="J12" s="11">
        <f>IFERROR(IF(OR(I12&gt;=K12,E12&gt;=K12),LOOKUP(IF(I12="",E12,I12),{0,1,10,100,500,1000,3000,6000,9000},{0.0,0.485,0.333,0.245,0.189,0.155,0.133,0.127,0.12}),"MOQ="&amp;K12),"")</f>
        <v>0.245</v>
      </c>
      <c r="K12" s="10">
        <v>1</v>
      </c>
      <c r="L12" s="12">
        <f>IFERROR(IF(I12="",E12,I12)*J12,"")</f>
        <v>24.5</v>
      </c>
      <c r="M12" s="10" t="s">
        <v>48</v>
      </c>
    </row>
    <row r="13" spans="1:13">
      <c r="A13" s="10" t="s">
        <v>21</v>
      </c>
      <c r="B13" s="10" t="s">
        <v>9</v>
      </c>
      <c r="C13" s="10" t="s">
        <v>9</v>
      </c>
      <c r="D13" s="10" t="s">
        <v>22</v>
      </c>
      <c r="E13" s="10">
        <f>CEILING(BoardQty*3.0,1)</f>
        <v>300</v>
      </c>
      <c r="F13" s="11">
        <f>IF(MIN(J13)&lt;&gt;0,MIN(J13),"")</f>
        <v>0.008</v>
      </c>
      <c r="G13" s="12">
        <f>IF(AND(ISNUMBER(E13),ISNUMBER(F13)),E13*F13,"")</f>
        <v>2.4</v>
      </c>
      <c r="H13" s="10">
        <v>190615</v>
      </c>
      <c r="I13" s="10"/>
      <c r="J13" s="11">
        <f>IFERROR(IF(OR(I13&gt;=K13,E13&gt;=K13),LOOKUP(IF(I13="",E13,I13),{0,1,10,100,500,5000},{0.0,0.095,0.009,0.008,0.005,0.003}),"MOQ="&amp;K13),"")</f>
        <v>0.008</v>
      </c>
      <c r="K13" s="10">
        <v>1</v>
      </c>
      <c r="L13" s="12">
        <f>IFERROR(IF(I13="",E13,I13)*J13,"")</f>
        <v>2.4</v>
      </c>
      <c r="M13" s="10" t="s">
        <v>49</v>
      </c>
    </row>
    <row r="14" spans="1:13">
      <c r="A14" s="10" t="s">
        <v>23</v>
      </c>
      <c r="B14" s="10" t="s">
        <v>9</v>
      </c>
      <c r="C14" s="10" t="s">
        <v>9</v>
      </c>
      <c r="D14" s="10" t="s">
        <v>24</v>
      </c>
      <c r="E14" s="10">
        <f>CEILING(BoardQty*1.0,1)</f>
        <v>100</v>
      </c>
      <c r="F14" s="11">
        <f>IF(MIN(J14)&lt;&gt;0,MIN(J14),"")</f>
        <v>0.007</v>
      </c>
      <c r="G14" s="12">
        <f>IF(AND(ISNUMBER(E14),ISNUMBER(F14)),E14*F14,"")</f>
        <v>0.7</v>
      </c>
      <c r="H14" s="10">
        <v>64642</v>
      </c>
      <c r="I14" s="10"/>
      <c r="J14" s="11">
        <f>IFERROR(IF(OR(I14&gt;=K14,E14&gt;=K14),LOOKUP(IF(I14="",E14,I14),{0,1,10,100,1000,5000,10000,25000,100000},{0.0,0.095,0.01,0.007,0.006,0.006,0.005,0.003,0.002}),"MOQ="&amp;K14),"")</f>
        <v>0.007</v>
      </c>
      <c r="K14" s="10">
        <v>1</v>
      </c>
      <c r="L14" s="12">
        <f>IFERROR(IF(I14="",E14,I14)*J14,"")</f>
        <v>0.7</v>
      </c>
      <c r="M14" s="10" t="s">
        <v>50</v>
      </c>
    </row>
    <row r="15" spans="1:13">
      <c r="A15" s="10" t="s">
        <v>25</v>
      </c>
      <c r="B15" s="10" t="s">
        <v>9</v>
      </c>
      <c r="C15" s="10" t="s">
        <v>9</v>
      </c>
      <c r="D15" s="10" t="s">
        <v>26</v>
      </c>
      <c r="E15" s="10">
        <f>CEILING(BoardQty*1.0,1)</f>
        <v>100</v>
      </c>
      <c r="F15" s="11">
        <f>IF(MIN(J15)&lt;&gt;0,MIN(J15),"")</f>
        <v>0.466</v>
      </c>
      <c r="G15" s="12">
        <f>IF(AND(ISNUMBER(E15),ISNUMBER(F15)),E15*F15,"")</f>
        <v>46.6</v>
      </c>
      <c r="H15" s="10">
        <v>2739</v>
      </c>
      <c r="I15" s="10"/>
      <c r="J15" s="11">
        <f>IFERROR(IF(OR(I15&gt;=K15,E15&gt;=K15),LOOKUP(IF(I15="",E15,I15),{0,1,25,50,100,500,1000,3300},{0.0,0.551,0.548,0.514,0.466,0.425,0.369,0.33}),"MOQ="&amp;K15),"")</f>
        <v>0.466</v>
      </c>
      <c r="K15" s="10">
        <v>1</v>
      </c>
      <c r="L15" s="12">
        <f>IFERROR(IF(I15="",E15,I15)*J15,"")</f>
        <v>46.6</v>
      </c>
      <c r="M15" s="10" t="s">
        <v>51</v>
      </c>
    </row>
    <row r="16" spans="1:13">
      <c r="A16" s="10" t="s">
        <v>27</v>
      </c>
      <c r="B16" s="10" t="s">
        <v>9</v>
      </c>
      <c r="C16" s="10" t="s">
        <v>9</v>
      </c>
      <c r="D16" s="10" t="s">
        <v>28</v>
      </c>
      <c r="E16" s="10">
        <f>CEILING(BoardQty*1.0,1)</f>
        <v>100</v>
      </c>
      <c r="F16" s="11">
        <f>IF(MIN(J16)&lt;&gt;0,MIN(J16),"")</f>
        <v>0.469</v>
      </c>
      <c r="G16" s="12">
        <f>IF(AND(ISNUMBER(E16),ISNUMBER(F16)),E16*F16,"")</f>
        <v>46.9</v>
      </c>
      <c r="H16" s="10">
        <v>2166</v>
      </c>
      <c r="I16" s="10"/>
      <c r="J16" s="11">
        <f>IFERROR(IF(OR(I16&gt;=K16,E16&gt;=K16),LOOKUP(IF(I16="",E16,I16),{0,1,25,50,250,2900},{0.0,0.513,0.492,0.469,0.425,0.31}),"MOQ="&amp;K16),"")</f>
        <v>0.469</v>
      </c>
      <c r="K16" s="10">
        <v>1</v>
      </c>
      <c r="L16" s="12">
        <f>IFERROR(IF(I16="",E16,I16)*J16,"")</f>
        <v>46.9</v>
      </c>
      <c r="M16" s="10" t="s">
        <v>52</v>
      </c>
    </row>
    <row r="17" spans="1:13">
      <c r="A17" s="10" t="s">
        <v>29</v>
      </c>
      <c r="B17" s="10" t="s">
        <v>9</v>
      </c>
      <c r="C17" s="10" t="s">
        <v>9</v>
      </c>
      <c r="D17" s="10" t="s">
        <v>30</v>
      </c>
      <c r="E17" s="10">
        <f>CEILING(BoardQty*1.0,1)</f>
        <v>100</v>
      </c>
      <c r="F17" s="11">
        <f>IF(MIN(J17)&lt;&gt;0,MIN(J17),"")</f>
        <v>7.64</v>
      </c>
      <c r="G17" s="12">
        <f>IF(AND(ISNUMBER(E17),ISNUMBER(F17)),E17*F17,"")</f>
        <v>764.0</v>
      </c>
      <c r="H17" s="10">
        <v>96</v>
      </c>
      <c r="I17" s="10"/>
      <c r="J17" s="11">
        <f>IFERROR(IF(OR(I17&gt;=K17,E17&gt;=K17),LOOKUP(IF(I17="",E17,I17),{0,1},{0.0,7.64}),"MOQ="&amp;K17),"")</f>
        <v>7.64</v>
      </c>
      <c r="K17" s="10">
        <v>1</v>
      </c>
      <c r="L17" s="12">
        <f>IFERROR(IF(I17="",E17,I17)*J17,"")</f>
        <v>764.0</v>
      </c>
      <c r="M17" s="10" t="s">
        <v>53</v>
      </c>
    </row>
    <row r="18" spans="1:13">
      <c r="A18" s="10" t="s">
        <v>31</v>
      </c>
      <c r="B18" s="10" t="s">
        <v>9</v>
      </c>
      <c r="C18" s="10" t="s">
        <v>9</v>
      </c>
      <c r="D18" s="10" t="s">
        <v>32</v>
      </c>
      <c r="E18" s="10">
        <f>CEILING(BoardQty*1.0,1)</f>
        <v>100</v>
      </c>
      <c r="F18" s="11">
        <f>IF(MIN(J18)&lt;&gt;0,MIN(J18),"")</f>
        <v>1.21</v>
      </c>
      <c r="G18" s="12">
        <f>IF(AND(ISNUMBER(E18),ISNUMBER(F18)),E18*F18,"")</f>
        <v>121.0</v>
      </c>
      <c r="H18" s="10">
        <v>3347</v>
      </c>
      <c r="I18" s="10"/>
      <c r="J18" s="11">
        <f>IFERROR(IF(OR(I18&gt;=K18,E18&gt;=K18),LOOKUP(IF(I18="",E18,I18),{0,1,10,100,250,500,1000,3000,6000,9000},{0.0,1.39,1.24,1.21,1.17,1.14,1.11,1.06,1.03,0.988}),"MOQ="&amp;K18),"")</f>
        <v>1.21</v>
      </c>
      <c r="K18" s="10">
        <v>1</v>
      </c>
      <c r="L18" s="12">
        <f>IFERROR(IF(I18="",E18,I18)*J18,"")</f>
        <v>121.0</v>
      </c>
      <c r="M18" s="10" t="s">
        <v>54</v>
      </c>
    </row>
    <row r="19" spans="1:13">
      <c r="A19" s="10" t="s">
        <v>33</v>
      </c>
      <c r="B19" s="10" t="s">
        <v>9</v>
      </c>
      <c r="C19" s="10" t="s">
        <v>9</v>
      </c>
      <c r="D19" s="10" t="s">
        <v>34</v>
      </c>
      <c r="E19" s="10">
        <f>CEILING(BoardQty*1.0,1)</f>
        <v>100</v>
      </c>
      <c r="F19" s="11">
        <f>IF(MIN(J19)&lt;&gt;0,MIN(J19),"")</f>
        <v>1.16</v>
      </c>
      <c r="G19" s="12">
        <f>IF(AND(ISNUMBER(E19),ISNUMBER(F19)),E19*F19,"")</f>
        <v>116.0</v>
      </c>
      <c r="H19" s="10">
        <v>3188</v>
      </c>
      <c r="I19" s="10"/>
      <c r="J19" s="11">
        <f>IFERROR(IF(OR(I19&gt;=K19,E19&gt;=K19),LOOKUP(IF(I19="",E19,I19),{0,1,10,100,250,500,1000,2500,5000},{0.0,1.47,1.23,1.16,1.14,1.07,1.06,0.988,0.911}),"MOQ="&amp;K19),"")</f>
        <v>1.16</v>
      </c>
      <c r="K19" s="10">
        <v>1</v>
      </c>
      <c r="L19" s="12">
        <f>IFERROR(IF(I19="",E19,I19)*J19,"")</f>
        <v>116.0</v>
      </c>
      <c r="M19" s="10" t="s">
        <v>55</v>
      </c>
    </row>
    <row r="20" spans="1:13">
      <c r="A20" s="10" t="s">
        <v>35</v>
      </c>
      <c r="B20" s="10" t="s">
        <v>9</v>
      </c>
      <c r="C20" s="10" t="s">
        <v>9</v>
      </c>
      <c r="D20" s="10" t="s">
        <v>36</v>
      </c>
      <c r="E20" s="10">
        <f>CEILING(BoardQty*1.0,1)</f>
        <v>100</v>
      </c>
      <c r="F20" s="11">
        <f>IF(MIN(J20)&lt;&gt;0,MIN(J20),"")</f>
        <v>1.42</v>
      </c>
      <c r="G20" s="12">
        <f>IF(AND(ISNUMBER(E20),ISNUMBER(F20)),E20*F20,"")</f>
        <v>142.0</v>
      </c>
      <c r="H20" s="10">
        <v>8371</v>
      </c>
      <c r="I20" s="10"/>
      <c r="J20" s="11">
        <f>IFERROR(IF(OR(I20&gt;=K20,E20&gt;=K20),LOOKUP(IF(I20="",E20,I20),{0,1,10,100,500,1000,3500,7000},{0.0,1.79,1.49,1.42,1.28,1.24,1.13,1.1}),"MOQ="&amp;K20),"")</f>
        <v>1.42</v>
      </c>
      <c r="K20" s="10">
        <v>1</v>
      </c>
      <c r="L20" s="12">
        <f>IFERROR(IF(I20="",E20,I20)*J20,"")</f>
        <v>142.0</v>
      </c>
      <c r="M20" s="10" t="s">
        <v>56</v>
      </c>
    </row>
    <row r="22" spans="1:13">
      <c r="F22" s="1" t="s">
        <v>58</v>
      </c>
      <c r="G22" s="5">
        <f>SUM(L22)</f>
        <v>0</v>
      </c>
      <c r="H22" s="14" t="s">
        <v>57</v>
      </c>
      <c r="I22" s="6">
        <f>IFERROR(IF(COUNTIF(I7:I20,"&gt;0")&gt;0,COUNTIF(I7:I20,"&gt;0")&amp;" of "&amp;(ROWS(K7:K20)-COUNTBLANK(K7:K20))&amp;" parts purchased",""),"")</f>
        <v/>
      </c>
      <c r="L22" s="5">
        <f>SUMIF(I7:I20,"&gt;0",L7:L20)</f>
        <v>0</v>
      </c>
    </row>
    <row r="23" spans="1:13">
      <c r="A23" s="2" t="s">
        <v>70</v>
      </c>
      <c r="F23" s="15" t="s">
        <v>59</v>
      </c>
      <c r="I23" s="16">
        <f>CONCATENATE(I38,I39,I40,I41,I42,I43,I44,I45,I46,I47,I48,I49,I50,I51)</f>
        <v/>
      </c>
    </row>
    <row r="38" spans="9:9" ht="30" hidden="1" customHeight="1">
      <c r="I38" t="str">
        <f t="array" ref="I38:I51">IF(ISNUMBER(I7:I20)*(I7:I20&gt;=K7:K20)*(M7:M20&lt;&gt;""),M7:M20&amp;"|"&amp;TEXT(ROUNDUP(I7:I20/IF(ISNUMBER(K7:K20),K7:K20,1),0)*K7:K20,"##0")&amp;"|"&amp;SUBSTITUTE(SUBSTITUTE(SUBSTITUTE(IF(PURCHASE_DESCRIPTION&lt;&gt;"",PURCHASE_DESCRIPTION&amp;":","")&amp;A7:A20,"|",";")," ","_"),"
","_")&amp;CHAR(10),"")</f>
        <v/>
      </c>
    </row>
    <row r="39" spans="9:9" ht="30" hidden="1" customHeight="1">
      <c r="I39">
        <v>0</v>
      </c>
    </row>
    <row r="40" spans="9:9" ht="30" hidden="1" customHeight="1">
      <c r="I40">
        <v>0</v>
      </c>
    </row>
    <row r="41" spans="9:9" ht="30" hidden="1" customHeight="1">
      <c r="I41">
        <v>0</v>
      </c>
    </row>
    <row r="42" spans="9:9" ht="30" hidden="1" customHeight="1">
      <c r="I42">
        <v>0</v>
      </c>
    </row>
    <row r="43" spans="9:9" ht="30" hidden="1" customHeight="1">
      <c r="I43">
        <v>0</v>
      </c>
    </row>
    <row r="44" spans="9:9" ht="30" hidden="1" customHeight="1">
      <c r="I44">
        <v>0</v>
      </c>
    </row>
    <row r="45" spans="9:9" ht="30" hidden="1" customHeight="1">
      <c r="I45">
        <v>0</v>
      </c>
    </row>
    <row r="46" spans="9:9" ht="30" hidden="1" customHeight="1">
      <c r="I46">
        <v>0</v>
      </c>
    </row>
    <row r="47" spans="9:9" ht="30" hidden="1" customHeight="1">
      <c r="I47">
        <v>0</v>
      </c>
    </row>
    <row r="48" spans="9:9" ht="30" hidden="1" customHeight="1">
      <c r="I48">
        <v>0</v>
      </c>
    </row>
    <row r="49" spans="9:9" ht="30" hidden="1" customHeight="1">
      <c r="I49">
        <v>0</v>
      </c>
    </row>
    <row r="50" spans="9:9" ht="30" hidden="1" customHeight="1">
      <c r="I50">
        <v>0</v>
      </c>
    </row>
    <row r="51" spans="9:9" ht="30" hidden="1" customHeight="1">
      <c r="I51">
        <v>0</v>
      </c>
    </row>
  </sheetData>
  <mergeCells count="3">
    <mergeCell ref="A5:G5"/>
    <mergeCell ref="H5:M5"/>
    <mergeCell ref="I23:L37"/>
  </mergeCells>
  <conditionalFormatting sqref="E10">
    <cfRule type="expression" dxfId="3" priority="42">
      <formula>AND(ISBLANK(D10),ISBLANK(L10))</formula>
    </cfRule>
    <cfRule type="expression" dxfId="1" priority="43">
      <formula>IF(SUM(H10)=0,1,0)</formula>
    </cfRule>
    <cfRule type="cellIs" dxfId="0" priority="44" operator="greaterThan">
      <formula>SUM(H10)</formula>
    </cfRule>
    <cfRule type="cellIs" dxfId="2" priority="45" operator="greaterThan">
      <formula>SUM(IF(ISNUMBER(J10),I10,0))</formula>
    </cfRule>
  </conditionalFormatting>
  <conditionalFormatting sqref="E11">
    <cfRule type="expression" dxfId="3" priority="46">
      <formula>AND(ISBLANK(D11),ISBLANK(L11))</formula>
    </cfRule>
    <cfRule type="expression" dxfId="1" priority="47">
      <formula>IF(SUM(H11)=0,1,0)</formula>
    </cfRule>
    <cfRule type="cellIs" dxfId="0" priority="48" operator="greaterThan">
      <formula>SUM(H11)</formula>
    </cfRule>
    <cfRule type="cellIs" dxfId="2" priority="49" operator="greaterThan">
      <formula>SUM(IF(ISNUMBER(J11),I11,0))</formula>
    </cfRule>
  </conditionalFormatting>
  <conditionalFormatting sqref="E12">
    <cfRule type="expression" dxfId="3" priority="50">
      <formula>AND(ISBLANK(D12),ISBLANK(L12))</formula>
    </cfRule>
    <cfRule type="expression" dxfId="1" priority="51">
      <formula>IF(SUM(H12)=0,1,0)</formula>
    </cfRule>
    <cfRule type="cellIs" dxfId="0" priority="52" operator="greaterThan">
      <formula>SUM(H12)</formula>
    </cfRule>
    <cfRule type="cellIs" dxfId="2" priority="53" operator="greaterThan">
      <formula>SUM(IF(ISNUMBER(J12),I12,0))</formula>
    </cfRule>
  </conditionalFormatting>
  <conditionalFormatting sqref="E13">
    <cfRule type="expression" dxfId="3" priority="54">
      <formula>AND(ISBLANK(D13),ISBLANK(L13))</formula>
    </cfRule>
    <cfRule type="expression" dxfId="1" priority="55">
      <formula>IF(SUM(H13)=0,1,0)</formula>
    </cfRule>
    <cfRule type="cellIs" dxfId="0" priority="56" operator="greaterThan">
      <formula>SUM(H13)</formula>
    </cfRule>
    <cfRule type="cellIs" dxfId="2" priority="57" operator="greaterThan">
      <formula>SUM(IF(ISNUMBER(J13),I13,0))</formula>
    </cfRule>
  </conditionalFormatting>
  <conditionalFormatting sqref="E14">
    <cfRule type="expression" dxfId="3" priority="58">
      <formula>AND(ISBLANK(D14),ISBLANK(L14))</formula>
    </cfRule>
    <cfRule type="expression" dxfId="1" priority="59">
      <formula>IF(SUM(H14)=0,1,0)</formula>
    </cfRule>
    <cfRule type="cellIs" dxfId="0" priority="60" operator="greaterThan">
      <formula>SUM(H14)</formula>
    </cfRule>
    <cfRule type="cellIs" dxfId="2" priority="61" operator="greaterThan">
      <formula>SUM(IF(ISNUMBER(J14),I14,0))</formula>
    </cfRule>
  </conditionalFormatting>
  <conditionalFormatting sqref="E15">
    <cfRule type="expression" dxfId="3" priority="62">
      <formula>AND(ISBLANK(D15),ISBLANK(L15))</formula>
    </cfRule>
    <cfRule type="expression" dxfId="1" priority="63">
      <formula>IF(SUM(H15)=0,1,0)</formula>
    </cfRule>
    <cfRule type="cellIs" dxfId="0" priority="64" operator="greaterThan">
      <formula>SUM(H15)</formula>
    </cfRule>
    <cfRule type="cellIs" dxfId="2" priority="65" operator="greaterThan">
      <formula>SUM(IF(ISNUMBER(J15),I15,0))</formula>
    </cfRule>
  </conditionalFormatting>
  <conditionalFormatting sqref="E16">
    <cfRule type="expression" dxfId="3" priority="66">
      <formula>AND(ISBLANK(D16),ISBLANK(L16))</formula>
    </cfRule>
    <cfRule type="expression" dxfId="1" priority="67">
      <formula>IF(SUM(H16)=0,1,0)</formula>
    </cfRule>
    <cfRule type="cellIs" dxfId="0" priority="68" operator="greaterThan">
      <formula>SUM(H16)</formula>
    </cfRule>
    <cfRule type="cellIs" dxfId="2" priority="69" operator="greaterThan">
      <formula>SUM(IF(ISNUMBER(J16),I16,0))</formula>
    </cfRule>
  </conditionalFormatting>
  <conditionalFormatting sqref="E17">
    <cfRule type="expression" dxfId="3" priority="70">
      <formula>AND(ISBLANK(D17),ISBLANK(L17))</formula>
    </cfRule>
    <cfRule type="expression" dxfId="1" priority="71">
      <formula>IF(SUM(H17)=0,1,0)</formula>
    </cfRule>
    <cfRule type="cellIs" dxfId="0" priority="72" operator="greaterThan">
      <formula>SUM(H17)</formula>
    </cfRule>
    <cfRule type="cellIs" dxfId="2" priority="73" operator="greaterThan">
      <formula>SUM(IF(ISNUMBER(J17),I17,0))</formula>
    </cfRule>
  </conditionalFormatting>
  <conditionalFormatting sqref="E18">
    <cfRule type="expression" dxfId="3" priority="74">
      <formula>AND(ISBLANK(D18),ISBLANK(L18))</formula>
    </cfRule>
    <cfRule type="expression" dxfId="1" priority="75">
      <formula>IF(SUM(H18)=0,1,0)</formula>
    </cfRule>
    <cfRule type="cellIs" dxfId="0" priority="76" operator="greaterThan">
      <formula>SUM(H18)</formula>
    </cfRule>
    <cfRule type="cellIs" dxfId="2" priority="77" operator="greaterThan">
      <formula>SUM(IF(ISNUMBER(J18),I18,0))</formula>
    </cfRule>
  </conditionalFormatting>
  <conditionalFormatting sqref="E19">
    <cfRule type="expression" dxfId="3" priority="78">
      <formula>AND(ISBLANK(D19),ISBLANK(L19))</formula>
    </cfRule>
    <cfRule type="expression" dxfId="1" priority="79">
      <formula>IF(SUM(H19)=0,1,0)</formula>
    </cfRule>
    <cfRule type="cellIs" dxfId="0" priority="80" operator="greaterThan">
      <formula>SUM(H19)</formula>
    </cfRule>
    <cfRule type="cellIs" dxfId="2" priority="81" operator="greaterThan">
      <formula>SUM(IF(ISNUMBER(J19),I19,0))</formula>
    </cfRule>
  </conditionalFormatting>
  <conditionalFormatting sqref="E20">
    <cfRule type="expression" dxfId="3" priority="82">
      <formula>AND(ISBLANK(D20),ISBLANK(L20))</formula>
    </cfRule>
    <cfRule type="expression" dxfId="1" priority="83">
      <formula>IF(SUM(H20)=0,1,0)</formula>
    </cfRule>
    <cfRule type="cellIs" dxfId="0" priority="84" operator="greaterThan">
      <formula>SUM(H20)</formula>
    </cfRule>
    <cfRule type="cellIs" dxfId="2" priority="85" operator="greaterThan">
      <formula>SUM(IF(ISNUMBER(J20),I20,0))</formula>
    </cfRule>
  </conditionalFormatting>
  <conditionalFormatting sqref="E7">
    <cfRule type="expression" dxfId="3" priority="30">
      <formula>AND(ISBLANK(D7),ISBLANK(L7))</formula>
    </cfRule>
    <cfRule type="expression" dxfId="1" priority="31">
      <formula>IF(SUM(H7)=0,1,0)</formula>
    </cfRule>
    <cfRule type="cellIs" dxfId="0" priority="32" operator="greaterThan">
      <formula>SUM(H7)</formula>
    </cfRule>
    <cfRule type="cellIs" dxfId="2" priority="33" operator="greaterThan">
      <formula>SUM(IF(ISNUMBER(J7),I7,0))</formula>
    </cfRule>
  </conditionalFormatting>
  <conditionalFormatting sqref="E8">
    <cfRule type="expression" dxfId="3" priority="34">
      <formula>AND(ISBLANK(D8),ISBLANK(L8))</formula>
    </cfRule>
    <cfRule type="expression" dxfId="1" priority="35">
      <formula>IF(SUM(H8)=0,1,0)</formula>
    </cfRule>
    <cfRule type="cellIs" dxfId="0" priority="36" operator="greaterThan">
      <formula>SUM(H8)</formula>
    </cfRule>
    <cfRule type="cellIs" dxfId="2" priority="37" operator="greaterThan">
      <formula>SUM(IF(ISNUMBER(J8),I8,0))</formula>
    </cfRule>
  </conditionalFormatting>
  <conditionalFormatting sqref="E9">
    <cfRule type="expression" dxfId="3" priority="38">
      <formula>AND(ISBLANK(D9),ISBLANK(L9))</formula>
    </cfRule>
    <cfRule type="expression" dxfId="1" priority="39">
      <formula>IF(SUM(H9)=0,1,0)</formula>
    </cfRule>
    <cfRule type="cellIs" dxfId="0" priority="40" operator="greaterThan">
      <formula>SUM(H9)</formula>
    </cfRule>
    <cfRule type="cellIs" dxfId="2" priority="41" operator="greaterThan">
      <formula>SUM(IF(ISNUMBER(J9),I9,0))</formula>
    </cfRule>
  </conditionalFormatting>
  <conditionalFormatting sqref="H10">
    <cfRule type="cellIs" dxfId="0" priority="7" operator="lessThan">
      <formula>E10</formula>
    </cfRule>
  </conditionalFormatting>
  <conditionalFormatting sqref="H11">
    <cfRule type="cellIs" dxfId="0" priority="9" operator="lessThan">
      <formula>E11</formula>
    </cfRule>
  </conditionalFormatting>
  <conditionalFormatting sqref="H12">
    <cfRule type="cellIs" dxfId="0" priority="12" operator="lessThan">
      <formula>E12</formula>
    </cfRule>
  </conditionalFormatting>
  <conditionalFormatting sqref="H13">
    <cfRule type="cellIs" dxfId="0" priority="14" operator="lessThan">
      <formula>E13</formula>
    </cfRule>
  </conditionalFormatting>
  <conditionalFormatting sqref="H14">
    <cfRule type="cellIs" dxfId="0" priority="16" operator="lessThan">
      <formula>E14</formula>
    </cfRule>
  </conditionalFormatting>
  <conditionalFormatting sqref="H15">
    <cfRule type="cellIs" dxfId="0" priority="18" operator="lessThan">
      <formula>E15</formula>
    </cfRule>
  </conditionalFormatting>
  <conditionalFormatting sqref="H16">
    <cfRule type="cellIs" dxfId="0" priority="20" operator="lessThan">
      <formula>E16</formula>
    </cfRule>
  </conditionalFormatting>
  <conditionalFormatting sqref="H17">
    <cfRule type="cellIs" dxfId="0" priority="22" operator="lessThan">
      <formula>E17</formula>
    </cfRule>
  </conditionalFormatting>
  <conditionalFormatting sqref="H18">
    <cfRule type="cellIs" dxfId="0" priority="24" operator="lessThan">
      <formula>E18</formula>
    </cfRule>
  </conditionalFormatting>
  <conditionalFormatting sqref="H19">
    <cfRule type="cellIs" dxfId="0" priority="26" operator="lessThan">
      <formula>E19</formula>
    </cfRule>
  </conditionalFormatting>
  <conditionalFormatting sqref="H20">
    <cfRule type="cellIs" dxfId="0" priority="28" operator="lessThan">
      <formula>E20</formula>
    </cfRule>
  </conditionalFormatting>
  <conditionalFormatting sqref="H7">
    <cfRule type="cellIs" dxfId="0" priority="1" operator="lessThan">
      <formula>E7</formula>
    </cfRule>
  </conditionalFormatting>
  <conditionalFormatting sqref="H8">
    <cfRule type="cellIs" dxfId="0" priority="3" operator="lessThan">
      <formula>E8</formula>
    </cfRule>
  </conditionalFormatting>
  <conditionalFormatting sqref="H9">
    <cfRule type="cellIs" dxfId="0" priority="5" operator="lessThan">
      <formula>E9</formula>
    </cfRule>
  </conditionalFormatting>
  <conditionalFormatting sqref="I10">
    <cfRule type="expression" dxfId="1" priority="8">
      <formula>AND(NOT(ISBLANK(I10)),OR(H10="NonStk",I10&gt;H10))</formula>
    </cfRule>
  </conditionalFormatting>
  <conditionalFormatting sqref="I11">
    <cfRule type="expression" dxfId="2" priority="10">
      <formula>AND(I11&gt;0,MOD(I11,K11)&lt;&gt;0)</formula>
    </cfRule>
    <cfRule type="expression" dxfId="1" priority="11">
      <formula>AND(NOT(ISBLANK(I11)),OR(H11="NonStk",I11&gt;H11))</formula>
    </cfRule>
  </conditionalFormatting>
  <conditionalFormatting sqref="I12">
    <cfRule type="expression" dxfId="1" priority="13">
      <formula>AND(NOT(ISBLANK(I12)),OR(H12="NonStk",I12&gt;H12))</formula>
    </cfRule>
  </conditionalFormatting>
  <conditionalFormatting sqref="I13">
    <cfRule type="expression" dxfId="1" priority="15">
      <formula>AND(NOT(ISBLANK(I13)),OR(H13="NonStk",I13&gt;H13))</formula>
    </cfRule>
  </conditionalFormatting>
  <conditionalFormatting sqref="I14">
    <cfRule type="expression" dxfId="1" priority="17">
      <formula>AND(NOT(ISBLANK(I14)),OR(H14="NonStk",I14&gt;H14))</formula>
    </cfRule>
  </conditionalFormatting>
  <conditionalFormatting sqref="I15">
    <cfRule type="expression" dxfId="1" priority="19">
      <formula>AND(NOT(ISBLANK(I15)),OR(H15="NonStk",I15&gt;H15))</formula>
    </cfRule>
  </conditionalFormatting>
  <conditionalFormatting sqref="I16">
    <cfRule type="expression" dxfId="1" priority="21">
      <formula>AND(NOT(ISBLANK(I16)),OR(H16="NonStk",I16&gt;H16))</formula>
    </cfRule>
  </conditionalFormatting>
  <conditionalFormatting sqref="I17">
    <cfRule type="expression" dxfId="1" priority="23">
      <formula>AND(NOT(ISBLANK(I17)),OR(H17="NonStk",I17&gt;H17))</formula>
    </cfRule>
  </conditionalFormatting>
  <conditionalFormatting sqref="I18">
    <cfRule type="expression" dxfId="1" priority="25">
      <formula>AND(NOT(ISBLANK(I18)),OR(H18="NonStk",I18&gt;H18))</formula>
    </cfRule>
  </conditionalFormatting>
  <conditionalFormatting sqref="I19">
    <cfRule type="expression" dxfId="1" priority="27">
      <formula>AND(NOT(ISBLANK(I19)),OR(H19="NonStk",I19&gt;H19))</formula>
    </cfRule>
  </conditionalFormatting>
  <conditionalFormatting sqref="I20">
    <cfRule type="expression" dxfId="1" priority="29">
      <formula>AND(NOT(ISBLANK(I20)),OR(H20="NonStk",I20&gt;H20))</formula>
    </cfRule>
  </conditionalFormatting>
  <conditionalFormatting sqref="I7">
    <cfRule type="expression" dxfId="1" priority="2">
      <formula>AND(NOT(ISBLANK(I7)),OR(H7="NonStk",I7&gt;H7))</formula>
    </cfRule>
  </conditionalFormatting>
  <conditionalFormatting sqref="I8">
    <cfRule type="expression" dxfId="1" priority="4">
      <formula>AND(NOT(ISBLANK(I8)),OR(H8="NonStk",I8&gt;H8))</formula>
    </cfRule>
  </conditionalFormatting>
  <conditionalFormatting sqref="I9">
    <cfRule type="expression" dxfId="1" priority="6">
      <formula>AND(NOT(ISBLANK(I9)),OR(H9="NonStk",I9&gt;H9))</formula>
    </cfRule>
  </conditionalFormatting>
  <hyperlinks>
    <hyperlink ref="D7" r:id="rId1"/>
    <hyperlink ref="M7" r:id="rId2"/>
    <hyperlink ref="D8" r:id="rId3"/>
    <hyperlink ref="M8" r:id="rId4"/>
    <hyperlink ref="M9" r:id="rId5"/>
    <hyperlink ref="D10" r:id="rId6"/>
    <hyperlink ref="M10" r:id="rId7"/>
    <hyperlink ref="D11" r:id="rId8"/>
    <hyperlink ref="M11" r:id="rId9"/>
    <hyperlink ref="M12" r:id="rId10"/>
    <hyperlink ref="D13" r:id="rId11"/>
    <hyperlink ref="M13" r:id="rId12"/>
    <hyperlink ref="D14" r:id="rId13"/>
    <hyperlink ref="M14" r:id="rId14"/>
    <hyperlink ref="M15" r:id="rId15"/>
    <hyperlink ref="M16" r:id="rId16"/>
    <hyperlink ref="D17" r:id="rId17"/>
    <hyperlink ref="M17" r:id="rId18"/>
    <hyperlink ref="M18" r:id="rId19"/>
    <hyperlink ref="D19" r:id="rId20"/>
    <hyperlink ref="M19" r:id="rId21"/>
    <hyperlink ref="D20" r:id="rId22"/>
    <hyperlink ref="M20" r:id="rId23"/>
    <hyperlink ref="H22" r:id="rId24"/>
  </hyperlinks>
  <pageMargins left="0.7" right="0.7" top="0.75" bottom="0.75" header="0.3" footer="0.3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kicost-bom</vt:lpstr>
      <vt:lpstr>'kicost-bom'!BoardQty</vt:lpstr>
      <vt:lpstr>'kicost-bom'!PURCHASE_DESCRIPTION</vt:lpstr>
      <vt:lpstr>'kicost-bom'!TotalCost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2025-03-12T15:15:15Z</dcterms:created>
  <dcterms:modified xsi:type="dcterms:W3CDTF">2025-03-12T15:15:15Z</dcterms:modified>
</cp:coreProperties>
</file>