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-bom" sheetId="1" r:id="rId1"/>
  </sheets>
  <definedNames>
    <definedName name="BoardQty" localSheetId="0">'kicost-bom'!$G$1</definedName>
    <definedName name="PURCHASE_DESCRIPTION" localSheetId="0">'kicost-bom'!$G$46</definedName>
    <definedName name="TotalCost" localSheetId="0">'kicost-bom'!$G$3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7" authorId="0">
      <text>
        <r>
          <rPr>
            <sz val="8"/>
            <color indexed="81"/>
            <rFont val="Tahoma"/>
            <family val="2"/>
          </rPr>
          <t>928170 In voorraad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€0.03      €0.30
   100   €0.02      €1.90
  1000   €0.01     €14.00
  4000   €0.01     €36.00
  8000   €0.01     €64.00
 24000   €0.01    €168.00</t>
        </r>
      </text>
    </comment>
    <comment ref="M7" authorId="0">
      <text>
        <r>
          <rPr>
            <sz val="8"/>
            <color indexed="81"/>
            <rFont val="Tahoma"/>
            <family val="2"/>
          </rPr>
          <t>Desc: Meerlaagse keramische condensatoren MLCC - SMD/SMT CGA 0603 25V 0.1uF X7R 10% AEC-Q200</t>
        </r>
      </text>
    </comment>
    <comment ref="H8" authorId="0">
      <text>
        <r>
          <rPr>
            <sz val="8"/>
            <color indexed="81"/>
            <rFont val="Tahoma"/>
            <family val="2"/>
          </rPr>
          <t>16674 In voorraad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€0.14      €1.38
   100   €0.10     €10.50
  1000   €0.07     €65.00
  2000   €0.06    €114.00
 10000   €0.02    €230.00
 24000   €0.02    €480.00
 50000   €0.02    €900.00
100000   €0.02  €1,700.00</t>
        </r>
      </text>
    </comment>
    <comment ref="M8" authorId="0">
      <text>
        <r>
          <rPr>
            <sz val="8"/>
            <color indexed="81"/>
            <rFont val="Tahoma"/>
            <family val="2"/>
          </rPr>
          <t>Desc: Meerlaagse keramische condensatoren MLCC - SMD/SMT X7R, 4.7uF, +/-10%, 10v, 0805</t>
        </r>
      </text>
    </comment>
    <comment ref="H9" authorId="0">
      <text>
        <r>
          <rPr>
            <sz val="8"/>
            <color indexed="81"/>
            <rFont val="Tahoma"/>
            <family val="2"/>
          </rPr>
          <t>260322 In voorraad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€0.16      €0.16
    10   €0.08      €0.77
   100   €0.07      €6.70
   500   €0.05     €25.00
  1000   €0.04     €45.00
  2000   €0.03     €64.00
 10000   €0.03    €280.00
 24000   €0.03    €648.00
 50000   €0.03  €1,250.00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Desc: Meerlaagse keramische condensatoren MLCC - SMD/SMT 10uF+/-10% 10V X7R 2 0805</t>
        </r>
      </text>
    </comment>
    <comment ref="H10" authorId="0">
      <text>
        <r>
          <rPr>
            <sz val="8"/>
            <color indexed="81"/>
            <rFont val="Tahoma"/>
            <family val="2"/>
          </rPr>
          <t>148338 In voorraad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€0.13      €0.13
    10   €0.08      €0.77
   100   €0.05      €4.90
  1000   €0.03     €33.00
  4000   €0.03    €116.00
  8000   €0.03    €200.00
 24000   €0.02    €528.00
100000   €0.02  €2,000.00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Desc: Meerlaagse keramische condensatoren MLCC - SMD/SMT CGA 0603 25V 1uF X7R 10% AEC-Q200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25716 In voorraad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€0.75      €0.75
    10   €0.53      €5.32
   100   €0.49     €48.70
  1200   €0.43    €518.40
  2400   €0.41    €974.40
  4800   €0.39  €1,872.00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Desc: USB Connectoren Top-Mnt SMT 16Ckt Type C Rec.</t>
        </r>
      </text>
    </comment>
    <comment ref="H12" authorId="0">
      <text>
        <r>
          <rPr>
            <sz val="8"/>
            <color indexed="81"/>
            <rFont val="Tahoma"/>
            <family val="2"/>
          </rPr>
          <t>21079 In voorraad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€2.30      €2.30
    25   €2.14     €53.50
   100   €1.99    €199.00
   250   €1.84    €460.00
   500   €1.74    €870.00
  1000   €1.58  €1,580.00
  2500   €1.46  €3,650.00
  5000   €1.42  €7,100.00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Desc: Cilindrische accuklemmen, -clips, -houders en -veren AA PC Battery HOLDER</t>
        </r>
      </text>
    </comment>
    <comment ref="H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M13" authorId="0">
      <text>
        <r>
          <rPr>
            <sz val="8"/>
            <color indexed="81"/>
            <rFont val="Tahoma"/>
            <family val="2"/>
          </rPr>
          <t>Desc: Connectoren automobiel</t>
        </r>
      </text>
    </comment>
    <comment ref="H14" authorId="0">
      <text>
        <r>
          <rPr>
            <sz val="8"/>
            <color indexed="81"/>
            <rFont val="Tahoma"/>
            <family val="2"/>
          </rPr>
          <t>891 In voorraad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€3.44      €3.44
    10   €3.15     €31.50
    25   €2.93     €73.25
    80   €2.75    €220.00
   240   €2.53    €607.20
   560   €2.38  €1,332.80
  1040   €2.33  €2,423.20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Desc: RF-stekkers/Coaxiale stekkers RA JACK PCB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133 In voorraad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€0.76      €0.76
    10   €0.64      €6.42
  2000   €0.64  €1,284.00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Desc: FFC &amp; FPC connectoren FPC CONN 0.5MM PITCH T/C 24P</t>
        </r>
      </text>
    </comment>
    <comment ref="H16" authorId="0">
      <text>
        <r>
          <rPr>
            <sz val="8"/>
            <color indexed="81"/>
            <rFont val="Tahoma"/>
            <family val="2"/>
          </rPr>
          <t>65583 In voorraad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€0.22      €0.22
    10   €0.15      €1.50
   100   €0.11     €10.80
   500   €0.09     €44.50
  1000   €0.07     €67.00
  2500   €0.05    €127.50
  4500   €0.05    €207.00
  9000   €0.04    €405.00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Desc: Schottky-diodes &amp; gelijkrichters 1A 30V SM Schottky Rect</t>
        </r>
      </text>
    </comment>
    <comment ref="H17" authorId="0">
      <text>
        <r>
          <rPr>
            <sz val="8"/>
            <color indexed="81"/>
            <rFont val="Tahoma"/>
            <family val="2"/>
          </rPr>
          <t>96 In voorraad</t>
        </r>
      </text>
    </comment>
    <comment ref="J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€7.64      €7.64</t>
        </r>
      </text>
    </comment>
    <comment ref="M17" authorId="0">
      <text>
        <r>
          <rPr>
            <sz val="8"/>
            <color indexed="81"/>
            <rFont val="Tahoma"/>
            <family val="2"/>
          </rPr>
          <t>Desc: RF-modules Wio-E5-LE Wireless Module (Tape Reel) - STM32WLE5JC, ARM Cortex-M4 and SX126x embedded, supports LoRaWAN on EU868 &amp; US915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12283 In voorraad</t>
        </r>
      </text>
    </comment>
    <comment ref="J1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€3.29      €3.29
    10   €3.07     €30.70
    25   €2.96     €74.00
   100   €2.72    €272.00
   250   €2.57    €642.50
   500   €2.43  €1,215.00
  1000   €2.16  €2,160.00
  1500   €2.05  €3,075.00</t>
        </r>
      </text>
    </comment>
    <comment ref="M18" authorId="0">
      <text>
        <r>
          <rPr>
            <sz val="8"/>
            <color indexed="81"/>
            <rFont val="Tahoma"/>
            <family val="2"/>
          </rPr>
          <t>Desc: USB-interface IC USBXpress - USB to UART Bridge QFN24</t>
        </r>
      </text>
    </comment>
    <comment ref="H19" authorId="0">
      <text>
        <r>
          <rPr>
            <sz val="8"/>
            <color indexed="81"/>
            <rFont val="Tahoma"/>
            <family val="2"/>
          </rPr>
          <t>55399 In voorraad</t>
        </r>
      </text>
    </comment>
    <comment ref="J1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€0.42      €0.42
    10   €0.28      €2.83
   100   €0.19     €19.20
   500   €0.15     €75.00
  1000   €0.13    €134.00
  3000   €0.10    €288.00</t>
        </r>
      </text>
    </comment>
    <comment ref="M19" authorId="0">
      <text>
        <r>
          <rPr>
            <sz val="8"/>
            <color indexed="81"/>
            <rFont val="Tahoma"/>
            <family val="2"/>
          </rPr>
          <t>Desc: ESD-beschermingsdiodes/TVS-diodes High Speed Interface Protection Low Cap</t>
        </r>
      </text>
    </comment>
    <comment ref="H20" authorId="0">
      <text>
        <r>
          <rPr>
            <sz val="8"/>
            <color indexed="81"/>
            <rFont val="Tahoma"/>
            <family val="2"/>
          </rPr>
          <t>3093 In voorraad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€4.14      €4.14
    10   €3.14     €31.40
    25   €2.89     €72.25
   100   €2.62    €262.00
   250   €2.49    €622.50
   500   €2.40  €1,200.00
  1000   €2.33  €2,330.00
  3000   €2.17  €6,510.00</t>
        </r>
      </text>
    </comment>
    <comment ref="M20" authorId="0">
      <text>
        <r>
          <rPr>
            <sz val="8"/>
            <color indexed="81"/>
            <rFont val="Tahoma"/>
            <family val="2"/>
          </rPr>
          <t>Desc: Batterijbeheer Ultra Low Power Boos t Converter A 595-BQ25504RGTT</t>
        </r>
      </text>
    </comment>
    <comment ref="H21" authorId="0">
      <text>
        <r>
          <rPr>
            <sz val="8"/>
            <color indexed="81"/>
            <rFont val="Tahoma"/>
            <family val="2"/>
          </rPr>
          <t>8984 In voorraad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€7.24      €7.24
    10   €6.21     €62.10
   100   €5.74    €574.00
   250   €5.73  €1,432.50
   500   €5.31  €2,655.00
  1000   €5.27  €5,270.00
  6000   €5.27 €31,620.00</t>
        </r>
      </text>
    </comment>
    <comment ref="M21" authorId="0">
      <text>
        <r>
          <rPr>
            <sz val="8"/>
            <color indexed="81"/>
            <rFont val="Tahoma"/>
            <family val="2"/>
          </rPr>
          <t>Desc: Luchtkwaliteitsensoren MEMS gas, humidity, pressure and temperature sensor</t>
        </r>
      </text>
    </comment>
    <comment ref="H22" authorId="0">
      <text>
        <r>
          <rPr>
            <sz val="8"/>
            <color indexed="81"/>
            <rFont val="Tahoma"/>
            <family val="2"/>
          </rPr>
          <t>3188 In voorraad</t>
        </r>
      </text>
    </comment>
    <comment ref="J2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€1.47      €1.47
    10   €1.23     €12.30
   100   €1.16    €116.00
   250   €1.14    €285.00
   500   €1.07    €535.00
  1000   €1.06  €1,060.00
  2500   €0.99  €2,470.00
  5000   €0.91  €4,555.00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Desc: Inplugbare vochtigheidssensoren +/-1.8%RH/+/-0.2C, 4th generation, digital (I2C) humidity and temperature sensor with 0x45 I2C address.</t>
        </r>
      </text>
    </comment>
    <comment ref="H23" authorId="0">
      <text>
        <r>
          <rPr>
            <sz val="8"/>
            <color indexed="81"/>
            <rFont val="Tahoma"/>
            <family val="2"/>
          </rPr>
          <t>8371 In voorraad</t>
        </r>
      </text>
    </comment>
    <comment ref="J2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€1.79      €1.79
    10   €1.49     €14.90
   100   €1.42    €142.00
   500   €1.28    €640.00
  1000   €1.24  €1,240.00
  3500   €1.13  €3,955.00
  7000   €1.10  €7,700.00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Desc: Licht naar digitale converters Hi-Sensitvty Ambient Light Sensor IC</t>
        </r>
      </text>
    </comment>
    <comment ref="H24" authorId="0">
      <text>
        <r>
          <rPr>
            <sz val="8"/>
            <color indexed="81"/>
            <rFont val="Tahoma"/>
            <family val="2"/>
          </rPr>
          <t>3347 In voorraad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€1.39      €1.39
    10   €1.24     €12.40
   100   €1.21    €121.00
   250   €1.17    €292.50
   500   €1.14    €570.00
  1000   €1.11  €1,110.00
  3000   €1.06  €3,180.00
  6000   €1.03  €6,180.00
  9000   €0.99  €8,892.00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Desc: EEPROM SERIAL EEPROM</t>
        </r>
      </text>
    </comment>
    <comment ref="H25" authorId="0">
      <text>
        <r>
          <rPr>
            <sz val="8"/>
            <color indexed="81"/>
            <rFont val="Tahoma"/>
            <family val="2"/>
          </rPr>
          <t>1245 In voorraad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€1.43      €1.43
    25   €1.20     €30.00
   100   €1.08    €108.00
  3300   €1.08  €3,564.00</t>
        </r>
      </text>
    </comment>
    <comment ref="M25" authorId="0">
      <text>
        <r>
          <rPr>
            <sz val="8"/>
            <color indexed="81"/>
            <rFont val="Tahoma"/>
            <family val="2"/>
          </rPr>
          <t>Desc: Batterijbeheer Sngl cel OVP LiFEPO4 battery charger</t>
        </r>
      </text>
    </comment>
    <comment ref="H26" authorId="0">
      <text>
        <r>
          <rPr>
            <sz val="8"/>
            <color indexed="81"/>
            <rFont val="Tahoma"/>
            <family val="2"/>
          </rPr>
          <t>3674 In voorraad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€0.22      €0.22
    10   €0.11      €1.12
  2000   €0.10    €206.00
 10000   €0.09    €900.00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Desc: Vermogensinductoren - SMD 0.55A 47uH 1.392ohm 3x3mm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2404 In voorraad</t>
        </r>
      </text>
    </comment>
    <comment ref="J2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€0.22      €0.22
    10   €0.18      €1.81
   100   €0.15     €15.00
  1000   €0.12    €121.00
  2000   €0.11    €222.00
 10000   €0.10    €950.00
 50000   €0.09  €4,500.00</t>
        </r>
      </text>
    </comment>
    <comment ref="M27" authorId="0">
      <text>
        <r>
          <rPr>
            <sz val="8"/>
            <color indexed="81"/>
            <rFont val="Tahoma"/>
            <family val="2"/>
          </rPr>
          <t>Desc: Vermogensinductoren - SMD 0.86A 22uH 624mOhm 3x3mm</t>
        </r>
      </text>
    </comment>
    <comment ref="H28" authorId="0">
      <text>
        <r>
          <rPr>
            <sz val="8"/>
            <color indexed="81"/>
            <rFont val="Tahoma"/>
            <family val="2"/>
          </rPr>
          <t>34967 In voorraad</t>
        </r>
      </text>
    </comment>
    <comment ref="J2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€0.26      €0.26
    10   €0.16      €1.57
   100   €0.07      €7.20
  1000   €0.07     €65.00
  3000   €0.07    €195.00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Desc: MOSFET's 30V N-Channel Enhancement Mode MOSFET</t>
        </r>
      </text>
    </comment>
    <comment ref="H29" authorId="0">
      <text>
        <r>
          <rPr>
            <sz val="8"/>
            <color indexed="81"/>
            <rFont val="Tahoma"/>
            <family val="2"/>
          </rPr>
          <t>5668 In voorraad</t>
        </r>
      </text>
    </comment>
    <comment ref="J2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€0.48      €0.48
    10   €0.33      €3.33
   100   €0.24     €24.50
   500   €0.19     €94.50
  1000   €0.15    €155.00
  3000   €0.13    €399.00
  6000   €0.13    €762.00
  9000   €0.12  €1,080.00</t>
        </r>
      </text>
    </comment>
    <comment ref="M29" authorId="0">
      <text>
        <r>
          <rPr>
            <sz val="8"/>
            <color indexed="81"/>
            <rFont val="Tahoma"/>
            <family val="2"/>
          </rPr>
          <t>Desc: MOSFET's -20V Vds 8V Vgs SOT-23</t>
        </r>
      </text>
    </comment>
    <comment ref="H30" authorId="0">
      <text>
        <r>
          <rPr>
            <sz val="8"/>
            <color indexed="81"/>
            <rFont val="Tahoma"/>
            <family val="2"/>
          </rPr>
          <t>17203 In voorraad</t>
        </r>
      </text>
    </comment>
    <comment ref="J3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€0.04      €0.38
   100   €0.03      €2.90
   500   €0.02     €12.00
  1000   €0.02     €22.00
  5000   €0.02     €80.00
 10000   €0.01    €150.00
 25000   €0.01    €300.00</t>
        </r>
      </text>
    </comment>
    <comment ref="M30" authorId="0">
      <text>
        <r>
          <rPr>
            <sz val="8"/>
            <color indexed="81"/>
            <rFont val="Tahoma"/>
            <family val="2"/>
          </rPr>
          <t>Desc: Stroomsensorweerstanden - SMD 0603 2.2ohm 5% Curr Sense AEC-Q200</t>
        </r>
      </text>
    </comment>
    <comment ref="H31" authorId="0">
      <text>
        <r>
          <rPr>
            <sz val="8"/>
            <color indexed="81"/>
            <rFont val="Tahoma"/>
            <family val="2"/>
          </rPr>
          <t>174195 In voorraad</t>
        </r>
      </text>
    </comment>
    <comment ref="J3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€0.09
  1000   €0.01      €7.00
  5000   €0.00     €15.00
 10000   €0.00     €20.00</t>
        </r>
      </text>
    </comment>
    <comment ref="M31" authorId="0">
      <text>
        <r>
          <rPr>
            <sz val="8"/>
            <color indexed="81"/>
            <rFont val="Tahoma"/>
            <family val="2"/>
          </rPr>
          <t>Desc: Weerstanden met dikke folie - SMD 1.69 MOhms 100 mW 0603 1%</t>
        </r>
      </text>
    </comment>
    <comment ref="H32" authorId="0">
      <text>
        <r>
          <rPr>
            <sz val="8"/>
            <color indexed="81"/>
            <rFont val="Tahoma"/>
            <family val="2"/>
          </rPr>
          <t>150380 In voorraad</t>
        </r>
      </text>
    </comment>
    <comment ref="J3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€0.04      €0.39
   100   €0.04      €3.80
   500   €0.03     €14.50
  1000   €0.03     €26.00
  5000   €0.02     €85.00</t>
        </r>
      </text>
    </comment>
    <comment ref="M32" authorId="0">
      <text>
        <r>
          <rPr>
            <sz val="8"/>
            <color indexed="81"/>
            <rFont val="Tahoma"/>
            <family val="2"/>
          </rPr>
          <t>Desc: Weerstanden met dikke folie - SMD 1 kOhms 1/10 W 0603 5 % AEC-Q200</t>
        </r>
      </text>
    </comment>
    <comment ref="H33" authorId="0">
      <text>
        <r>
          <rPr>
            <sz val="8"/>
            <color indexed="81"/>
            <rFont val="Tahoma"/>
            <family val="2"/>
          </rPr>
          <t>60096 In voorraad</t>
        </r>
      </text>
    </comment>
    <comment ref="J3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€0.02      €0.21
   100   €0.02      €1.60
  1000   €0.01     €10.00
  5000   €0.01     €30.00
100000   €0.00    €400.00</t>
        </r>
      </text>
    </comment>
    <comment ref="M33" authorId="0">
      <text>
        <r>
          <rPr>
            <sz val="8"/>
            <color indexed="81"/>
            <rFont val="Tahoma"/>
            <family val="2"/>
          </rPr>
          <t>Desc: Weerstanden met dikke folie - SMD 5.1kOhms 1/10W 0603  0.5% AEC-Q200 Standard Power Version</t>
        </r>
      </text>
    </comment>
    <comment ref="H34" authorId="0">
      <text>
        <r>
          <rPr>
            <sz val="8"/>
            <color indexed="81"/>
            <rFont val="Tahoma"/>
            <family val="2"/>
          </rPr>
          <t>Geen</t>
        </r>
      </text>
    </comment>
    <comment ref="J3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€0.01      €0.14
   100   €0.01      €1.00
  1000   €0.01      €8.00
  5000   €0.00     €15.00
 50000   €0.00    €100.00</t>
        </r>
      </text>
    </comment>
    <comment ref="M34" authorId="0">
      <text>
        <r>
          <rPr>
            <sz val="8"/>
            <color indexed="81"/>
            <rFont val="Tahoma"/>
            <family val="2"/>
          </rPr>
          <t>Desc: Weerstanden met dikke folie - SMD 5.36 MOhms 1/10W 0603 1%</t>
        </r>
      </text>
    </comment>
    <comment ref="H35" authorId="0">
      <text>
        <r>
          <rPr>
            <sz val="8"/>
            <color indexed="81"/>
            <rFont val="Tahoma"/>
            <family val="2"/>
          </rPr>
          <t>457126 In voorraad</t>
        </r>
      </text>
    </comment>
    <comment ref="J3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€0.10
   100   €0.01      €0.70
   500   €0.01      €2.50
  1000   €0.00      €4.00
  5000   €0.00     €10.00</t>
        </r>
      </text>
    </comment>
    <comment ref="M35" authorId="0">
      <text>
        <r>
          <rPr>
            <sz val="8"/>
            <color indexed="81"/>
            <rFont val="Tahoma"/>
            <family val="2"/>
          </rPr>
          <t>Desc: Weerstanden met dikke folie - SMD 0603 10KOHMS 5% 1/10WATT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355233 In voorraad</t>
        </r>
      </text>
    </comment>
    <comment ref="J3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€0.09
  1000   €0.01      €7.00
  5000   €0.00     €20.00
 10000   €0.00     €30.00
 25000   €0.00     €50.00</t>
        </r>
      </text>
    </comment>
    <comment ref="M36" authorId="0">
      <text>
        <r>
          <rPr>
            <sz val="8"/>
            <color indexed="81"/>
            <rFont val="Tahoma"/>
            <family val="2"/>
          </rPr>
          <t>Desc: Weerstanden met dikke folie - SMD 22.1 k Ohms 100 mW 0  603 1% AEC-Q200 Sta</t>
        </r>
      </text>
    </comment>
    <comment ref="H37" authorId="0">
      <text>
        <r>
          <rPr>
            <sz val="8"/>
            <color indexed="81"/>
            <rFont val="Tahoma"/>
            <family val="2"/>
          </rPr>
          <t>44745 In voorraad</t>
        </r>
      </text>
    </comment>
    <comment ref="J3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€0.09
   100   €0.01      €0.70
  1000   €0.01      €6.00
  5000   €0.00     €15.00
 10000   €0.00     €20.00</t>
        </r>
      </text>
    </comment>
    <comment ref="M37" authorId="0">
      <text>
        <r>
          <rPr>
            <sz val="8"/>
            <color indexed="81"/>
            <rFont val="Tahoma"/>
            <family val="2"/>
          </rPr>
          <t>Desc: Weerstanden met dikke folie - SMD 4.75 MOhms 100 mW 0603 1%</t>
        </r>
      </text>
    </comment>
    <comment ref="H38" authorId="0">
      <text>
        <r>
          <rPr>
            <sz val="8"/>
            <color indexed="81"/>
            <rFont val="Tahoma"/>
            <family val="2"/>
          </rPr>
          <t>19285 In voorraad</t>
        </r>
      </text>
    </comment>
    <comment ref="J3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€0.09
  1000   €0.01      €6.00
  5000   €0.01     €25.00
 10000   €0.00     €30.00
 25000   €0.00     €50.00</t>
        </r>
      </text>
    </comment>
    <comment ref="M38" authorId="0">
      <text>
        <r>
          <rPr>
            <sz val="8"/>
            <color indexed="81"/>
            <rFont val="Tahoma"/>
            <family val="2"/>
          </rPr>
          <t>Desc: Weerstanden met dikke folie - SMD 47.5 k Ohms 100 mW 0 603 1% AEC-Q200 Standard Power Version</t>
        </r>
      </text>
    </comment>
    <comment ref="H39" authorId="0">
      <text>
        <r>
          <rPr>
            <sz val="8"/>
            <color indexed="81"/>
            <rFont val="Tahoma"/>
            <family val="2"/>
          </rPr>
          <t>64642 In voorraad</t>
        </r>
      </text>
    </comment>
    <comment ref="J3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€0.10
   100   €0.01      €0.70
  1000   €0.01      €6.00
  5000   €0.01     €30.00
 10000   €0.01     €50.00
 25000   €0.00     €75.00
100000   €0.00    €200.00</t>
        </r>
      </text>
    </comment>
    <comment ref="M39" authorId="0">
      <text>
        <r>
          <rPr>
            <sz val="8"/>
            <color indexed="81"/>
            <rFont val="Tahoma"/>
            <family val="2"/>
          </rPr>
          <t>Desc: Weerstanden met dikke folie - SMD 330kOhms 1/10W 0603  5% AEC-Q200 Standard Power Version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31341 In voorraad</t>
        </r>
      </text>
    </comment>
    <comment ref="J4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€0.15
   100   €0.01      €1.00
  1000   €0.01      €8.00
  5000   €0.01     €25.00
 25000   €0.00     €75.00
 50000   €0.00    €100.00</t>
        </r>
      </text>
    </comment>
    <comment ref="M40" authorId="0">
      <text>
        <r>
          <rPr>
            <sz val="8"/>
            <color indexed="81"/>
            <rFont val="Tahoma"/>
            <family val="2"/>
          </rPr>
          <t>Desc: Weerstanden met dikke folie - SMD 8.45 MOhms 100 mW 0603 1%</t>
        </r>
      </text>
    </comment>
    <comment ref="H41" authorId="0">
      <text>
        <r>
          <rPr>
            <sz val="8"/>
            <color indexed="81"/>
            <rFont val="Tahoma"/>
            <family val="2"/>
          </rPr>
          <t>31569 In voorraad</t>
        </r>
      </text>
    </comment>
    <comment ref="J4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€0.19      €0.19
    10   €0.02      €0.19
   100   €0.01      €1.30
   500   €0.01      €6.00
  1000   €0.01     €11.00
  5000   €0.01     €25.00
 10000   €0.00     €40.00
 25000   €0.00     €75.00</t>
        </r>
      </text>
    </comment>
    <comment ref="M41" authorId="0">
      <text>
        <r>
          <rPr>
            <sz val="8"/>
            <color indexed="81"/>
            <rFont val="Tahoma"/>
            <family val="2"/>
          </rPr>
          <t>Desc: Weerstanden met dikke folie - SMD 330Ohmns 1/10W 0603 1%</t>
        </r>
      </text>
    </comment>
    <comment ref="H42" authorId="0">
      <text>
        <r>
          <rPr>
            <sz val="8"/>
            <color indexed="81"/>
            <rFont val="Tahoma"/>
            <family val="2"/>
          </rPr>
          <t>5561 In voorraad</t>
        </r>
      </text>
    </comment>
    <comment ref="J4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€0.55      €0.55
    50   €0.51     €25.70
   100   €0.47     €46.60
   500   €0.42    €212.50
  1000   €0.37    €369.00
  3300   €0.33  €1,089.00</t>
        </r>
      </text>
    </comment>
    <comment ref="M42" authorId="0">
      <text>
        <r>
          <rPr>
            <sz val="8"/>
            <color indexed="81"/>
            <rFont val="Tahoma"/>
            <family val="2"/>
          </rPr>
          <t>Desc: Drukschakelaars Tact Switch SMT on-on 1.65mm Blk Act</t>
        </r>
      </text>
    </comment>
    <comment ref="H43" authorId="0">
      <text>
        <r>
          <rPr>
            <sz val="8"/>
            <color indexed="81"/>
            <rFont val="Tahoma"/>
            <family val="2"/>
          </rPr>
          <t>5078 In voorraad</t>
        </r>
      </text>
    </comment>
    <comment ref="J4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€3.90      €3.90
    10   €2.93     €29.30
   100   €2.67    €267.00
   250   €2.66    €665.00
   500   €2.61  €1,305.00
  1000   €2.57  €2,570.00
  1500   €2.28  €3,420.00</t>
        </r>
      </text>
    </comment>
    <comment ref="M43" authorId="0">
      <text>
        <r>
          <rPr>
            <sz val="8"/>
            <color indexed="81"/>
            <rFont val="Tahoma"/>
            <family val="2"/>
          </rPr>
          <t>Desc: Schakelaars met drukknop Lever push w/ lug 9.5x8.8x2.2mm</t>
        </r>
      </text>
    </comment>
    <comment ref="F4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4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<sst xmlns="http://schemas.openxmlformats.org/spreadsheetml/2006/main" count="253" uniqueCount="140">
  <si>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</si>
  <si>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</si>
  <si>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</si>
  <si>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</si>
  <si>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</si>
  <si>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</si>
  <si>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</si>
  <si>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</si>
  <si>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C1-C10</t>
  </si>
  <si>
    <t>???</t>
  </si>
  <si>
    <t>CGA3E2X7R1E104K080AA</t>
  </si>
  <si>
    <t>C11-C18</t>
  </si>
  <si>
    <t>CL21B475KPFNFNE</t>
  </si>
  <si>
    <t>C25-C27</t>
  </si>
  <si>
    <t>CL21B106KPQNNWE</t>
  </si>
  <si>
    <t>C30-C37</t>
  </si>
  <si>
    <t>CGA3E1X7R1E105K080AC</t>
  </si>
  <si>
    <t>CONN1</t>
  </si>
  <si>
    <t>217179-0001</t>
  </si>
  <si>
    <t>CONN2</t>
  </si>
  <si>
    <t>1015</t>
  </si>
  <si>
    <t>CONN3</t>
  </si>
  <si>
    <t>SM04B-SRSS-TB(LF)(DN)(P)</t>
  </si>
  <si>
    <t>CONN5</t>
  </si>
  <si>
    <t>73391-0080</t>
  </si>
  <si>
    <t>CONN6</t>
  </si>
  <si>
    <t>2-1734839-4</t>
  </si>
  <si>
    <t>D1-D3</t>
  </si>
  <si>
    <t>MSS1P3HM3_A/H</t>
  </si>
  <si>
    <t>IC1</t>
  </si>
  <si>
    <t>114993121</t>
  </si>
  <si>
    <t>IC2</t>
  </si>
  <si>
    <t>CP2102N-A02-GQFN24R</t>
  </si>
  <si>
    <t>IC3</t>
  </si>
  <si>
    <t>USBLC6-2P6</t>
  </si>
  <si>
    <t>IC4</t>
  </si>
  <si>
    <t>BQ25504RGTR</t>
  </si>
  <si>
    <t>IC5</t>
  </si>
  <si>
    <t>BME680</t>
  </si>
  <si>
    <t>IC6</t>
  </si>
  <si>
    <t>SHT40-BD1B-R2</t>
  </si>
  <si>
    <t>IC7</t>
  </si>
  <si>
    <t>TSL25911FN</t>
  </si>
  <si>
    <t>IC8-IC11</t>
  </si>
  <si>
    <t>BR24G1MFVT-5AE2</t>
  </si>
  <si>
    <t>IC12</t>
  </si>
  <si>
    <t>MCP73123T-22SI/MF</t>
  </si>
  <si>
    <t>L1</t>
  </si>
  <si>
    <t>VLS3010CX-470M-1</t>
  </si>
  <si>
    <t>L2</t>
  </si>
  <si>
    <t>VLS3010CX-220M-1</t>
  </si>
  <si>
    <t>Q1</t>
  </si>
  <si>
    <t>PJC7400_R1_00001</t>
  </si>
  <si>
    <t>Q2-Q4</t>
  </si>
  <si>
    <t>SI2367DS-T1-GE3</t>
  </si>
  <si>
    <t>R1</t>
  </si>
  <si>
    <t>ERJ-3RQJ2R2V</t>
  </si>
  <si>
    <t>R2</t>
  </si>
  <si>
    <t>RC0603FR-071M69L</t>
  </si>
  <si>
    <t>R3</t>
  </si>
  <si>
    <t>SR0603JR-071KL</t>
  </si>
  <si>
    <t>R5-R10</t>
  </si>
  <si>
    <t>AC0603DR-075K1L</t>
  </si>
  <si>
    <t>R11,R21</t>
  </si>
  <si>
    <t>RC0603FR-075M36L</t>
  </si>
  <si>
    <t>R12</t>
  </si>
  <si>
    <t>CR0603-JW-103ELF</t>
  </si>
  <si>
    <t>R13</t>
  </si>
  <si>
    <t>AC0603FR-0722K1L</t>
  </si>
  <si>
    <t>R14,R20</t>
  </si>
  <si>
    <t>RC0603FR-074M75L</t>
  </si>
  <si>
    <t>R15</t>
  </si>
  <si>
    <t>AC0603FR-0747K5L</t>
  </si>
  <si>
    <t>R17,R18</t>
  </si>
  <si>
    <t>AC0603JR-07330KL</t>
  </si>
  <si>
    <t>R19</t>
  </si>
  <si>
    <t>RC0603FR-078M45L</t>
  </si>
  <si>
    <t>R23</t>
  </si>
  <si>
    <t>RC0603FR-7W330RL</t>
  </si>
  <si>
    <t>SW1</t>
  </si>
  <si>
    <t>434331045822</t>
  </si>
  <si>
    <t>SW2</t>
  </si>
  <si>
    <t>SLLB510100</t>
  </si>
  <si>
    <t>Mouser</t>
  </si>
  <si>
    <t>Avail</t>
  </si>
  <si>
    <t>Purch</t>
  </si>
  <si>
    <t>MOQ</t>
  </si>
  <si>
    <t>Cat#</t>
  </si>
  <si>
    <t>810-CGA3E2X7R1E104K</t>
  </si>
  <si>
    <t>187-CL21B475KPFNFNE</t>
  </si>
  <si>
    <t>187-CL21B106KPQNNWE</t>
  </si>
  <si>
    <t>810-CGA3E1X7R1E105K</t>
  </si>
  <si>
    <t>538-217179-0001</t>
  </si>
  <si>
    <t>534-1015</t>
  </si>
  <si>
    <t>306-SM04BSRSSTBLFDNP</t>
  </si>
  <si>
    <t>NonStk</t>
  </si>
  <si>
    <t>538-73391-0080</t>
  </si>
  <si>
    <t>571-2-1734839-4</t>
  </si>
  <si>
    <t>78-MSS1P3HM3_A/H</t>
  </si>
  <si>
    <t>713-114993121</t>
  </si>
  <si>
    <t>634-CP2102NA02QFN24R</t>
  </si>
  <si>
    <t>511-USBLC6-2P6</t>
  </si>
  <si>
    <t>595-BQ25504RGTR</t>
  </si>
  <si>
    <t>262-BME680</t>
  </si>
  <si>
    <t>403-SHT40-BD1B-R2</t>
  </si>
  <si>
    <t>985-TSL25911FN</t>
  </si>
  <si>
    <t>755-BR24G1MFVT-5AE2</t>
  </si>
  <si>
    <t>579-MCP73123T-22SIMF</t>
  </si>
  <si>
    <t>810-VLS3010CX470M1</t>
  </si>
  <si>
    <t>810-VLS3010CX220M1</t>
  </si>
  <si>
    <t>241-PJC7400_R1_00001</t>
  </si>
  <si>
    <t>781-SI2367DS-GE3</t>
  </si>
  <si>
    <t>667-ERJ-3RQJ2R2V</t>
  </si>
  <si>
    <t>603-RC0603FR-071M69L</t>
  </si>
  <si>
    <t>603-SR0603JR-071KL</t>
  </si>
  <si>
    <t>603-AC0603DR-075K1L</t>
  </si>
  <si>
    <t>603-RC0603FR-075M36L</t>
  </si>
  <si>
    <t>652-CR0603-JW-103ELF</t>
  </si>
  <si>
    <t>603-AC0603FR-0722K1L</t>
  </si>
  <si>
    <t>603-RC0603FR-074M75L</t>
  </si>
  <si>
    <t>603-AC0603FR-0747K5L</t>
  </si>
  <si>
    <t>603-AC0603JR-07330KL</t>
  </si>
  <si>
    <t>603-RC0603FR-078M45L</t>
  </si>
  <si>
    <t>603-RC0603FR-7W330RL</t>
  </si>
  <si>
    <t>710-434331045822</t>
  </si>
  <si>
    <t>688-SLLB510100</t>
  </si>
  <si>
    <t>Buy here</t>
  </si>
  <si>
    <t>Total Purchase:</t>
  </si>
  <si>
    <t>Purchase description:</t>
  </si>
  <si>
    <t>Prj:</t>
  </si>
  <si>
    <t>kicost-bom.csv</t>
  </si>
  <si>
    <t>Co.:</t>
  </si>
  <si>
    <t>Prj date:</t>
  </si>
  <si>
    <t>2025-03-11 14:44:24 (file)</t>
  </si>
  <si>
    <t>Board Qty:</t>
  </si>
  <si>
    <t>Total Cost:</t>
  </si>
  <si>
    <t>Unit Cost:</t>
  </si>
  <si>
    <t>$ date:</t>
  </si>
  <si>
    <t>2025-03-12 16:26:13</t>
  </si>
  <si>
    <t>KiCost® v1.1.19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</si>
</sst>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€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4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be/ProductDetail/TDK/CGA3E2X7R1E104K080AA?qs=NRhsANhppD%2Fm7%2FOmmsm0vg%3D%3D" TargetMode="External"/><Relationship Id="rId2" Type="http://schemas.openxmlformats.org/officeDocument/2006/relationships/hyperlink" Target="https://www.mouser.com/datasheet/2/585/MLCC-1837944.pdf" TargetMode="External"/><Relationship Id="rId3" Type="http://schemas.openxmlformats.org/officeDocument/2006/relationships/hyperlink" Target="https://www.mouser.be/ProductDetail/Samsung-Electro-Mechanics/CL21B475KPFNFNE?qs=xZ%2FP%252Ba9zWqbCEjUEMOirsA%3D%3D" TargetMode="External"/><Relationship Id="rId4" Type="http://schemas.openxmlformats.org/officeDocument/2006/relationships/hyperlink" Target="https://www.mouser.com/datasheet/2/585/MLCC-1837944.pdf" TargetMode="External"/><Relationship Id="rId5" Type="http://schemas.openxmlformats.org/officeDocument/2006/relationships/hyperlink" Target="https://www.mouser.be/ProductDetail/Samsung-Electro-Mechanics/CL21B106KPQNNWE?qs=xZ%2FP%252Ba9zWqYjKME0pkuO%2Fw%3D%3D" TargetMode="External"/><Relationship Id="rId6" Type="http://schemas.openxmlformats.org/officeDocument/2006/relationships/hyperlink" Target="https://www.mouser.be/ProductDetail/TDK/CGA3E1X7R1E105K080AC?qs=NRhsANhppD9VxGl2AsmRpw%3D%3D" TargetMode="External"/><Relationship Id="rId7" Type="http://schemas.openxmlformats.org/officeDocument/2006/relationships/hyperlink" Target="https://www.mouser.be/ProductDetail/Molex/217179-0001?qs=DRkmTr78QAQqCH4BoIR1xg%3D%3D" TargetMode="External"/><Relationship Id="rId8" Type="http://schemas.openxmlformats.org/officeDocument/2006/relationships/hyperlink" Target="https://www.mouser.com/datasheet/2/215/1015-744831.pdf" TargetMode="External"/><Relationship Id="rId9" Type="http://schemas.openxmlformats.org/officeDocument/2006/relationships/hyperlink" Target="https://www.mouser.be/ProductDetail/Keystone-Electronics/1015?qs=73q%2FgRcW4F2OhJTPPQWZpA%3D%3D" TargetMode="External"/><Relationship Id="rId10" Type="http://schemas.openxmlformats.org/officeDocument/2006/relationships/hyperlink" Target="https://www.mouser.com/datasheet/2/564/eSH-3450197.pdf" TargetMode="External"/><Relationship Id="rId11" Type="http://schemas.openxmlformats.org/officeDocument/2006/relationships/hyperlink" Target="https://www.mouser.be/ProductDetail/JST-Automotive/SM04B-SRSS-TBLFDNP?qs=HFfMDpzxxd2NueaCTHhRJg%3D%3D" TargetMode="External"/><Relationship Id="rId12" Type="http://schemas.openxmlformats.org/officeDocument/2006/relationships/hyperlink" Target="https://www.mouser.be/ProductDetail/Molex/73391-0080?qs=Vtbn2VVmZzHv%2FRqBuG7a1A%3D%3D" TargetMode="External"/><Relationship Id="rId13" Type="http://schemas.openxmlformats.org/officeDocument/2006/relationships/hyperlink" Target="https://www.mouser.com/datasheet/2/418/7/ENG_CD_1734839_C_C_1734839-2017341.pdf" TargetMode="External"/><Relationship Id="rId14" Type="http://schemas.openxmlformats.org/officeDocument/2006/relationships/hyperlink" Target="https://www.mouser.be/ProductDetail/TE-Connectivity/2-1734839-4?qs=Sm6ibA7evxgHWeCe9t1tOw%3D%3D" TargetMode="External"/><Relationship Id="rId15" Type="http://schemas.openxmlformats.org/officeDocument/2006/relationships/hyperlink" Target="https://www.mouser.be/ProductDetail/Vishay-General-Semiconductor/MSS1P3HM3_A-H?qs=Pccw3SRxl2RHPUJ7xw8Tvg%3D%3D" TargetMode="External"/><Relationship Id="rId16" Type="http://schemas.openxmlformats.org/officeDocument/2006/relationships/hyperlink" Target="https://www.mouser.com/datasheet/2/744/Wio_E5_LE_module_datasheet_v1_0-3446934.pdf" TargetMode="External"/><Relationship Id="rId17" Type="http://schemas.openxmlformats.org/officeDocument/2006/relationships/hyperlink" Target="https://www.mouser.be/ProductDetail/Seeed-Studio/114993121?qs=QpmGXVUTftF1SD6oRXq2Mw%3D%3D" TargetMode="External"/><Relationship Id="rId18" Type="http://schemas.openxmlformats.org/officeDocument/2006/relationships/hyperlink" Target="https://www.mouser.com/datasheet/2/368/cp2102n_datasheet-1634912.pdf" TargetMode="External"/><Relationship Id="rId19" Type="http://schemas.openxmlformats.org/officeDocument/2006/relationships/hyperlink" Target="https://www.mouser.be/ProductDetail/Silicon-Labs/CP2102N-A02-GQFN24R?qs=u16ybLDytRaIVBf0X4zL0g%3D%3D" TargetMode="External"/><Relationship Id="rId20" Type="http://schemas.openxmlformats.org/officeDocument/2006/relationships/hyperlink" Target="https://www.mouser.com/datasheet/2/389/usblc6_2-1852789.pdf" TargetMode="External"/><Relationship Id="rId21" Type="http://schemas.openxmlformats.org/officeDocument/2006/relationships/hyperlink" Target="https://www.mouser.be/ProductDetail/STMicroelectronics/USBLC6-2P6?qs=6ARB0lp6jlViGcbUSvj1Mw%3D%3D" TargetMode="External"/><Relationship Id="rId22" Type="http://schemas.openxmlformats.org/officeDocument/2006/relationships/hyperlink" Target="https://www.mouser.be/ProductDetail/Texas-Instruments/BQ25504RGTR?qs=LDM2r2BBpna1ocxRvQkZ2w%3D%3D" TargetMode="External"/><Relationship Id="rId23" Type="http://schemas.openxmlformats.org/officeDocument/2006/relationships/hyperlink" Target="https://www.mouser.com/datasheet/2/783/BST_BME680_DS001-1509608.pdf" TargetMode="External"/><Relationship Id="rId24" Type="http://schemas.openxmlformats.org/officeDocument/2006/relationships/hyperlink" Target="https://www.mouser.be/ProductDetail/Bosch-Sensortec/BME680?qs=v271MhAjFHjo0yA%2FC4OnDQ%3D%3D" TargetMode="External"/><Relationship Id="rId25" Type="http://schemas.openxmlformats.org/officeDocument/2006/relationships/hyperlink" Target="https://www.mouser.com/datasheet/2/682/HT_DS_Datasheet_SHT4x_3-2936319.pdf" TargetMode="External"/><Relationship Id="rId26" Type="http://schemas.openxmlformats.org/officeDocument/2006/relationships/hyperlink" Target="https://www.mouser.be/ProductDetail/Sensirion/SHT40-BD1B-R2?qs=ulEaXIWI0c%252BjgdkzNQkrGw%3D%3D" TargetMode="External"/><Relationship Id="rId27" Type="http://schemas.openxmlformats.org/officeDocument/2006/relationships/hyperlink" Target="https://www.mouser.com/datasheet/2/588/asset_pdf_25493382-3432823.pdf" TargetMode="External"/><Relationship Id="rId28" Type="http://schemas.openxmlformats.org/officeDocument/2006/relationships/hyperlink" Target="https://www.mouser.be/ProductDetail/ams-OSRAM/TSL25911FN?qs=6irNfxKJ9AaiNMbaQmyIug%3D%3D" TargetMode="External"/><Relationship Id="rId29" Type="http://schemas.openxmlformats.org/officeDocument/2006/relationships/hyperlink" Target="https://www.mouser.be/ProductDetail/ROHM-Semiconductor/BR24G1MFVT-5AE2?qs=MyNHzdoqoQKnzx5taP2O%252BA%3D%3D" TargetMode="External"/><Relationship Id="rId30" Type="http://schemas.openxmlformats.org/officeDocument/2006/relationships/hyperlink" Target="https://www.mouser.com/datasheet/2/268/22191E-3443442.pdf" TargetMode="External"/><Relationship Id="rId31" Type="http://schemas.openxmlformats.org/officeDocument/2006/relationships/hyperlink" Target="https://www.mouser.be/ProductDetail/Microchip-Technology/MCP73123T-22SI-MF?qs=E6wAi2XWqcPyISItqwXTaQ%3D%3D" TargetMode="External"/><Relationship Id="rId32" Type="http://schemas.openxmlformats.org/officeDocument/2006/relationships/hyperlink" Target="https://www.mouser.be/ProductDetail/TDK/VLS3010CX-470M-1?qs=sPbYRqrBIVklbjNBYl28FA%3D%3D" TargetMode="External"/><Relationship Id="rId33" Type="http://schemas.openxmlformats.org/officeDocument/2006/relationships/hyperlink" Target="https://www.mouser.be/ProductDetail/TDK/VLS3010CX-220M-1?qs=sPbYRqrBIVnZdOaBHPV0MQ%3D%3D" TargetMode="External"/><Relationship Id="rId34" Type="http://schemas.openxmlformats.org/officeDocument/2006/relationships/hyperlink" Target="https://www.mouser.com/datasheet/2/1057/PJC7400-1868968.pdf" TargetMode="External"/><Relationship Id="rId35" Type="http://schemas.openxmlformats.org/officeDocument/2006/relationships/hyperlink" Target="https://www.mouser.be/ProductDetail/Panjit/PJC7400_R1_00001?qs=sPbYRqrBIVlqNtfR5hXF4A%3D%3D" TargetMode="External"/><Relationship Id="rId36" Type="http://schemas.openxmlformats.org/officeDocument/2006/relationships/hyperlink" Target="https://www.mouser.be/ProductDetail/Vishay-Semiconductors/SI2367DS-T1-GE3?qs=kt16UJ73eEHbeglRjuryig%3D%3D" TargetMode="External"/><Relationship Id="rId37" Type="http://schemas.openxmlformats.org/officeDocument/2006/relationships/hyperlink" Target="https://www.mouser.be/ProductDetail/Panasonic/ERJ-3RQJ2R2V?qs=Ytx7DkVehETJPMlDNlXENw%3D%3D" TargetMode="External"/><Relationship Id="rId38" Type="http://schemas.openxmlformats.org/officeDocument/2006/relationships/hyperlink" Target="https://www.mouser.com/datasheet/2/447/PYu_RC_Group_51_RoHS_L_12-3368608.pdf" TargetMode="External"/><Relationship Id="rId39" Type="http://schemas.openxmlformats.org/officeDocument/2006/relationships/hyperlink" Target="https://www.mouser.be/ProductDetail/YAGEO/RC0603FR-071M69L?qs=0yPvnVz5%2Fmqj6bp9FXiCew%3D%3D" TargetMode="External"/><Relationship Id="rId40" Type="http://schemas.openxmlformats.org/officeDocument/2006/relationships/hyperlink" Target="https://www.mouser.com/datasheet/2/447/YAGEO_11022023_PYu_SR_20105_RoHS_L_11-3361774.pdf" TargetMode="External"/><Relationship Id="rId41" Type="http://schemas.openxmlformats.org/officeDocument/2006/relationships/hyperlink" Target="https://www.mouser.be/ProductDetail/YAGEO/SR0603JR-071KL?qs=TyBUSTk9pD97MoKjQ9xH4g%3D%3D" TargetMode="External"/><Relationship Id="rId42" Type="http://schemas.openxmlformats.org/officeDocument/2006/relationships/hyperlink" Target="https://www.mouser.com/datasheet/2/447/PYu_AC_51_RoHS_L_11-3418659.pdf" TargetMode="External"/><Relationship Id="rId43" Type="http://schemas.openxmlformats.org/officeDocument/2006/relationships/hyperlink" Target="https://www.mouser.be/ProductDetail/YAGEO/AC0603DR-075K1L?qs=fTsMJN6MUUuGibmKEEUTpQ%3D%3D" TargetMode="External"/><Relationship Id="rId44" Type="http://schemas.openxmlformats.org/officeDocument/2006/relationships/hyperlink" Target="https://www.mouser.com/datasheet/2/447/PYu_RC_Group_51_RoHS_L_11-1984063.pdf" TargetMode="External"/><Relationship Id="rId45" Type="http://schemas.openxmlformats.org/officeDocument/2006/relationships/hyperlink" Target="https://www.mouser.be/ProductDetail/YAGEO/RC0603FR-075M36L?qs=EiqXWrxQq61wtU12vahNbg%3D%3D" TargetMode="External"/><Relationship Id="rId46" Type="http://schemas.openxmlformats.org/officeDocument/2006/relationships/hyperlink" Target="https://www.mouser.com/datasheet/2/54/cr-1858361.pdf" TargetMode="External"/><Relationship Id="rId47" Type="http://schemas.openxmlformats.org/officeDocument/2006/relationships/hyperlink" Target="https://www.mouser.be/ProductDetail/Bourns/CR0603-JW-103ELF?qs=tprK%2FdUq6q6vORSl%252Bpo4rg%3D%3D" TargetMode="External"/><Relationship Id="rId48" Type="http://schemas.openxmlformats.org/officeDocument/2006/relationships/hyperlink" Target="https://www.mouser.com/datasheet/2/447/PYu_AC_51_RoHS_L_11-3418659.pdf" TargetMode="External"/><Relationship Id="rId49" Type="http://schemas.openxmlformats.org/officeDocument/2006/relationships/hyperlink" Target="https://www.mouser.be/ProductDetail/YAGEO/AC0603FR-0722K1L?qs=ygRr%2FtkhtetDZXS2sa3i2w%3D%3D" TargetMode="External"/><Relationship Id="rId50" Type="http://schemas.openxmlformats.org/officeDocument/2006/relationships/hyperlink" Target="https://www.mouser.com/datasheet/2/447/YAGEO_PYu_RC_Group_51_RoHS_L_12-3313492.pdf" TargetMode="External"/><Relationship Id="rId51" Type="http://schemas.openxmlformats.org/officeDocument/2006/relationships/hyperlink" Target="https://www.mouser.be/ProductDetail/YAGEO/RC0603FR-074M75L?qs=KuCtQF8z8nCEE2Ng4Op1ag%3D%3D" TargetMode="External"/><Relationship Id="rId52" Type="http://schemas.openxmlformats.org/officeDocument/2006/relationships/hyperlink" Target="https://www.mouser.com/datasheet/2/447/PYu_AC_51_RoHS_L_11-3418659.pdf" TargetMode="External"/><Relationship Id="rId53" Type="http://schemas.openxmlformats.org/officeDocument/2006/relationships/hyperlink" Target="https://www.mouser.be/ProductDetail/YAGEO/AC0603FR-0747K5L?qs=ygRr%2Ftkhtes%2F5uKM6MtQGw%3D%3D" TargetMode="External"/><Relationship Id="rId54" Type="http://schemas.openxmlformats.org/officeDocument/2006/relationships/hyperlink" Target="https://www.mouser.com/datasheet/2/447/PYu_AC_51_RoHS_L_11-3418659.pdf" TargetMode="External"/><Relationship Id="rId55" Type="http://schemas.openxmlformats.org/officeDocument/2006/relationships/hyperlink" Target="https://www.mouser.be/ProductDetail/YAGEO/AC0603JR-07330KL?qs=ygRr%2FtkhteswRX2BvSPS%2Fg%3D%3D" TargetMode="External"/><Relationship Id="rId56" Type="http://schemas.openxmlformats.org/officeDocument/2006/relationships/hyperlink" Target="https://www.mouser.com/datasheet/2/447/PYu_RC_Group_51_RoHS_L_11-1984063.pdf" TargetMode="External"/><Relationship Id="rId57" Type="http://schemas.openxmlformats.org/officeDocument/2006/relationships/hyperlink" Target="https://www.mouser.be/ProductDetail/YAGEO/RC0603FR-078M45L?qs=EiqXWrxQq61D3M9nCx1jvA%3D%3D" TargetMode="External"/><Relationship Id="rId58" Type="http://schemas.openxmlformats.org/officeDocument/2006/relationships/hyperlink" Target="https://www.mouser.com/datasheet/2/447/PYu_RC_Group_51_RoHS_L_12-3368608.pdf" TargetMode="External"/><Relationship Id="rId59" Type="http://schemas.openxmlformats.org/officeDocument/2006/relationships/hyperlink" Target="https://www.mouser.be/ProductDetail/YAGEO/RC0603FR-7W330RL?qs=tggtontpCXPwS4JfrCYUrA%3D%3D" TargetMode="External"/><Relationship Id="rId60" Type="http://schemas.openxmlformats.org/officeDocument/2006/relationships/hyperlink" Target="https://www.mouser.be/ProductDetail/Wurth-Elektronik/434331045822?qs=wr8lucFkNMXGC%252BBo3q5pkg%3D%3D" TargetMode="External"/><Relationship Id="rId61" Type="http://schemas.openxmlformats.org/officeDocument/2006/relationships/hyperlink" Target="https://www.mouser.com/datasheet/2/15/SLLB5-1570014.pdf" TargetMode="External"/><Relationship Id="rId62" Type="http://schemas.openxmlformats.org/officeDocument/2006/relationships/hyperlink" Target="https://www.mouser.be/ProductDetail/Alps-Alpine/SLLB510100?qs=m0BA540hBPceO6mn4aSKcg%3D%3D" TargetMode="External"/><Relationship Id="rId63" Type="http://schemas.openxmlformats.org/officeDocument/2006/relationships/hyperlink" Target="https://mouser.com/bom/" TargetMode="External"/><Relationship Id="rId64" Type="http://schemas.openxmlformats.org/officeDocument/2006/relationships/vmlDrawing" Target="../drawings/vmlDrawing1.vml"/><Relationship Id="rId6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1" max="1" width="9.7109375" customWidth="1"/>
    <col min="3" max="3" width="12.7109375" customWidth="1" outlineLevel="2"/>
    <col min="4" max="4" width="25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21.7109375" customWidth="1" outlineLevel="2"/>
  </cols>
  <sheetData>
    <row r="1" spans="1:13">
      <c r="A1" s="1" t="s">
        <v>129</v>
      </c>
      <c r="B1" s="2" t="s">
        <v>130</v>
      </c>
      <c r="F1" s="3" t="s">
        <v>134</v>
      </c>
      <c r="G1" s="3">
        <v>100</v>
      </c>
    </row>
    <row r="2" spans="1:13">
      <c r="A2" s="1" t="s">
        <v>131</v>
      </c>
      <c r="B2" s="2"/>
      <c r="F2" s="1" t="s">
        <v>136</v>
      </c>
      <c r="G2" s="4">
        <f>TotalCost/BoardQty</f>
        <v>39.491</v>
      </c>
    </row>
    <row r="3" spans="1:13">
      <c r="A3" s="1" t="s">
        <v>132</v>
      </c>
      <c r="B3" s="2" t="s">
        <v>133</v>
      </c>
      <c r="F3" s="1" t="s">
        <v>135</v>
      </c>
      <c r="G3" s="5">
        <f>SUM(G7:G43)</f>
        <v>3949.1</v>
      </c>
      <c r="L3" s="5">
        <f>SUM(L7:L43)</f>
        <v>3949.1</v>
      </c>
      <c r="M3" s="6" t="str">
        <f>(COUNTA(L7:L43)&amp;" of "&amp;ROWS(L7:L43)&amp;" parts found")</f>
        <v>36 of 37 parts found</v>
      </c>
    </row>
    <row r="4" spans="1:13">
      <c r="A4" s="1" t="s">
        <v>137</v>
      </c>
      <c r="B4" s="2" t="s">
        <v>138</v>
      </c>
    </row>
    <row r="5" spans="1:13">
      <c r="A5" s="7" t="s">
        <v>0</v>
      </c>
      <c r="B5" s="7"/>
      <c r="C5" s="7"/>
      <c r="D5" s="7"/>
      <c r="E5" s="7"/>
      <c r="F5" s="7"/>
      <c r="G5" s="7"/>
      <c r="H5" s="8" t="s">
        <v>83</v>
      </c>
      <c r="I5" s="8"/>
      <c r="J5" s="8"/>
      <c r="K5" s="8"/>
      <c r="L5" s="8"/>
      <c r="M5" s="8"/>
    </row>
    <row r="6" spans="1:1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84</v>
      </c>
      <c r="I6" s="9" t="s">
        <v>85</v>
      </c>
      <c r="J6" s="9" t="s">
        <v>6</v>
      </c>
      <c r="K6" s="9" t="s">
        <v>86</v>
      </c>
      <c r="L6" s="9" t="s">
        <v>7</v>
      </c>
      <c r="M6" s="9" t="s">
        <v>87</v>
      </c>
    </row>
    <row r="7" spans="1:13">
      <c r="A7" s="10" t="s">
        <v>8</v>
      </c>
      <c r="B7" s="10" t="s">
        <v>9</v>
      </c>
      <c r="C7" s="10" t="s">
        <v>9</v>
      </c>
      <c r="D7" s="10" t="s">
        <v>10</v>
      </c>
      <c r="E7" s="10">
        <f>CEILING(BoardQty*10.0,1)</f>
        <v>1000</v>
      </c>
      <c r="F7" s="11">
        <f>IF(MIN(J7)&lt;&gt;0,MIN(J7),"")</f>
        <v>0.014</v>
      </c>
      <c r="G7" s="12">
        <f>IF(AND(ISNUMBER(E7),ISNUMBER(F7)),E7*F7,"")</f>
        <v>14.0</v>
      </c>
      <c r="H7" s="10">
        <v>928170</v>
      </c>
      <c r="I7" s="10"/>
      <c r="J7" s="11">
        <f>IFERROR(IF(OR(I7&gt;=K7,E7&gt;=K7),LOOKUP(IF(I7="",E7,I7),{0,1,10,100,1000,4000,8000,24000},{0.0,0.095,0.03,0.019,0.014,0.009,0.008,0.007}),"MOQ="&amp;K7),"")</f>
        <v>0.014</v>
      </c>
      <c r="K7" s="10">
        <v>1</v>
      </c>
      <c r="L7" s="12">
        <f>IFERROR(IF(I7="",E7,I7)*J7,"")</f>
        <v>14.0</v>
      </c>
      <c r="M7" s="10" t="s">
        <v>88</v>
      </c>
    </row>
    <row r="8" spans="1:13">
      <c r="A8" s="10" t="s">
        <v>11</v>
      </c>
      <c r="B8" s="10" t="s">
        <v>9</v>
      </c>
      <c r="C8" s="10" t="s">
        <v>9</v>
      </c>
      <c r="D8" s="10" t="s">
        <v>12</v>
      </c>
      <c r="E8" s="10">
        <f>CEILING(BoardQty*8.0,1)</f>
        <v>800</v>
      </c>
      <c r="F8" s="11">
        <f>IF(MIN(J8)&lt;&gt;0,MIN(J8),"")</f>
        <v>0.105</v>
      </c>
      <c r="G8" s="12">
        <f>IF(AND(ISNUMBER(E8),ISNUMBER(F8)),E8*F8,"")</f>
        <v>84.0</v>
      </c>
      <c r="H8" s="10">
        <v>16674</v>
      </c>
      <c r="I8" s="10"/>
      <c r="J8" s="11">
        <f>IFERROR(IF(OR(I8&gt;=K8,E8&gt;=K8),LOOKUP(IF(I8="",E8,I8),{0,1,10,100,1000,2000,10000,24000,50000,100000},{0.0,0.143,0.138,0.105,0.065,0.057,0.023,0.02,0.018,0.017}),"MOQ="&amp;K8),"")</f>
        <v>0.105</v>
      </c>
      <c r="K8" s="10">
        <v>1</v>
      </c>
      <c r="L8" s="12">
        <f>IFERROR(IF(I8="",E8,I8)*J8,"")</f>
        <v>84.0</v>
      </c>
      <c r="M8" s="10" t="s">
        <v>89</v>
      </c>
    </row>
    <row r="9" spans="1:13">
      <c r="A9" s="10" t="s">
        <v>13</v>
      </c>
      <c r="B9" s="10" t="s">
        <v>9</v>
      </c>
      <c r="C9" s="10" t="s">
        <v>9</v>
      </c>
      <c r="D9" s="10" t="s">
        <v>14</v>
      </c>
      <c r="E9" s="10">
        <f>CEILING(BoardQty*3.0,1)</f>
        <v>300</v>
      </c>
      <c r="F9" s="11">
        <f>IF(MIN(J9)&lt;&gt;0,MIN(J9),"")</f>
        <v>0.067</v>
      </c>
      <c r="G9" s="12">
        <f>IF(AND(ISNUMBER(E9),ISNUMBER(F9)),E9*F9,"")</f>
        <v>20.1</v>
      </c>
      <c r="H9" s="10">
        <v>260322</v>
      </c>
      <c r="I9" s="10"/>
      <c r="J9" s="11">
        <f>IFERROR(IF(OR(I9&gt;=K9,E9&gt;=K9),LOOKUP(IF(I9="",E9,I9),{0,1,10,100,500,1000,2000,10000,24000,50000},{0.0,0.162,0.077,0.067,0.05,0.045,0.032,0.028,0.027,0.025}),"MOQ="&amp;K9),"")</f>
        <v>0.067</v>
      </c>
      <c r="K9" s="10">
        <v>1</v>
      </c>
      <c r="L9" s="12">
        <f>IFERROR(IF(I9="",E9,I9)*J9,"")</f>
        <v>20.1</v>
      </c>
      <c r="M9" s="10" t="s">
        <v>90</v>
      </c>
    </row>
    <row r="10" spans="1:13">
      <c r="A10" s="10" t="s">
        <v>15</v>
      </c>
      <c r="B10" s="10" t="s">
        <v>9</v>
      </c>
      <c r="C10" s="10" t="s">
        <v>9</v>
      </c>
      <c r="D10" s="10" t="s">
        <v>16</v>
      </c>
      <c r="E10" s="10">
        <f>CEILING(BoardQty*8.0,1)</f>
        <v>800</v>
      </c>
      <c r="F10" s="11">
        <f>IF(MIN(J10)&lt;&gt;0,MIN(J10),"")</f>
        <v>0.049</v>
      </c>
      <c r="G10" s="12">
        <f>IF(AND(ISNUMBER(E10),ISNUMBER(F10)),E10*F10,"")</f>
        <v>39.2</v>
      </c>
      <c r="H10" s="10">
        <v>148338</v>
      </c>
      <c r="I10" s="10"/>
      <c r="J10" s="11">
        <f>IFERROR(IF(OR(I10&gt;=K10,E10&gt;=K10),LOOKUP(IF(I10="",E10,I10),{0,1,10,100,1000,4000,8000,24000,100000},{0.0,0.133,0.077,0.049,0.033,0.029,0.025,0.022,0.02}),"MOQ="&amp;K10),"")</f>
        <v>0.049</v>
      </c>
      <c r="K10" s="10">
        <v>1</v>
      </c>
      <c r="L10" s="12">
        <f>IFERROR(IF(I10="",E10,I10)*J10,"")</f>
        <v>39.2</v>
      </c>
      <c r="M10" s="10" t="s">
        <v>91</v>
      </c>
    </row>
    <row r="11" spans="1:13">
      <c r="A11" s="10" t="s">
        <v>17</v>
      </c>
      <c r="B11" s="10" t="s">
        <v>9</v>
      </c>
      <c r="C11" s="10" t="s">
        <v>9</v>
      </c>
      <c r="D11" s="10" t="s">
        <v>18</v>
      </c>
      <c r="E11" s="10">
        <f>CEILING(BoardQty*1.0,1)</f>
        <v>100</v>
      </c>
      <c r="F11" s="11">
        <f>IF(MIN(J11)&lt;&gt;0,MIN(J11),"")</f>
        <v>0.487</v>
      </c>
      <c r="G11" s="12">
        <f>IF(AND(ISNUMBER(E11),ISNUMBER(F11)),E11*F11,"")</f>
        <v>48.7</v>
      </c>
      <c r="H11" s="10">
        <v>25716</v>
      </c>
      <c r="I11" s="10"/>
      <c r="J11" s="11">
        <f>IFERROR(IF(OR(I11&gt;=K11,E11&gt;=K11),LOOKUP(IF(I11="",E11,I11),{0,1,10,100,1200,2400,4800},{0.0,0.751,0.532,0.487,0.432,0.406,0.39}),"MOQ="&amp;K11),"")</f>
        <v>0.487</v>
      </c>
      <c r="K11" s="10">
        <v>1</v>
      </c>
      <c r="L11" s="12">
        <f>IFERROR(IF(I11="",E11,I11)*J11,"")</f>
        <v>48.7</v>
      </c>
      <c r="M11" s="10" t="s">
        <v>92</v>
      </c>
    </row>
    <row r="12" spans="1:13">
      <c r="A12" s="10" t="s">
        <v>19</v>
      </c>
      <c r="B12" s="10" t="s">
        <v>9</v>
      </c>
      <c r="C12" s="10" t="s">
        <v>9</v>
      </c>
      <c r="D12" s="10" t="s">
        <v>20</v>
      </c>
      <c r="E12" s="10">
        <f>CEILING(BoardQty*1.0,1)</f>
        <v>100</v>
      </c>
      <c r="F12" s="11">
        <f>IF(MIN(J12)&lt;&gt;0,MIN(J12),"")</f>
        <v>1.99</v>
      </c>
      <c r="G12" s="12">
        <f>IF(AND(ISNUMBER(E12),ISNUMBER(F12)),E12*F12,"")</f>
        <v>199.0</v>
      </c>
      <c r="H12" s="10">
        <v>21079</v>
      </c>
      <c r="I12" s="10"/>
      <c r="J12" s="11">
        <f>IFERROR(IF(OR(I12&gt;=K12,E12&gt;=K12),LOOKUP(IF(I12="",E12,I12),{0,1,25,100,250,500,1000,2500,5000},{0.0,2.3,2.14,1.99,1.84,1.74,1.58,1.46,1.42}),"MOQ="&amp;K12),"")</f>
        <v>1.99</v>
      </c>
      <c r="K12" s="10">
        <v>1</v>
      </c>
      <c r="L12" s="12">
        <f>IFERROR(IF(I12="",E12,I12)*J12,"")</f>
        <v>199.0</v>
      </c>
      <c r="M12" s="10" t="s">
        <v>93</v>
      </c>
    </row>
    <row r="13" spans="1:13">
      <c r="A13" s="10" t="s">
        <v>21</v>
      </c>
      <c r="B13" s="10" t="s">
        <v>9</v>
      </c>
      <c r="C13" s="10" t="s">
        <v>9</v>
      </c>
      <c r="D13" s="10" t="s">
        <v>22</v>
      </c>
      <c r="E13" s="10">
        <f>CEILING(BoardQty*1.0,1)</f>
        <v>100</v>
      </c>
      <c r="F13" s="11">
        <f>IF(MIN(J13)&lt;&gt;0,MIN(J13),"")</f>
        <v/>
      </c>
      <c r="G13" s="12">
        <f>IF(AND(ISNUMBER(E13),ISNUMBER(F13)),E13*F13,"")</f>
        <v/>
      </c>
      <c r="H13" s="13" t="s">
        <v>95</v>
      </c>
      <c r="I13" s="10"/>
      <c r="M13" s="10" t="s">
        <v>94</v>
      </c>
    </row>
    <row r="14" spans="1:13">
      <c r="A14" s="10" t="s">
        <v>23</v>
      </c>
      <c r="B14" s="10" t="s">
        <v>9</v>
      </c>
      <c r="C14" s="10" t="s">
        <v>9</v>
      </c>
      <c r="D14" s="10" t="s">
        <v>24</v>
      </c>
      <c r="E14" s="10">
        <f>CEILING(BoardQty*1.0,1)</f>
        <v>100</v>
      </c>
      <c r="F14" s="11">
        <f>IF(MIN(J14)&lt;&gt;0,MIN(J14),"")</f>
        <v>2.75</v>
      </c>
      <c r="G14" s="12">
        <f>IF(AND(ISNUMBER(E14),ISNUMBER(F14)),E14*F14,"")</f>
        <v>275.0</v>
      </c>
      <c r="H14" s="10">
        <v>891</v>
      </c>
      <c r="I14" s="10"/>
      <c r="J14" s="11">
        <f>IFERROR(IF(OR(I14&gt;=K14,E14&gt;=K14),LOOKUP(IF(I14="",E14,I14),{0,1,10,25,80,240,560,1040},{0.0,3.44,3.15,2.93,2.75,2.53,2.38,2.33}),"MOQ="&amp;K14),"")</f>
        <v>2.75</v>
      </c>
      <c r="K14" s="10">
        <v>1</v>
      </c>
      <c r="L14" s="12">
        <f>IFERROR(IF(I14="",E14,I14)*J14,"")</f>
        <v>275.0</v>
      </c>
      <c r="M14" s="10" t="s">
        <v>96</v>
      </c>
    </row>
    <row r="15" spans="1:13">
      <c r="A15" s="10" t="s">
        <v>25</v>
      </c>
      <c r="B15" s="10" t="s">
        <v>9</v>
      </c>
      <c r="C15" s="10" t="s">
        <v>9</v>
      </c>
      <c r="D15" s="10" t="s">
        <v>26</v>
      </c>
      <c r="E15" s="10">
        <f>CEILING(BoardQty*1.0,1)</f>
        <v>100</v>
      </c>
      <c r="F15" s="11">
        <f>IF(MIN(J15)&lt;&gt;0,MIN(J15),"")</f>
        <v>0.642</v>
      </c>
      <c r="G15" s="12">
        <f>IF(AND(ISNUMBER(E15),ISNUMBER(F15)),E15*F15,"")</f>
        <v>64.2</v>
      </c>
      <c r="H15" s="10">
        <v>133</v>
      </c>
      <c r="I15" s="10"/>
      <c r="J15" s="11">
        <f>IFERROR(IF(OR(I15&gt;=K15,E15&gt;=K15),LOOKUP(IF(I15="",E15,I15),{0,1,10,2000},{0.0,0.76,0.642,0.642}),"MOQ="&amp;K15),"")</f>
        <v>0.642</v>
      </c>
      <c r="K15" s="10">
        <v>1</v>
      </c>
      <c r="L15" s="12">
        <f>IFERROR(IF(I15="",E15,I15)*J15,"")</f>
        <v>64.2</v>
      </c>
      <c r="M15" s="10" t="s">
        <v>97</v>
      </c>
    </row>
    <row r="16" spans="1:13">
      <c r="A16" s="10" t="s">
        <v>27</v>
      </c>
      <c r="B16" s="10" t="s">
        <v>9</v>
      </c>
      <c r="C16" s="10" t="s">
        <v>9</v>
      </c>
      <c r="D16" s="10" t="s">
        <v>28</v>
      </c>
      <c r="E16" s="10">
        <f>CEILING(BoardQty*3.0,1)</f>
        <v>300</v>
      </c>
      <c r="F16" s="11">
        <f>IF(MIN(J16)&lt;&gt;0,MIN(J16),"")</f>
        <v>0.108</v>
      </c>
      <c r="G16" s="12">
        <f>IF(AND(ISNUMBER(E16),ISNUMBER(F16)),E16*F16,"")</f>
        <v>32.4</v>
      </c>
      <c r="H16" s="10">
        <v>65583</v>
      </c>
      <c r="I16" s="10"/>
      <c r="J16" s="11">
        <f>IFERROR(IF(OR(I16&gt;=K16,E16&gt;=K16),LOOKUP(IF(I16="",E16,I16),{0,1,10,100,500,1000,2500,4500,9000},{0.0,0.219,0.15,0.108,0.089,0.067,0.051,0.046,0.045}),"MOQ="&amp;K16),"")</f>
        <v>0.108</v>
      </c>
      <c r="K16" s="10">
        <v>1</v>
      </c>
      <c r="L16" s="12">
        <f>IFERROR(IF(I16="",E16,I16)*J16,"")</f>
        <v>32.4</v>
      </c>
      <c r="M16" s="10" t="s">
        <v>98</v>
      </c>
    </row>
    <row r="17" spans="1:13">
      <c r="A17" s="10" t="s">
        <v>29</v>
      </c>
      <c r="B17" s="10" t="s">
        <v>9</v>
      </c>
      <c r="C17" s="10" t="s">
        <v>9</v>
      </c>
      <c r="D17" s="10" t="s">
        <v>30</v>
      </c>
      <c r="E17" s="10">
        <f>CEILING(BoardQty*1.0,1)</f>
        <v>100</v>
      </c>
      <c r="F17" s="11">
        <f>IF(MIN(J17)&lt;&gt;0,MIN(J17),"")</f>
        <v>7.64</v>
      </c>
      <c r="G17" s="12">
        <f>IF(AND(ISNUMBER(E17),ISNUMBER(F17)),E17*F17,"")</f>
        <v>764.0</v>
      </c>
      <c r="H17" s="10">
        <v>96</v>
      </c>
      <c r="I17" s="10"/>
      <c r="J17" s="11">
        <f>IFERROR(IF(OR(I17&gt;=K17,E17&gt;=K17),LOOKUP(IF(I17="",E17,I17),{0,1},{0.0,7.64}),"MOQ="&amp;K17),"")</f>
        <v>7.64</v>
      </c>
      <c r="K17" s="10">
        <v>1</v>
      </c>
      <c r="L17" s="12">
        <f>IFERROR(IF(I17="",E17,I17)*J17,"")</f>
        <v>764.0</v>
      </c>
      <c r="M17" s="10" t="s">
        <v>99</v>
      </c>
    </row>
    <row r="18" spans="1:13">
      <c r="A18" s="10" t="s">
        <v>31</v>
      </c>
      <c r="B18" s="10" t="s">
        <v>9</v>
      </c>
      <c r="C18" s="10" t="s">
        <v>9</v>
      </c>
      <c r="D18" s="10" t="s">
        <v>32</v>
      </c>
      <c r="E18" s="10">
        <f>CEILING(BoardQty*1.0,1)</f>
        <v>100</v>
      </c>
      <c r="F18" s="11">
        <f>IF(MIN(J18)&lt;&gt;0,MIN(J18),"")</f>
        <v>2.72</v>
      </c>
      <c r="G18" s="12">
        <f>IF(AND(ISNUMBER(E18),ISNUMBER(F18)),E18*F18,"")</f>
        <v>272.0</v>
      </c>
      <c r="H18" s="10">
        <v>12283</v>
      </c>
      <c r="I18" s="10"/>
      <c r="J18" s="11">
        <f>IFERROR(IF(OR(I18&gt;=K18,E18&gt;=K18),LOOKUP(IF(I18="",E18,I18),{0,1,10,25,100,250,500,1000,1500},{0.0,3.29,3.07,2.96,2.72,2.57,2.43,2.16,2.05}),"MOQ="&amp;K18),"")</f>
        <v>2.72</v>
      </c>
      <c r="K18" s="10">
        <v>1</v>
      </c>
      <c r="L18" s="12">
        <f>IFERROR(IF(I18="",E18,I18)*J18,"")</f>
        <v>272.0</v>
      </c>
      <c r="M18" s="10" t="s">
        <v>100</v>
      </c>
    </row>
    <row r="19" spans="1:13">
      <c r="A19" s="10" t="s">
        <v>33</v>
      </c>
      <c r="B19" s="10" t="s">
        <v>9</v>
      </c>
      <c r="C19" s="10" t="s">
        <v>9</v>
      </c>
      <c r="D19" s="10" t="s">
        <v>34</v>
      </c>
      <c r="E19" s="10">
        <f>CEILING(BoardQty*1.0,1)</f>
        <v>100</v>
      </c>
      <c r="F19" s="11">
        <f>IF(MIN(J19)&lt;&gt;0,MIN(J19),"")</f>
        <v>0.192</v>
      </c>
      <c r="G19" s="12">
        <f>IF(AND(ISNUMBER(E19),ISNUMBER(F19)),E19*F19,"")</f>
        <v>19.2</v>
      </c>
      <c r="H19" s="10">
        <v>55399</v>
      </c>
      <c r="I19" s="10"/>
      <c r="J19" s="11">
        <f>IFERROR(IF(OR(I19&gt;=K19,E19&gt;=K19),LOOKUP(IF(I19="",E19,I19),{0,1,10,100,500,1000,3000},{0.0,0.418,0.283,0.192,0.15,0.134,0.096}),"MOQ="&amp;K19),"")</f>
        <v>0.192</v>
      </c>
      <c r="K19" s="10">
        <v>1</v>
      </c>
      <c r="L19" s="12">
        <f>IFERROR(IF(I19="",E19,I19)*J19,"")</f>
        <v>19.2</v>
      </c>
      <c r="M19" s="10" t="s">
        <v>101</v>
      </c>
    </row>
    <row r="20" spans="1:13">
      <c r="A20" s="10" t="s">
        <v>35</v>
      </c>
      <c r="B20" s="10" t="s">
        <v>9</v>
      </c>
      <c r="C20" s="10" t="s">
        <v>9</v>
      </c>
      <c r="D20" s="10" t="s">
        <v>36</v>
      </c>
      <c r="E20" s="10">
        <f>CEILING(BoardQty*1.0,1)</f>
        <v>100</v>
      </c>
      <c r="F20" s="11">
        <f>IF(MIN(J20)&lt;&gt;0,MIN(J20),"")</f>
        <v>2.62</v>
      </c>
      <c r="G20" s="12">
        <f>IF(AND(ISNUMBER(E20),ISNUMBER(F20)),E20*F20,"")</f>
        <v>262.0</v>
      </c>
      <c r="H20" s="10">
        <v>3093</v>
      </c>
      <c r="I20" s="10"/>
      <c r="J20" s="11">
        <f>IFERROR(IF(OR(I20&gt;=K20,E20&gt;=K20),LOOKUP(IF(I20="",E20,I20),{0,1,10,25,100,250,500,1000,3000},{0.0,4.14,3.14,2.89,2.62,2.49,2.4,2.33,2.17}),"MOQ="&amp;K20),"")</f>
        <v>2.62</v>
      </c>
      <c r="K20" s="10">
        <v>1</v>
      </c>
      <c r="L20" s="12">
        <f>IFERROR(IF(I20="",E20,I20)*J20,"")</f>
        <v>262.0</v>
      </c>
      <c r="M20" s="10" t="s">
        <v>102</v>
      </c>
    </row>
    <row r="21" spans="1:13">
      <c r="A21" s="10" t="s">
        <v>37</v>
      </c>
      <c r="B21" s="10" t="s">
        <v>9</v>
      </c>
      <c r="C21" s="10" t="s">
        <v>9</v>
      </c>
      <c r="D21" s="10" t="s">
        <v>38</v>
      </c>
      <c r="E21" s="10">
        <f>CEILING(BoardQty*1.0,1)</f>
        <v>100</v>
      </c>
      <c r="F21" s="11">
        <f>IF(MIN(J21)&lt;&gt;0,MIN(J21),"")</f>
        <v>5.74</v>
      </c>
      <c r="G21" s="12">
        <f>IF(AND(ISNUMBER(E21),ISNUMBER(F21)),E21*F21,"")</f>
        <v>574.0</v>
      </c>
      <c r="H21" s="10">
        <v>8984</v>
      </c>
      <c r="I21" s="10"/>
      <c r="J21" s="11">
        <f>IFERROR(IF(OR(I21&gt;=K21,E21&gt;=K21),LOOKUP(IF(I21="",E21,I21),{0,1,10,100,250,500,1000,6000},{0.0,7.24,6.21,5.74,5.73,5.31,5.27,5.27}),"MOQ="&amp;K21),"")</f>
        <v>5.74</v>
      </c>
      <c r="K21" s="10">
        <v>1</v>
      </c>
      <c r="L21" s="12">
        <f>IFERROR(IF(I21="",E21,I21)*J21,"")</f>
        <v>574.0</v>
      </c>
      <c r="M21" s="10" t="s">
        <v>103</v>
      </c>
    </row>
    <row r="22" spans="1:13">
      <c r="A22" s="10" t="s">
        <v>39</v>
      </c>
      <c r="B22" s="10" t="s">
        <v>9</v>
      </c>
      <c r="C22" s="10" t="s">
        <v>9</v>
      </c>
      <c r="D22" s="10" t="s">
        <v>40</v>
      </c>
      <c r="E22" s="10">
        <f>CEILING(BoardQty*1.0,1)</f>
        <v>100</v>
      </c>
      <c r="F22" s="11">
        <f>IF(MIN(J22)&lt;&gt;0,MIN(J22),"")</f>
        <v>1.16</v>
      </c>
      <c r="G22" s="12">
        <f>IF(AND(ISNUMBER(E22),ISNUMBER(F22)),E22*F22,"")</f>
        <v>116.0</v>
      </c>
      <c r="H22" s="10">
        <v>3188</v>
      </c>
      <c r="I22" s="10"/>
      <c r="J22" s="11">
        <f>IFERROR(IF(OR(I22&gt;=K22,E22&gt;=K22),LOOKUP(IF(I22="",E22,I22),{0,1,10,100,250,500,1000,2500,5000},{0.0,1.47,1.23,1.16,1.14,1.07,1.06,0.988,0.911}),"MOQ="&amp;K22),"")</f>
        <v>1.16</v>
      </c>
      <c r="K22" s="10">
        <v>1</v>
      </c>
      <c r="L22" s="12">
        <f>IFERROR(IF(I22="",E22,I22)*J22,"")</f>
        <v>116.0</v>
      </c>
      <c r="M22" s="10" t="s">
        <v>104</v>
      </c>
    </row>
    <row r="23" spans="1:13">
      <c r="A23" s="10" t="s">
        <v>41</v>
      </c>
      <c r="B23" s="10" t="s">
        <v>9</v>
      </c>
      <c r="C23" s="10" t="s">
        <v>9</v>
      </c>
      <c r="D23" s="10" t="s">
        <v>42</v>
      </c>
      <c r="E23" s="10">
        <f>CEILING(BoardQty*1.0,1)</f>
        <v>100</v>
      </c>
      <c r="F23" s="11">
        <f>IF(MIN(J23)&lt;&gt;0,MIN(J23),"")</f>
        <v>1.42</v>
      </c>
      <c r="G23" s="12">
        <f>IF(AND(ISNUMBER(E23),ISNUMBER(F23)),E23*F23,"")</f>
        <v>142.0</v>
      </c>
      <c r="H23" s="10">
        <v>8371</v>
      </c>
      <c r="I23" s="10"/>
      <c r="J23" s="11">
        <f>IFERROR(IF(OR(I23&gt;=K23,E23&gt;=K23),LOOKUP(IF(I23="",E23,I23),{0,1,10,100,500,1000,3500,7000},{0.0,1.79,1.49,1.42,1.28,1.24,1.13,1.1}),"MOQ="&amp;K23),"")</f>
        <v>1.42</v>
      </c>
      <c r="K23" s="10">
        <v>1</v>
      </c>
      <c r="L23" s="12">
        <f>IFERROR(IF(I23="",E23,I23)*J23,"")</f>
        <v>142.0</v>
      </c>
      <c r="M23" s="10" t="s">
        <v>105</v>
      </c>
    </row>
    <row r="24" spans="1:13">
      <c r="A24" s="10" t="s">
        <v>43</v>
      </c>
      <c r="B24" s="10" t="s">
        <v>9</v>
      </c>
      <c r="C24" s="10" t="s">
        <v>9</v>
      </c>
      <c r="D24" s="10" t="s">
        <v>44</v>
      </c>
      <c r="E24" s="10">
        <f>CEILING(BoardQty*4.0,1)</f>
        <v>400</v>
      </c>
      <c r="F24" s="11">
        <f>IF(MIN(J24)&lt;&gt;0,MIN(J24),"")</f>
        <v>1.17</v>
      </c>
      <c r="G24" s="12">
        <f>IF(AND(ISNUMBER(E24),ISNUMBER(F24)),E24*F24,"")</f>
        <v>468.0</v>
      </c>
      <c r="H24" s="10">
        <v>3347</v>
      </c>
      <c r="I24" s="10"/>
      <c r="J24" s="11">
        <f>IFERROR(IF(OR(I24&gt;=K24,E24&gt;=K24),LOOKUP(IF(I24="",E24,I24),{0,1,10,100,250,500,1000,3000,6000,9000},{0.0,1.39,1.24,1.21,1.17,1.14,1.11,1.06,1.03,0.988}),"MOQ="&amp;K24),"")</f>
        <v>1.17</v>
      </c>
      <c r="K24" s="10">
        <v>1</v>
      </c>
      <c r="L24" s="12">
        <f>IFERROR(IF(I24="",E24,I24)*J24,"")</f>
        <v>468.0</v>
      </c>
      <c r="M24" s="10" t="s">
        <v>106</v>
      </c>
    </row>
    <row r="25" spans="1:13">
      <c r="A25" s="10" t="s">
        <v>45</v>
      </c>
      <c r="B25" s="10" t="s">
        <v>9</v>
      </c>
      <c r="C25" s="10" t="s">
        <v>9</v>
      </c>
      <c r="D25" s="10" t="s">
        <v>46</v>
      </c>
      <c r="E25" s="10">
        <f>CEILING(BoardQty*1.0,1)</f>
        <v>100</v>
      </c>
      <c r="F25" s="11">
        <f>IF(MIN(J25)&lt;&gt;0,MIN(J25),"")</f>
        <v>1.08</v>
      </c>
      <c r="G25" s="12">
        <f>IF(AND(ISNUMBER(E25),ISNUMBER(F25)),E25*F25,"")</f>
        <v>108.0</v>
      </c>
      <c r="H25" s="10">
        <v>1245</v>
      </c>
      <c r="I25" s="10"/>
      <c r="J25" s="11">
        <f>IFERROR(IF(OR(I25&gt;=K25,E25&gt;=K25),LOOKUP(IF(I25="",E25,I25),{0,1,25,100,3300},{0.0,1.43,1.2,1.08,1.08}),"MOQ="&amp;K25),"")</f>
        <v>1.08</v>
      </c>
      <c r="K25" s="10">
        <v>1</v>
      </c>
      <c r="L25" s="12">
        <f>IFERROR(IF(I25="",E25,I25)*J25,"")</f>
        <v>108.0</v>
      </c>
      <c r="M25" s="10" t="s">
        <v>107</v>
      </c>
    </row>
    <row r="26" spans="1:13">
      <c r="A26" s="10" t="s">
        <v>47</v>
      </c>
      <c r="B26" s="10" t="s">
        <v>9</v>
      </c>
      <c r="C26" s="10" t="s">
        <v>9</v>
      </c>
      <c r="D26" s="10" t="s">
        <v>48</v>
      </c>
      <c r="E26" s="10">
        <f>CEILING(BoardQty*1.0,1)</f>
        <v>100</v>
      </c>
      <c r="F26" s="11">
        <f>IF(MIN(J26)&lt;&gt;0,MIN(J26),"")</f>
        <v>0.112</v>
      </c>
      <c r="G26" s="12">
        <f>IF(AND(ISNUMBER(E26),ISNUMBER(F26)),E26*F26,"")</f>
        <v>11.2</v>
      </c>
      <c r="H26" s="10">
        <v>3674</v>
      </c>
      <c r="I26" s="10"/>
      <c r="J26" s="11">
        <f>IFERROR(IF(OR(I26&gt;=K26,E26&gt;=K26),LOOKUP(IF(I26="",E26,I26),{0,1,10,2000,10000},{0.0,0.219,0.112,0.103,0.09}),"MOQ="&amp;K26),"")</f>
        <v>0.112</v>
      </c>
      <c r="K26" s="10">
        <v>1</v>
      </c>
      <c r="L26" s="12">
        <f>IFERROR(IF(I26="",E26,I26)*J26,"")</f>
        <v>11.2</v>
      </c>
      <c r="M26" s="10" t="s">
        <v>108</v>
      </c>
    </row>
    <row r="27" spans="1:13">
      <c r="A27" s="10" t="s">
        <v>49</v>
      </c>
      <c r="B27" s="10" t="s">
        <v>9</v>
      </c>
      <c r="C27" s="10" t="s">
        <v>9</v>
      </c>
      <c r="D27" s="10" t="s">
        <v>50</v>
      </c>
      <c r="E27" s="10">
        <f>CEILING(BoardQty*1.0,1)</f>
        <v>100</v>
      </c>
      <c r="F27" s="11">
        <f>IF(MIN(J27)&lt;&gt;0,MIN(J27),"")</f>
        <v>0.15</v>
      </c>
      <c r="G27" s="12">
        <f>IF(AND(ISNUMBER(E27),ISNUMBER(F27)),E27*F27,"")</f>
        <v>15.0</v>
      </c>
      <c r="H27" s="10">
        <v>2404</v>
      </c>
      <c r="I27" s="10"/>
      <c r="J27" s="11">
        <f>IFERROR(IF(OR(I27&gt;=K27,E27&gt;=K27),LOOKUP(IF(I27="",E27,I27),{0,1,10,100,1000,2000,10000,50000},{0.0,0.219,0.181,0.15,0.121,0.111,0.095,0.09}),"MOQ="&amp;K27),"")</f>
        <v>0.15</v>
      </c>
      <c r="K27" s="10">
        <v>1</v>
      </c>
      <c r="L27" s="12">
        <f>IFERROR(IF(I27="",E27,I27)*J27,"")</f>
        <v>15.0</v>
      </c>
      <c r="M27" s="10" t="s">
        <v>109</v>
      </c>
    </row>
    <row r="28" spans="1:13">
      <c r="A28" s="10" t="s">
        <v>51</v>
      </c>
      <c r="B28" s="10" t="s">
        <v>9</v>
      </c>
      <c r="C28" s="10" t="s">
        <v>9</v>
      </c>
      <c r="D28" s="10" t="s">
        <v>52</v>
      </c>
      <c r="E28" s="10">
        <f>CEILING(BoardQty*1.0,1)</f>
        <v>100</v>
      </c>
      <c r="F28" s="11">
        <f>IF(MIN(J28)&lt;&gt;0,MIN(J28),"")</f>
        <v>0.072</v>
      </c>
      <c r="G28" s="12">
        <f>IF(AND(ISNUMBER(E28),ISNUMBER(F28)),E28*F28,"")</f>
        <v>7.2</v>
      </c>
      <c r="H28" s="10">
        <v>34967</v>
      </c>
      <c r="I28" s="10"/>
      <c r="J28" s="11">
        <f>IFERROR(IF(OR(I28&gt;=K28,E28&gt;=K28),LOOKUP(IF(I28="",E28,I28),{0,1,10,100,1000,3000},{0.0,0.257,0.157,0.072,0.065,0.065}),"MOQ="&amp;K28),"")</f>
        <v>0.072</v>
      </c>
      <c r="K28" s="10">
        <v>1</v>
      </c>
      <c r="L28" s="12">
        <f>IFERROR(IF(I28="",E28,I28)*J28,"")</f>
        <v>7.2</v>
      </c>
      <c r="M28" s="10" t="s">
        <v>110</v>
      </c>
    </row>
    <row r="29" spans="1:13">
      <c r="A29" s="10" t="s">
        <v>53</v>
      </c>
      <c r="B29" s="10" t="s">
        <v>9</v>
      </c>
      <c r="C29" s="10" t="s">
        <v>9</v>
      </c>
      <c r="D29" s="10" t="s">
        <v>54</v>
      </c>
      <c r="E29" s="10">
        <f>CEILING(BoardQty*3.0,1)</f>
        <v>300</v>
      </c>
      <c r="F29" s="11">
        <f>IF(MIN(J29)&lt;&gt;0,MIN(J29),"")</f>
        <v>0.245</v>
      </c>
      <c r="G29" s="12">
        <f>IF(AND(ISNUMBER(E29),ISNUMBER(F29)),E29*F29,"")</f>
        <v>73.5</v>
      </c>
      <c r="H29" s="10">
        <v>5668</v>
      </c>
      <c r="I29" s="10"/>
      <c r="J29" s="11">
        <f>IFERROR(IF(OR(I29&gt;=K29,E29&gt;=K29),LOOKUP(IF(I29="",E29,I29),{0,1,10,100,500,1000,3000,6000,9000},{0.0,0.485,0.333,0.245,0.189,0.155,0.133,0.127,0.12}),"MOQ="&amp;K29),"")</f>
        <v>0.245</v>
      </c>
      <c r="K29" s="10">
        <v>1</v>
      </c>
      <c r="L29" s="12">
        <f>IFERROR(IF(I29="",E29,I29)*J29,"")</f>
        <v>73.5</v>
      </c>
      <c r="M29" s="10" t="s">
        <v>111</v>
      </c>
    </row>
    <row r="30" spans="1:13">
      <c r="A30" s="10" t="s">
        <v>55</v>
      </c>
      <c r="B30" s="10" t="s">
        <v>9</v>
      </c>
      <c r="C30" s="10" t="s">
        <v>9</v>
      </c>
      <c r="D30" s="10" t="s">
        <v>56</v>
      </c>
      <c r="E30" s="10">
        <f>CEILING(BoardQty*1.0,1)</f>
        <v>100</v>
      </c>
      <c r="F30" s="11">
        <f>IF(MIN(J30)&lt;&gt;0,MIN(J30),"")</f>
        <v>0.029</v>
      </c>
      <c r="G30" s="12">
        <f>IF(AND(ISNUMBER(E30),ISNUMBER(F30)),E30*F30,"")</f>
        <v>2.9</v>
      </c>
      <c r="H30" s="10">
        <v>17203</v>
      </c>
      <c r="I30" s="10"/>
      <c r="J30" s="11">
        <f>IFERROR(IF(OR(I30&gt;=K30,E30&gt;=K30),LOOKUP(IF(I30="",E30,I30),{0,1,10,100,500,1000,5000,10000,25000},{0.0,0.095,0.038,0.029,0.024,0.022,0.016,0.015,0.012}),"MOQ="&amp;K30),"")</f>
        <v>0.029</v>
      </c>
      <c r="K30" s="10">
        <v>1</v>
      </c>
      <c r="L30" s="12">
        <f>IFERROR(IF(I30="",E30,I30)*J30,"")</f>
        <v>2.9</v>
      </c>
      <c r="M30" s="10" t="s">
        <v>112</v>
      </c>
    </row>
    <row r="31" spans="1:13">
      <c r="A31" s="10" t="s">
        <v>57</v>
      </c>
      <c r="B31" s="10" t="s">
        <v>9</v>
      </c>
      <c r="C31" s="10" t="s">
        <v>9</v>
      </c>
      <c r="D31" s="10" t="s">
        <v>58</v>
      </c>
      <c r="E31" s="10">
        <f>CEILING(BoardQty*1.0,1)</f>
        <v>100</v>
      </c>
      <c r="F31" s="11">
        <f>IF(MIN(J31)&lt;&gt;0,MIN(J31),"")</f>
        <v>0.009</v>
      </c>
      <c r="G31" s="12">
        <f>IF(AND(ISNUMBER(E31),ISNUMBER(F31)),E31*F31,"")</f>
        <v>0.9</v>
      </c>
      <c r="H31" s="10">
        <v>174195</v>
      </c>
      <c r="I31" s="10"/>
      <c r="J31" s="11">
        <f>IFERROR(IF(OR(I31&gt;=K31,E31&gt;=K31),LOOKUP(IF(I31="",E31,I31),{0,1,10,1000,5000,10000},{0.0,0.095,0.009,0.007,0.003,0.002}),"MOQ="&amp;K31),"")</f>
        <v>0.009</v>
      </c>
      <c r="K31" s="10">
        <v>1</v>
      </c>
      <c r="L31" s="12">
        <f>IFERROR(IF(I31="",E31,I31)*J31,"")</f>
        <v>0.9</v>
      </c>
      <c r="M31" s="10" t="s">
        <v>113</v>
      </c>
    </row>
    <row r="32" spans="1:13">
      <c r="A32" s="10" t="s">
        <v>59</v>
      </c>
      <c r="B32" s="10" t="s">
        <v>9</v>
      </c>
      <c r="C32" s="10" t="s">
        <v>9</v>
      </c>
      <c r="D32" s="10" t="s">
        <v>60</v>
      </c>
      <c r="E32" s="10">
        <f>CEILING(BoardQty*1.0,1)</f>
        <v>100</v>
      </c>
      <c r="F32" s="11">
        <f>IF(MIN(J32)&lt;&gt;0,MIN(J32),"")</f>
        <v>0.038</v>
      </c>
      <c r="G32" s="12">
        <f>IF(AND(ISNUMBER(E32),ISNUMBER(F32)),E32*F32,"")</f>
        <v>3.8</v>
      </c>
      <c r="H32" s="10">
        <v>150380</v>
      </c>
      <c r="I32" s="10"/>
      <c r="J32" s="11">
        <f>IFERROR(IF(OR(I32&gt;=K32,E32&gt;=K32),LOOKUP(IF(I32="",E32,I32),{0,1,10,100,500,1000,5000},{0.0,0.105,0.039,0.038,0.029,0.026,0.017}),"MOQ="&amp;K32),"")</f>
        <v>0.038</v>
      </c>
      <c r="K32" s="10">
        <v>1</v>
      </c>
      <c r="L32" s="12">
        <f>IFERROR(IF(I32="",E32,I32)*J32,"")</f>
        <v>3.8</v>
      </c>
      <c r="M32" s="10" t="s">
        <v>114</v>
      </c>
    </row>
    <row r="33" spans="1:13">
      <c r="A33" s="10" t="s">
        <v>61</v>
      </c>
      <c r="B33" s="10" t="s">
        <v>9</v>
      </c>
      <c r="C33" s="10" t="s">
        <v>9</v>
      </c>
      <c r="D33" s="10" t="s">
        <v>62</v>
      </c>
      <c r="E33" s="10">
        <f>CEILING(BoardQty*6.0,1)</f>
        <v>600</v>
      </c>
      <c r="F33" s="11">
        <f>IF(MIN(J33)&lt;&gt;0,MIN(J33),"")</f>
        <v>0.016</v>
      </c>
      <c r="G33" s="12">
        <f>IF(AND(ISNUMBER(E33),ISNUMBER(F33)),E33*F33,"")</f>
        <v>9.6</v>
      </c>
      <c r="H33" s="10">
        <v>60096</v>
      </c>
      <c r="I33" s="10"/>
      <c r="J33" s="11">
        <f>IFERROR(IF(OR(I33&gt;=K33,E33&gt;=K33),LOOKUP(IF(I33="",E33,I33),{0,1,10,100,1000,5000,100000},{0.0,0.095,0.021,0.016,0.01,0.006,0.004}),"MOQ="&amp;K33),"")</f>
        <v>0.016</v>
      </c>
      <c r="K33" s="10">
        <v>1</v>
      </c>
      <c r="L33" s="12">
        <f>IFERROR(IF(I33="",E33,I33)*J33,"")</f>
        <v>9.6</v>
      </c>
      <c r="M33" s="10" t="s">
        <v>115</v>
      </c>
    </row>
    <row r="34" spans="1:13">
      <c r="A34" s="10" t="s">
        <v>63</v>
      </c>
      <c r="B34" s="10" t="s">
        <v>9</v>
      </c>
      <c r="C34" s="10" t="s">
        <v>9</v>
      </c>
      <c r="D34" s="10" t="s">
        <v>64</v>
      </c>
      <c r="E34" s="10">
        <f>CEILING(BoardQty*2.0,1)</f>
        <v>200</v>
      </c>
      <c r="F34" s="11">
        <f>IF(MIN(J34)&lt;&gt;0,MIN(J34),"")</f>
        <v>0.01</v>
      </c>
      <c r="G34" s="12">
        <f>IF(AND(ISNUMBER(E34),ISNUMBER(F34)),E34*F34,"")</f>
        <v>2.0</v>
      </c>
      <c r="H34" s="13" t="s">
        <v>95</v>
      </c>
      <c r="I34" s="10"/>
      <c r="J34" s="11">
        <f>IFERROR(IF(OR(I34&gt;=K34,E34&gt;=K34),LOOKUP(IF(I34="",E34,I34),{0,1,10,100,1000,5000,50000},{0.0,0.143,0.014,0.01,0.008,0.003,0.002}),"MOQ="&amp;K34),"")</f>
        <v>0.01</v>
      </c>
      <c r="K34" s="10">
        <v>1</v>
      </c>
      <c r="L34" s="12">
        <f>IFERROR(IF(I34="",E34,I34)*J34,"")</f>
        <v>2.0</v>
      </c>
      <c r="M34" s="10" t="s">
        <v>116</v>
      </c>
    </row>
    <row r="35" spans="1:13">
      <c r="A35" s="10" t="s">
        <v>65</v>
      </c>
      <c r="B35" s="10" t="s">
        <v>9</v>
      </c>
      <c r="C35" s="10" t="s">
        <v>9</v>
      </c>
      <c r="D35" s="10" t="s">
        <v>66</v>
      </c>
      <c r="E35" s="10">
        <f>CEILING(BoardQty*1.0,1)</f>
        <v>100</v>
      </c>
      <c r="F35" s="11">
        <f>IF(MIN(J35)&lt;&gt;0,MIN(J35),"")</f>
        <v>0.007</v>
      </c>
      <c r="G35" s="12">
        <f>IF(AND(ISNUMBER(E35),ISNUMBER(F35)),E35*F35,"")</f>
        <v>0.7</v>
      </c>
      <c r="H35" s="10">
        <v>457126</v>
      </c>
      <c r="I35" s="10"/>
      <c r="J35" s="11">
        <f>IFERROR(IF(OR(I35&gt;=K35,E35&gt;=K35),LOOKUP(IF(I35="",E35,I35),{0,1,10,100,500,1000,5000},{0.0,0.095,0.01,0.007,0.005,0.004,0.002}),"MOQ="&amp;K35),"")</f>
        <v>0.007</v>
      </c>
      <c r="K35" s="10">
        <v>1</v>
      </c>
      <c r="L35" s="12">
        <f>IFERROR(IF(I35="",E35,I35)*J35,"")</f>
        <v>0.7</v>
      </c>
      <c r="M35" s="10" t="s">
        <v>117</v>
      </c>
    </row>
    <row r="36" spans="1:13">
      <c r="A36" s="10" t="s">
        <v>67</v>
      </c>
      <c r="B36" s="10" t="s">
        <v>9</v>
      </c>
      <c r="C36" s="10" t="s">
        <v>9</v>
      </c>
      <c r="D36" s="10" t="s">
        <v>68</v>
      </c>
      <c r="E36" s="10">
        <f>CEILING(BoardQty*1.0,1)</f>
        <v>100</v>
      </c>
      <c r="F36" s="11">
        <f>IF(MIN(J36)&lt;&gt;0,MIN(J36),"")</f>
        <v>0.009</v>
      </c>
      <c r="G36" s="12">
        <f>IF(AND(ISNUMBER(E36),ISNUMBER(F36)),E36*F36,"")</f>
        <v>0.9</v>
      </c>
      <c r="H36" s="10">
        <v>355233</v>
      </c>
      <c r="I36" s="10"/>
      <c r="J36" s="11">
        <f>IFERROR(IF(OR(I36&gt;=K36,E36&gt;=K36),LOOKUP(IF(I36="",E36,I36),{0,1,10,1000,5000,10000,25000},{0.0,0.095,0.009,0.007,0.004,0.003,0.002}),"MOQ="&amp;K36),"")</f>
        <v>0.009</v>
      </c>
      <c r="K36" s="10">
        <v>1</v>
      </c>
      <c r="L36" s="12">
        <f>IFERROR(IF(I36="",E36,I36)*J36,"")</f>
        <v>0.9</v>
      </c>
      <c r="M36" s="10" t="s">
        <v>118</v>
      </c>
    </row>
    <row r="37" spans="1:13">
      <c r="A37" s="10" t="s">
        <v>69</v>
      </c>
      <c r="B37" s="10" t="s">
        <v>9</v>
      </c>
      <c r="C37" s="10" t="s">
        <v>9</v>
      </c>
      <c r="D37" s="10" t="s">
        <v>70</v>
      </c>
      <c r="E37" s="10">
        <f>CEILING(BoardQty*2.0,1)</f>
        <v>200</v>
      </c>
      <c r="F37" s="11">
        <f>IF(MIN(J37)&lt;&gt;0,MIN(J37),"")</f>
        <v>0.007</v>
      </c>
      <c r="G37" s="12">
        <f>IF(AND(ISNUMBER(E37),ISNUMBER(F37)),E37*F37,"")</f>
        <v>1.4</v>
      </c>
      <c r="H37" s="10">
        <v>44745</v>
      </c>
      <c r="I37" s="10"/>
      <c r="J37" s="11">
        <f>IFERROR(IF(OR(I37&gt;=K37,E37&gt;=K37),LOOKUP(IF(I37="",E37,I37),{0,1,10,100,1000,5000,10000},{0.0,0.095,0.009,0.007,0.006,0.003,0.002}),"MOQ="&amp;K37),"")</f>
        <v>0.007</v>
      </c>
      <c r="K37" s="10">
        <v>1</v>
      </c>
      <c r="L37" s="12">
        <f>IFERROR(IF(I37="",E37,I37)*J37,"")</f>
        <v>1.4</v>
      </c>
      <c r="M37" s="10" t="s">
        <v>119</v>
      </c>
    </row>
    <row r="38" spans="1:13">
      <c r="A38" s="10" t="s">
        <v>71</v>
      </c>
      <c r="B38" s="10" t="s">
        <v>9</v>
      </c>
      <c r="C38" s="10" t="s">
        <v>9</v>
      </c>
      <c r="D38" s="10" t="s">
        <v>72</v>
      </c>
      <c r="E38" s="10">
        <f>CEILING(BoardQty*1.0,1)</f>
        <v>100</v>
      </c>
      <c r="F38" s="11">
        <f>IF(MIN(J38)&lt;&gt;0,MIN(J38),"")</f>
        <v>0.009</v>
      </c>
      <c r="G38" s="12">
        <f>IF(AND(ISNUMBER(E38),ISNUMBER(F38)),E38*F38,"")</f>
        <v>0.9</v>
      </c>
      <c r="H38" s="10">
        <v>19285</v>
      </c>
      <c r="I38" s="10"/>
      <c r="J38" s="11">
        <f>IFERROR(IF(OR(I38&gt;=K38,E38&gt;=K38),LOOKUP(IF(I38="",E38,I38),{0,1,10,1000,5000,10000,25000},{0.0,0.095,0.009,0.006,0.005,0.003,0.002}),"MOQ="&amp;K38),"")</f>
        <v>0.009</v>
      </c>
      <c r="K38" s="10">
        <v>1</v>
      </c>
      <c r="L38" s="12">
        <f>IFERROR(IF(I38="",E38,I38)*J38,"")</f>
        <v>0.9</v>
      </c>
      <c r="M38" s="10" t="s">
        <v>120</v>
      </c>
    </row>
    <row r="39" spans="1:13">
      <c r="A39" s="10" t="s">
        <v>73</v>
      </c>
      <c r="B39" s="10" t="s">
        <v>9</v>
      </c>
      <c r="C39" s="10" t="s">
        <v>9</v>
      </c>
      <c r="D39" s="10" t="s">
        <v>74</v>
      </c>
      <c r="E39" s="10">
        <f>CEILING(BoardQty*2.0,1)</f>
        <v>200</v>
      </c>
      <c r="F39" s="11">
        <f>IF(MIN(J39)&lt;&gt;0,MIN(J39),"")</f>
        <v>0.007</v>
      </c>
      <c r="G39" s="12">
        <f>IF(AND(ISNUMBER(E39),ISNUMBER(F39)),E39*F39,"")</f>
        <v>1.4</v>
      </c>
      <c r="H39" s="10">
        <v>64642</v>
      </c>
      <c r="I39" s="10"/>
      <c r="J39" s="11">
        <f>IFERROR(IF(OR(I39&gt;=K39,E39&gt;=K39),LOOKUP(IF(I39="",E39,I39),{0,1,10,100,1000,5000,10000,25000,100000},{0.0,0.095,0.01,0.007,0.006,0.006,0.005,0.003,0.002}),"MOQ="&amp;K39),"")</f>
        <v>0.007</v>
      </c>
      <c r="K39" s="10">
        <v>1</v>
      </c>
      <c r="L39" s="12">
        <f>IFERROR(IF(I39="",E39,I39)*J39,"")</f>
        <v>1.4</v>
      </c>
      <c r="M39" s="10" t="s">
        <v>121</v>
      </c>
    </row>
    <row r="40" spans="1:13">
      <c r="A40" s="10" t="s">
        <v>75</v>
      </c>
      <c r="B40" s="10" t="s">
        <v>9</v>
      </c>
      <c r="C40" s="10" t="s">
        <v>9</v>
      </c>
      <c r="D40" s="10" t="s">
        <v>76</v>
      </c>
      <c r="E40" s="10">
        <f>CEILING(BoardQty*1.0,1)</f>
        <v>100</v>
      </c>
      <c r="F40" s="11">
        <f>IF(MIN(J40)&lt;&gt;0,MIN(J40),"")</f>
        <v>0.01</v>
      </c>
      <c r="G40" s="12">
        <f>IF(AND(ISNUMBER(E40),ISNUMBER(F40)),E40*F40,"")</f>
        <v>1.0</v>
      </c>
      <c r="H40" s="10">
        <v>31341</v>
      </c>
      <c r="I40" s="10"/>
      <c r="J40" s="11">
        <f>IFERROR(IF(OR(I40&gt;=K40,E40&gt;=K40),LOOKUP(IF(I40="",E40,I40),{0,1,10,100,1000,5000,25000,50000},{0.0,0.095,0.015,0.01,0.008,0.005,0.003,0.002}),"MOQ="&amp;K40),"")</f>
        <v>0.01</v>
      </c>
      <c r="K40" s="10">
        <v>1</v>
      </c>
      <c r="L40" s="12">
        <f>IFERROR(IF(I40="",E40,I40)*J40,"")</f>
        <v>1.0</v>
      </c>
      <c r="M40" s="10" t="s">
        <v>122</v>
      </c>
    </row>
    <row r="41" spans="1:13">
      <c r="A41" s="10" t="s">
        <v>77</v>
      </c>
      <c r="B41" s="10" t="s">
        <v>9</v>
      </c>
      <c r="C41" s="10" t="s">
        <v>9</v>
      </c>
      <c r="D41" s="10" t="s">
        <v>78</v>
      </c>
      <c r="E41" s="10">
        <f>CEILING(BoardQty*1.0,1)</f>
        <v>100</v>
      </c>
      <c r="F41" s="11">
        <f>IF(MIN(J41)&lt;&gt;0,MIN(J41),"")</f>
        <v>0.013</v>
      </c>
      <c r="G41" s="12">
        <f>IF(AND(ISNUMBER(E41),ISNUMBER(F41)),E41*F41,"")</f>
        <v>1.3</v>
      </c>
      <c r="H41" s="10">
        <v>31569</v>
      </c>
      <c r="I41" s="10"/>
      <c r="J41" s="11">
        <f>IFERROR(IF(OR(I41&gt;=K41,E41&gt;=K41),LOOKUP(IF(I41="",E41,I41),{0,1,10,100,500,1000,5000,10000,25000},{0.0,0.19,0.019,0.013,0.012,0.011,0.005,0.004,0.003}),"MOQ="&amp;K41),"")</f>
        <v>0.013</v>
      </c>
      <c r="K41" s="10">
        <v>1</v>
      </c>
      <c r="L41" s="12">
        <f>IFERROR(IF(I41="",E41,I41)*J41,"")</f>
        <v>1.3</v>
      </c>
      <c r="M41" s="10" t="s">
        <v>123</v>
      </c>
    </row>
    <row r="42" spans="1:13">
      <c r="A42" s="10" t="s">
        <v>79</v>
      </c>
      <c r="B42" s="10" t="s">
        <v>9</v>
      </c>
      <c r="C42" s="10" t="s">
        <v>9</v>
      </c>
      <c r="D42" s="10" t="s">
        <v>80</v>
      </c>
      <c r="E42" s="10">
        <f>CEILING(BoardQty*1.0,1)</f>
        <v>100</v>
      </c>
      <c r="F42" s="11">
        <f>IF(MIN(J42)&lt;&gt;0,MIN(J42),"")</f>
        <v>0.466</v>
      </c>
      <c r="G42" s="12">
        <f>IF(AND(ISNUMBER(E42),ISNUMBER(F42)),E42*F42,"")</f>
        <v>46.6</v>
      </c>
      <c r="H42" s="10">
        <v>5561</v>
      </c>
      <c r="I42" s="10"/>
      <c r="J42" s="11">
        <f>IFERROR(IF(OR(I42&gt;=K42,E42&gt;=K42),LOOKUP(IF(I42="",E42,I42),{0,1,50,100,500,1000,3300},{0.0,0.551,0.514,0.466,0.425,0.369,0.33}),"MOQ="&amp;K42),"")</f>
        <v>0.466</v>
      </c>
      <c r="K42" s="10">
        <v>1</v>
      </c>
      <c r="L42" s="12">
        <f>IFERROR(IF(I42="",E42,I42)*J42,"")</f>
        <v>46.6</v>
      </c>
      <c r="M42" s="10" t="s">
        <v>124</v>
      </c>
    </row>
    <row r="43" spans="1:13">
      <c r="A43" s="10" t="s">
        <v>81</v>
      </c>
      <c r="B43" s="10" t="s">
        <v>9</v>
      </c>
      <c r="C43" s="10" t="s">
        <v>9</v>
      </c>
      <c r="D43" s="10" t="s">
        <v>82</v>
      </c>
      <c r="E43" s="10">
        <f>CEILING(BoardQty*1.0,1)</f>
        <v>100</v>
      </c>
      <c r="F43" s="11">
        <f>IF(MIN(J43)&lt;&gt;0,MIN(J43),"")</f>
        <v>2.67</v>
      </c>
      <c r="G43" s="12">
        <f>IF(AND(ISNUMBER(E43),ISNUMBER(F43)),E43*F43,"")</f>
        <v>267.0</v>
      </c>
      <c r="H43" s="10">
        <v>5078</v>
      </c>
      <c r="I43" s="10"/>
      <c r="J43" s="11">
        <f>IFERROR(IF(OR(I43&gt;=K43,E43&gt;=K43),LOOKUP(IF(I43="",E43,I43),{0,1,10,100,250,500,1000,1500},{0.0,3.9,2.93,2.67,2.66,2.61,2.57,2.28}),"MOQ="&amp;K43),"")</f>
        <v>2.67</v>
      </c>
      <c r="K43" s="10">
        <v>1</v>
      </c>
      <c r="L43" s="12">
        <f>IFERROR(IF(I43="",E43,I43)*J43,"")</f>
        <v>267.0</v>
      </c>
      <c r="M43" s="10" t="s">
        <v>125</v>
      </c>
    </row>
    <row r="45" spans="1:13">
      <c r="F45" s="1" t="s">
        <v>127</v>
      </c>
      <c r="G45" s="5">
        <f>SUM(L45)</f>
        <v>0</v>
      </c>
      <c r="H45" s="14" t="s">
        <v>126</v>
      </c>
      <c r="I45" s="6">
        <f>IFERROR(IF(COUNTIF(I7:I43,"&gt;0")&gt;0,COUNTIF(I7:I43,"&gt;0")&amp;" of "&amp;(ROWS(K7:K43)-COUNTBLANK(K7:K43))&amp;" parts purchased",""),"")</f>
        <v/>
      </c>
      <c r="L45" s="5">
        <f>SUMIF(I7:I43,"&gt;0",L7:L43)</f>
        <v>0</v>
      </c>
    </row>
    <row r="46" spans="1:13">
      <c r="A46" s="2" t="s">
        <v>139</v>
      </c>
      <c r="F46" s="15" t="s">
        <v>128</v>
      </c>
      <c r="I46" s="16">
        <f>CONCATENATE(I84,I85,I86,I87,I88,I89,I90,I91,I92,I93,I94,I95,I96,I97,I98,I99,I100,I101,I102,I103,I104,I105,I106,I107,I108,I109,I110,I111,I112,I113,I114,I115,I116,I117,I118,I119,I120)</f>
        <v/>
      </c>
    </row>
    <row r="84" spans="9:9" ht="30" hidden="1" customHeight="1">
      <c r="I84" t="str">
        <f t="array" ref="I84:I120">IF(ISNUMBER(I7:I43)*(I7:I43&gt;=K7:K43)*(M7:M43&lt;&gt;""),M7:M43&amp;"|"&amp;TEXT(ROUNDUP(I7:I43/IF(ISNUMBER(K7:K43),K7:K43,1),0)*K7:K43,"##0")&amp;"|"&amp;SUBSTITUTE(SUBSTITUTE(SUBSTITUTE(IF(PURCHASE_DESCRIPTION&lt;&gt;"",PURCHASE_DESCRIPTION&amp;":","")&amp;A7:A43,"|",";")," ","_"),"
","_")&amp;CHAR(10),"")</f>
        <v/>
      </c>
    </row>
    <row r="85" spans="9:9" ht="30" hidden="1" customHeight="1">
      <c r="I85">
        <v>0</v>
      </c>
    </row>
    <row r="86" spans="9:9" ht="30" hidden="1" customHeight="1">
      <c r="I86">
        <v>0</v>
      </c>
    </row>
    <row r="87" spans="9:9" ht="30" hidden="1" customHeight="1">
      <c r="I87">
        <v>0</v>
      </c>
    </row>
    <row r="88" spans="9:9" ht="30" hidden="1" customHeight="1">
      <c r="I88">
        <v>0</v>
      </c>
    </row>
    <row r="89" spans="9:9" ht="30" hidden="1" customHeight="1">
      <c r="I89">
        <v>0</v>
      </c>
    </row>
    <row r="90" spans="9:9" ht="30" hidden="1" customHeight="1">
      <c r="I90">
        <v>0</v>
      </c>
    </row>
    <row r="91" spans="9:9" ht="30" hidden="1" customHeight="1">
      <c r="I91">
        <v>0</v>
      </c>
    </row>
    <row r="92" spans="9:9" ht="30" hidden="1" customHeight="1">
      <c r="I92">
        <v>0</v>
      </c>
    </row>
    <row r="93" spans="9:9" ht="30" hidden="1" customHeight="1">
      <c r="I93">
        <v>0</v>
      </c>
    </row>
    <row r="94" spans="9:9" ht="30" hidden="1" customHeight="1">
      <c r="I94">
        <v>0</v>
      </c>
    </row>
    <row r="95" spans="9:9" ht="30" hidden="1" customHeight="1">
      <c r="I95">
        <v>0</v>
      </c>
    </row>
    <row r="96" spans="9:9" ht="30" hidden="1" customHeight="1">
      <c r="I96">
        <v>0</v>
      </c>
    </row>
    <row r="97" spans="9:9" ht="30" hidden="1" customHeight="1">
      <c r="I97">
        <v>0</v>
      </c>
    </row>
    <row r="98" spans="9:9" ht="30" hidden="1" customHeight="1">
      <c r="I98">
        <v>0</v>
      </c>
    </row>
    <row r="99" spans="9:9" ht="30" hidden="1" customHeight="1">
      <c r="I99">
        <v>0</v>
      </c>
    </row>
    <row r="100" spans="9:9" ht="30" hidden="1" customHeight="1">
      <c r="I100">
        <v>0</v>
      </c>
    </row>
    <row r="101" spans="9:9" ht="30" hidden="1" customHeight="1">
      <c r="I101">
        <v>0</v>
      </c>
    </row>
    <row r="102" spans="9:9" ht="30" hidden="1" customHeight="1">
      <c r="I102">
        <v>0</v>
      </c>
    </row>
    <row r="103" spans="9:9" ht="30" hidden="1" customHeight="1">
      <c r="I103">
        <v>0</v>
      </c>
    </row>
    <row r="104" spans="9:9" ht="30" hidden="1" customHeight="1">
      <c r="I104">
        <v>0</v>
      </c>
    </row>
    <row r="105" spans="9:9" ht="30" hidden="1" customHeight="1">
      <c r="I105">
        <v>0</v>
      </c>
    </row>
    <row r="106" spans="9:9" ht="30" hidden="1" customHeight="1">
      <c r="I106">
        <v>0</v>
      </c>
    </row>
    <row r="107" spans="9:9" ht="30" hidden="1" customHeight="1">
      <c r="I107">
        <v>0</v>
      </c>
    </row>
    <row r="108" spans="9:9" ht="30" hidden="1" customHeight="1">
      <c r="I108">
        <v>0</v>
      </c>
    </row>
    <row r="109" spans="9:9" ht="30" hidden="1" customHeight="1">
      <c r="I109">
        <v>0</v>
      </c>
    </row>
    <row r="110" spans="9:9" ht="30" hidden="1" customHeight="1">
      <c r="I110">
        <v>0</v>
      </c>
    </row>
    <row r="111" spans="9:9" ht="30" hidden="1" customHeight="1">
      <c r="I111">
        <v>0</v>
      </c>
    </row>
    <row r="112" spans="9:9" ht="30" hidden="1" customHeight="1">
      <c r="I112">
        <v>0</v>
      </c>
    </row>
    <row r="113" spans="9:9" ht="30" hidden="1" customHeight="1">
      <c r="I113">
        <v>0</v>
      </c>
    </row>
    <row r="114" spans="9:9" ht="30" hidden="1" customHeight="1">
      <c r="I114">
        <v>0</v>
      </c>
    </row>
    <row r="115" spans="9:9" ht="30" hidden="1" customHeight="1">
      <c r="I115">
        <v>0</v>
      </c>
    </row>
    <row r="116" spans="9:9" ht="30" hidden="1" customHeight="1">
      <c r="I116">
        <v>0</v>
      </c>
    </row>
    <row r="117" spans="9:9" ht="30" hidden="1" customHeight="1">
      <c r="I117">
        <v>0</v>
      </c>
    </row>
    <row r="118" spans="9:9" ht="30" hidden="1" customHeight="1">
      <c r="I118">
        <v>0</v>
      </c>
    </row>
    <row r="119" spans="9:9" ht="30" hidden="1" customHeight="1">
      <c r="I119">
        <v>0</v>
      </c>
    </row>
    <row r="120" spans="9:9" ht="30" hidden="1" customHeight="1">
      <c r="I120">
        <v>0</v>
      </c>
    </row>
  </sheetData>
  <mergeCells count="3">
    <mergeCell ref="A5:G5"/>
    <mergeCell ref="H5:M5"/>
    <mergeCell ref="I46:L83"/>
  </mergeCells>
  <conditionalFormatting sqref="E10">
    <cfRule type="expression" dxfId="2" priority="85">
      <formula>AND(ISBLANK(D10),ISBLANK(L10))</formula>
    </cfRule>
    <cfRule type="expression" dxfId="1" priority="86">
      <formula>IF(SUM(H10)=0,1,0)</formula>
    </cfRule>
    <cfRule type="cellIs" dxfId="0" priority="87" operator="greaterThan">
      <formula>SUM(H10)</formula>
    </cfRule>
    <cfRule type="cellIs" dxfId="3" priority="88" operator="greaterThan">
      <formula>SUM(IF(ISNUMBER(J10),I10,0))</formula>
    </cfRule>
  </conditionalFormatting>
  <conditionalFormatting sqref="E11">
    <cfRule type="expression" dxfId="2" priority="89">
      <formula>AND(ISBLANK(D11),ISBLANK(L11))</formula>
    </cfRule>
    <cfRule type="expression" dxfId="1" priority="90">
      <formula>IF(SUM(H11)=0,1,0)</formula>
    </cfRule>
    <cfRule type="cellIs" dxfId="0" priority="91" operator="greaterThan">
      <formula>SUM(H11)</formula>
    </cfRule>
    <cfRule type="cellIs" dxfId="3" priority="92" operator="greaterThan">
      <formula>SUM(IF(ISNUMBER(J11),I11,0))</formula>
    </cfRule>
  </conditionalFormatting>
  <conditionalFormatting sqref="E12">
    <cfRule type="expression" dxfId="2" priority="93">
      <formula>AND(ISBLANK(D12),ISBLANK(L12))</formula>
    </cfRule>
    <cfRule type="expression" dxfId="1" priority="94">
      <formula>IF(SUM(H12)=0,1,0)</formula>
    </cfRule>
    <cfRule type="cellIs" dxfId="0" priority="95" operator="greaterThan">
      <formula>SUM(H12)</formula>
    </cfRule>
    <cfRule type="cellIs" dxfId="3" priority="96" operator="greaterThan">
      <formula>SUM(IF(ISNUMBER(J12),I12,0))</formula>
    </cfRule>
  </conditionalFormatting>
  <conditionalFormatting sqref="E13">
    <cfRule type="expression" dxfId="2" priority="97">
      <formula>AND(ISBLANK(D13),ISBLANK(L13))</formula>
    </cfRule>
    <cfRule type="expression" dxfId="1" priority="98">
      <formula>IF(SUM(H13)=0,1,0)</formula>
    </cfRule>
    <cfRule type="cellIs" dxfId="0" priority="99" operator="greaterThan">
      <formula>SUM(H13)</formula>
    </cfRule>
    <cfRule type="cellIs" dxfId="3" priority="100" operator="greaterThan">
      <formula>SUM(IF(ISNUMBER(J13),I13,0))</formula>
    </cfRule>
  </conditionalFormatting>
  <conditionalFormatting sqref="E14">
    <cfRule type="expression" dxfId="2" priority="101">
      <formula>AND(ISBLANK(D14),ISBLANK(L14))</formula>
    </cfRule>
    <cfRule type="expression" dxfId="1" priority="102">
      <formula>IF(SUM(H14)=0,1,0)</formula>
    </cfRule>
    <cfRule type="cellIs" dxfId="0" priority="103" operator="greaterThan">
      <formula>SUM(H14)</formula>
    </cfRule>
    <cfRule type="cellIs" dxfId="3" priority="104" operator="greaterThan">
      <formula>SUM(IF(ISNUMBER(J14),I14,0))</formula>
    </cfRule>
  </conditionalFormatting>
  <conditionalFormatting sqref="E15">
    <cfRule type="expression" dxfId="2" priority="105">
      <formula>AND(ISBLANK(D15),ISBLANK(L15))</formula>
    </cfRule>
    <cfRule type="expression" dxfId="1" priority="106">
      <formula>IF(SUM(H15)=0,1,0)</formula>
    </cfRule>
    <cfRule type="cellIs" dxfId="0" priority="107" operator="greaterThan">
      <formula>SUM(H15)</formula>
    </cfRule>
    <cfRule type="cellIs" dxfId="3" priority="108" operator="greaterThan">
      <formula>SUM(IF(ISNUMBER(J15),I15,0))</formula>
    </cfRule>
  </conditionalFormatting>
  <conditionalFormatting sqref="E16">
    <cfRule type="expression" dxfId="2" priority="109">
      <formula>AND(ISBLANK(D16),ISBLANK(L16))</formula>
    </cfRule>
    <cfRule type="expression" dxfId="1" priority="110">
      <formula>IF(SUM(H16)=0,1,0)</formula>
    </cfRule>
    <cfRule type="cellIs" dxfId="0" priority="111" operator="greaterThan">
      <formula>SUM(H16)</formula>
    </cfRule>
    <cfRule type="cellIs" dxfId="3" priority="112" operator="greaterThan">
      <formula>SUM(IF(ISNUMBER(J16),I16,0))</formula>
    </cfRule>
  </conditionalFormatting>
  <conditionalFormatting sqref="E17">
    <cfRule type="expression" dxfId="2" priority="113">
      <formula>AND(ISBLANK(D17),ISBLANK(L17))</formula>
    </cfRule>
    <cfRule type="expression" dxfId="1" priority="114">
      <formula>IF(SUM(H17)=0,1,0)</formula>
    </cfRule>
    <cfRule type="cellIs" dxfId="0" priority="115" operator="greaterThan">
      <formula>SUM(H17)</formula>
    </cfRule>
    <cfRule type="cellIs" dxfId="3" priority="116" operator="greaterThan">
      <formula>SUM(IF(ISNUMBER(J17),I17,0))</formula>
    </cfRule>
  </conditionalFormatting>
  <conditionalFormatting sqref="E18">
    <cfRule type="expression" dxfId="2" priority="117">
      <formula>AND(ISBLANK(D18),ISBLANK(L18))</formula>
    </cfRule>
    <cfRule type="expression" dxfId="1" priority="118">
      <formula>IF(SUM(H18)=0,1,0)</formula>
    </cfRule>
    <cfRule type="cellIs" dxfId="0" priority="119" operator="greaterThan">
      <formula>SUM(H18)</formula>
    </cfRule>
    <cfRule type="cellIs" dxfId="3" priority="120" operator="greaterThan">
      <formula>SUM(IF(ISNUMBER(J18),I18,0))</formula>
    </cfRule>
  </conditionalFormatting>
  <conditionalFormatting sqref="E19">
    <cfRule type="expression" dxfId="2" priority="121">
      <formula>AND(ISBLANK(D19),ISBLANK(L19))</formula>
    </cfRule>
    <cfRule type="expression" dxfId="1" priority="122">
      <formula>IF(SUM(H19)=0,1,0)</formula>
    </cfRule>
    <cfRule type="cellIs" dxfId="0" priority="123" operator="greaterThan">
      <formula>SUM(H19)</formula>
    </cfRule>
    <cfRule type="cellIs" dxfId="3" priority="124" operator="greaterThan">
      <formula>SUM(IF(ISNUMBER(J19),I19,0))</formula>
    </cfRule>
  </conditionalFormatting>
  <conditionalFormatting sqref="E20">
    <cfRule type="expression" dxfId="2" priority="125">
      <formula>AND(ISBLANK(D20),ISBLANK(L20))</formula>
    </cfRule>
    <cfRule type="expression" dxfId="1" priority="126">
      <formula>IF(SUM(H20)=0,1,0)</formula>
    </cfRule>
    <cfRule type="cellIs" dxfId="0" priority="127" operator="greaterThan">
      <formula>SUM(H20)</formula>
    </cfRule>
    <cfRule type="cellIs" dxfId="3" priority="128" operator="greaterThan">
      <formula>SUM(IF(ISNUMBER(J20),I20,0))</formula>
    </cfRule>
  </conditionalFormatting>
  <conditionalFormatting sqref="E21">
    <cfRule type="expression" dxfId="2" priority="129">
      <formula>AND(ISBLANK(D21),ISBLANK(L21))</formula>
    </cfRule>
    <cfRule type="expression" dxfId="1" priority="130">
      <formula>IF(SUM(H21)=0,1,0)</formula>
    </cfRule>
    <cfRule type="cellIs" dxfId="0" priority="131" operator="greaterThan">
      <formula>SUM(H21)</formula>
    </cfRule>
    <cfRule type="cellIs" dxfId="3" priority="132" operator="greaterThan">
      <formula>SUM(IF(ISNUMBER(J21),I21,0))</formula>
    </cfRule>
  </conditionalFormatting>
  <conditionalFormatting sqref="E22">
    <cfRule type="expression" dxfId="2" priority="133">
      <formula>AND(ISBLANK(D22),ISBLANK(L22))</formula>
    </cfRule>
    <cfRule type="expression" dxfId="1" priority="134">
      <formula>IF(SUM(H22)=0,1,0)</formula>
    </cfRule>
    <cfRule type="cellIs" dxfId="0" priority="135" operator="greaterThan">
      <formula>SUM(H22)</formula>
    </cfRule>
    <cfRule type="cellIs" dxfId="3" priority="136" operator="greaterThan">
      <formula>SUM(IF(ISNUMBER(J22),I22,0))</formula>
    </cfRule>
  </conditionalFormatting>
  <conditionalFormatting sqref="E23">
    <cfRule type="expression" dxfId="2" priority="137">
      <formula>AND(ISBLANK(D23),ISBLANK(L23))</formula>
    </cfRule>
    <cfRule type="expression" dxfId="1" priority="138">
      <formula>IF(SUM(H23)=0,1,0)</formula>
    </cfRule>
    <cfRule type="cellIs" dxfId="0" priority="139" operator="greaterThan">
      <formula>SUM(H23)</formula>
    </cfRule>
    <cfRule type="cellIs" dxfId="3" priority="140" operator="greaterThan">
      <formula>SUM(IF(ISNUMBER(J23),I23,0))</formula>
    </cfRule>
  </conditionalFormatting>
  <conditionalFormatting sqref="E24">
    <cfRule type="expression" dxfId="2" priority="141">
      <formula>AND(ISBLANK(D24),ISBLANK(L24))</formula>
    </cfRule>
    <cfRule type="expression" dxfId="1" priority="142">
      <formula>IF(SUM(H24)=0,1,0)</formula>
    </cfRule>
    <cfRule type="cellIs" dxfId="0" priority="143" operator="greaterThan">
      <formula>SUM(H24)</formula>
    </cfRule>
    <cfRule type="cellIs" dxfId="3" priority="144" operator="greaterThan">
      <formula>SUM(IF(ISNUMBER(J24),I24,0))</formula>
    </cfRule>
  </conditionalFormatting>
  <conditionalFormatting sqref="E25">
    <cfRule type="expression" dxfId="2" priority="145">
      <formula>AND(ISBLANK(D25),ISBLANK(L25))</formula>
    </cfRule>
    <cfRule type="expression" dxfId="1" priority="146">
      <formula>IF(SUM(H25)=0,1,0)</formula>
    </cfRule>
    <cfRule type="cellIs" dxfId="0" priority="147" operator="greaterThan">
      <formula>SUM(H25)</formula>
    </cfRule>
    <cfRule type="cellIs" dxfId="3" priority="148" operator="greaterThan">
      <formula>SUM(IF(ISNUMBER(J25),I25,0))</formula>
    </cfRule>
  </conditionalFormatting>
  <conditionalFormatting sqref="E26">
    <cfRule type="expression" dxfId="2" priority="149">
      <formula>AND(ISBLANK(D26),ISBLANK(L26))</formula>
    </cfRule>
    <cfRule type="expression" dxfId="1" priority="150">
      <formula>IF(SUM(H26)=0,1,0)</formula>
    </cfRule>
    <cfRule type="cellIs" dxfId="0" priority="151" operator="greaterThan">
      <formula>SUM(H26)</formula>
    </cfRule>
    <cfRule type="cellIs" dxfId="3" priority="152" operator="greaterThan">
      <formula>SUM(IF(ISNUMBER(J26),I26,0))</formula>
    </cfRule>
  </conditionalFormatting>
  <conditionalFormatting sqref="E27">
    <cfRule type="expression" dxfId="2" priority="153">
      <formula>AND(ISBLANK(D27),ISBLANK(L27))</formula>
    </cfRule>
    <cfRule type="expression" dxfId="1" priority="154">
      <formula>IF(SUM(H27)=0,1,0)</formula>
    </cfRule>
    <cfRule type="cellIs" dxfId="0" priority="155" operator="greaterThan">
      <formula>SUM(H27)</formula>
    </cfRule>
    <cfRule type="cellIs" dxfId="3" priority="156" operator="greaterThan">
      <formula>SUM(IF(ISNUMBER(J27),I27,0))</formula>
    </cfRule>
  </conditionalFormatting>
  <conditionalFormatting sqref="E28">
    <cfRule type="expression" dxfId="2" priority="157">
      <formula>AND(ISBLANK(D28),ISBLANK(L28))</formula>
    </cfRule>
    <cfRule type="expression" dxfId="1" priority="158">
      <formula>IF(SUM(H28)=0,1,0)</formula>
    </cfRule>
    <cfRule type="cellIs" dxfId="0" priority="159" operator="greaterThan">
      <formula>SUM(H28)</formula>
    </cfRule>
    <cfRule type="cellIs" dxfId="3" priority="160" operator="greaterThan">
      <formula>SUM(IF(ISNUMBER(J28),I28,0))</formula>
    </cfRule>
  </conditionalFormatting>
  <conditionalFormatting sqref="E29">
    <cfRule type="expression" dxfId="2" priority="161">
      <formula>AND(ISBLANK(D29),ISBLANK(L29))</formula>
    </cfRule>
    <cfRule type="expression" dxfId="1" priority="162">
      <formula>IF(SUM(H29)=0,1,0)</formula>
    </cfRule>
    <cfRule type="cellIs" dxfId="0" priority="163" operator="greaterThan">
      <formula>SUM(H29)</formula>
    </cfRule>
    <cfRule type="cellIs" dxfId="3" priority="164" operator="greaterThan">
      <formula>SUM(IF(ISNUMBER(J29),I29,0))</formula>
    </cfRule>
  </conditionalFormatting>
  <conditionalFormatting sqref="E30">
    <cfRule type="expression" dxfId="2" priority="165">
      <formula>AND(ISBLANK(D30),ISBLANK(L30))</formula>
    </cfRule>
    <cfRule type="expression" dxfId="1" priority="166">
      <formula>IF(SUM(H30)=0,1,0)</formula>
    </cfRule>
    <cfRule type="cellIs" dxfId="0" priority="167" operator="greaterThan">
      <formula>SUM(H30)</formula>
    </cfRule>
    <cfRule type="cellIs" dxfId="3" priority="168" operator="greaterThan">
      <formula>SUM(IF(ISNUMBER(J30),I30,0))</formula>
    </cfRule>
  </conditionalFormatting>
  <conditionalFormatting sqref="E31">
    <cfRule type="expression" dxfId="2" priority="169">
      <formula>AND(ISBLANK(D31),ISBLANK(L31))</formula>
    </cfRule>
    <cfRule type="expression" dxfId="1" priority="170">
      <formula>IF(SUM(H31)=0,1,0)</formula>
    </cfRule>
    <cfRule type="cellIs" dxfId="0" priority="171" operator="greaterThan">
      <formula>SUM(H31)</formula>
    </cfRule>
    <cfRule type="cellIs" dxfId="3" priority="172" operator="greaterThan">
      <formula>SUM(IF(ISNUMBER(J31),I31,0))</formula>
    </cfRule>
  </conditionalFormatting>
  <conditionalFormatting sqref="E32">
    <cfRule type="expression" dxfId="2" priority="173">
      <formula>AND(ISBLANK(D32),ISBLANK(L32))</formula>
    </cfRule>
    <cfRule type="expression" dxfId="1" priority="174">
      <formula>IF(SUM(H32)=0,1,0)</formula>
    </cfRule>
    <cfRule type="cellIs" dxfId="0" priority="175" operator="greaterThan">
      <formula>SUM(H32)</formula>
    </cfRule>
    <cfRule type="cellIs" dxfId="3" priority="176" operator="greaterThan">
      <formula>SUM(IF(ISNUMBER(J32),I32,0))</formula>
    </cfRule>
  </conditionalFormatting>
  <conditionalFormatting sqref="E33">
    <cfRule type="expression" dxfId="2" priority="177">
      <formula>AND(ISBLANK(D33),ISBLANK(L33))</formula>
    </cfRule>
    <cfRule type="expression" dxfId="1" priority="178">
      <formula>IF(SUM(H33)=0,1,0)</formula>
    </cfRule>
    <cfRule type="cellIs" dxfId="0" priority="179" operator="greaterThan">
      <formula>SUM(H33)</formula>
    </cfRule>
    <cfRule type="cellIs" dxfId="3" priority="180" operator="greaterThan">
      <formula>SUM(IF(ISNUMBER(J33),I33,0))</formula>
    </cfRule>
  </conditionalFormatting>
  <conditionalFormatting sqref="E34">
    <cfRule type="expression" dxfId="2" priority="181">
      <formula>AND(ISBLANK(D34),ISBLANK(L34))</formula>
    </cfRule>
    <cfRule type="expression" dxfId="1" priority="182">
      <formula>IF(SUM(H34)=0,1,0)</formula>
    </cfRule>
    <cfRule type="cellIs" dxfId="0" priority="183" operator="greaterThan">
      <formula>SUM(H34)</formula>
    </cfRule>
    <cfRule type="cellIs" dxfId="3" priority="184" operator="greaterThan">
      <formula>SUM(IF(ISNUMBER(J34),I34,0))</formula>
    </cfRule>
  </conditionalFormatting>
  <conditionalFormatting sqref="E35">
    <cfRule type="expression" dxfId="2" priority="185">
      <formula>AND(ISBLANK(D35),ISBLANK(L35))</formula>
    </cfRule>
    <cfRule type="expression" dxfId="1" priority="186">
      <formula>IF(SUM(H35)=0,1,0)</formula>
    </cfRule>
    <cfRule type="cellIs" dxfId="0" priority="187" operator="greaterThan">
      <formula>SUM(H35)</formula>
    </cfRule>
    <cfRule type="cellIs" dxfId="3" priority="188" operator="greaterThan">
      <formula>SUM(IF(ISNUMBER(J35),I35,0))</formula>
    </cfRule>
  </conditionalFormatting>
  <conditionalFormatting sqref="E36">
    <cfRule type="expression" dxfId="2" priority="189">
      <formula>AND(ISBLANK(D36),ISBLANK(L36))</formula>
    </cfRule>
    <cfRule type="expression" dxfId="1" priority="190">
      <formula>IF(SUM(H36)=0,1,0)</formula>
    </cfRule>
    <cfRule type="cellIs" dxfId="0" priority="191" operator="greaterThan">
      <formula>SUM(H36)</formula>
    </cfRule>
    <cfRule type="cellIs" dxfId="3" priority="192" operator="greaterThan">
      <formula>SUM(IF(ISNUMBER(J36),I36,0))</formula>
    </cfRule>
  </conditionalFormatting>
  <conditionalFormatting sqref="E37">
    <cfRule type="expression" dxfId="2" priority="193">
      <formula>AND(ISBLANK(D37),ISBLANK(L37))</formula>
    </cfRule>
    <cfRule type="expression" dxfId="1" priority="194">
      <formula>IF(SUM(H37)=0,1,0)</formula>
    </cfRule>
    <cfRule type="cellIs" dxfId="0" priority="195" operator="greaterThan">
      <formula>SUM(H37)</formula>
    </cfRule>
    <cfRule type="cellIs" dxfId="3" priority="196" operator="greaterThan">
      <formula>SUM(IF(ISNUMBER(J37),I37,0))</formula>
    </cfRule>
  </conditionalFormatting>
  <conditionalFormatting sqref="E38">
    <cfRule type="expression" dxfId="2" priority="197">
      <formula>AND(ISBLANK(D38),ISBLANK(L38))</formula>
    </cfRule>
    <cfRule type="expression" dxfId="1" priority="198">
      <formula>IF(SUM(H38)=0,1,0)</formula>
    </cfRule>
    <cfRule type="cellIs" dxfId="0" priority="199" operator="greaterThan">
      <formula>SUM(H38)</formula>
    </cfRule>
    <cfRule type="cellIs" dxfId="3" priority="200" operator="greaterThan">
      <formula>SUM(IF(ISNUMBER(J38),I38,0))</formula>
    </cfRule>
  </conditionalFormatting>
  <conditionalFormatting sqref="E39">
    <cfRule type="expression" dxfId="2" priority="201">
      <formula>AND(ISBLANK(D39),ISBLANK(L39))</formula>
    </cfRule>
    <cfRule type="expression" dxfId="1" priority="202">
      <formula>IF(SUM(H39)=0,1,0)</formula>
    </cfRule>
    <cfRule type="cellIs" dxfId="0" priority="203" operator="greaterThan">
      <formula>SUM(H39)</formula>
    </cfRule>
    <cfRule type="cellIs" dxfId="3" priority="204" operator="greaterThan">
      <formula>SUM(IF(ISNUMBER(J39),I39,0))</formula>
    </cfRule>
  </conditionalFormatting>
  <conditionalFormatting sqref="E40">
    <cfRule type="expression" dxfId="2" priority="205">
      <formula>AND(ISBLANK(D40),ISBLANK(L40))</formula>
    </cfRule>
    <cfRule type="expression" dxfId="1" priority="206">
      <formula>IF(SUM(H40)=0,1,0)</formula>
    </cfRule>
    <cfRule type="cellIs" dxfId="0" priority="207" operator="greaterThan">
      <formula>SUM(H40)</formula>
    </cfRule>
    <cfRule type="cellIs" dxfId="3" priority="208" operator="greaterThan">
      <formula>SUM(IF(ISNUMBER(J40),I40,0))</formula>
    </cfRule>
  </conditionalFormatting>
  <conditionalFormatting sqref="E41">
    <cfRule type="expression" dxfId="2" priority="209">
      <formula>AND(ISBLANK(D41),ISBLANK(L41))</formula>
    </cfRule>
    <cfRule type="expression" dxfId="1" priority="210">
      <formula>IF(SUM(H41)=0,1,0)</formula>
    </cfRule>
    <cfRule type="cellIs" dxfId="0" priority="211" operator="greaterThan">
      <formula>SUM(H41)</formula>
    </cfRule>
    <cfRule type="cellIs" dxfId="3" priority="212" operator="greaterThan">
      <formula>SUM(IF(ISNUMBER(J41),I41,0))</formula>
    </cfRule>
  </conditionalFormatting>
  <conditionalFormatting sqref="E42">
    <cfRule type="expression" dxfId="2" priority="213">
      <formula>AND(ISBLANK(D42),ISBLANK(L42))</formula>
    </cfRule>
    <cfRule type="expression" dxfId="1" priority="214">
      <formula>IF(SUM(H42)=0,1,0)</formula>
    </cfRule>
    <cfRule type="cellIs" dxfId="0" priority="215" operator="greaterThan">
      <formula>SUM(H42)</formula>
    </cfRule>
    <cfRule type="cellIs" dxfId="3" priority="216" operator="greaterThan">
      <formula>SUM(IF(ISNUMBER(J42),I42,0))</formula>
    </cfRule>
  </conditionalFormatting>
  <conditionalFormatting sqref="E43">
    <cfRule type="expression" dxfId="2" priority="217">
      <formula>AND(ISBLANK(D43),ISBLANK(L43))</formula>
    </cfRule>
    <cfRule type="expression" dxfId="1" priority="218">
      <formula>IF(SUM(H43)=0,1,0)</formula>
    </cfRule>
    <cfRule type="cellIs" dxfId="0" priority="219" operator="greaterThan">
      <formula>SUM(H43)</formula>
    </cfRule>
    <cfRule type="cellIs" dxfId="3" priority="220" operator="greaterThan">
      <formula>SUM(IF(ISNUMBER(J43),I43,0))</formula>
    </cfRule>
  </conditionalFormatting>
  <conditionalFormatting sqref="E7">
    <cfRule type="expression" dxfId="2" priority="73">
      <formula>AND(ISBLANK(D7),ISBLANK(L7))</formula>
    </cfRule>
    <cfRule type="expression" dxfId="1" priority="74">
      <formula>IF(SUM(H7)=0,1,0)</formula>
    </cfRule>
    <cfRule type="cellIs" dxfId="0" priority="75" operator="greaterThan">
      <formula>SUM(H7)</formula>
    </cfRule>
    <cfRule type="cellIs" dxfId="3" priority="76" operator="greaterThan">
      <formula>SUM(IF(ISNUMBER(J7),I7,0))</formula>
    </cfRule>
  </conditionalFormatting>
  <conditionalFormatting sqref="E8">
    <cfRule type="expression" dxfId="2" priority="77">
      <formula>AND(ISBLANK(D8),ISBLANK(L8))</formula>
    </cfRule>
    <cfRule type="expression" dxfId="1" priority="78">
      <formula>IF(SUM(H8)=0,1,0)</formula>
    </cfRule>
    <cfRule type="cellIs" dxfId="0" priority="79" operator="greaterThan">
      <formula>SUM(H8)</formula>
    </cfRule>
    <cfRule type="cellIs" dxfId="3" priority="80" operator="greaterThan">
      <formula>SUM(IF(ISNUMBER(J8),I8,0))</formula>
    </cfRule>
  </conditionalFormatting>
  <conditionalFormatting sqref="E9">
    <cfRule type="expression" dxfId="2" priority="81">
      <formula>AND(ISBLANK(D9),ISBLANK(L9))</formula>
    </cfRule>
    <cfRule type="expression" dxfId="1" priority="82">
      <formula>IF(SUM(H9)=0,1,0)</formula>
    </cfRule>
    <cfRule type="cellIs" dxfId="0" priority="83" operator="greaterThan">
      <formula>SUM(H9)</formula>
    </cfRule>
    <cfRule type="cellIs" dxfId="3" priority="84" operator="greaterThan">
      <formula>SUM(IF(ISNUMBER(J9),I9,0))</formula>
    </cfRule>
  </conditionalFormatting>
  <conditionalFormatting sqref="H10">
    <cfRule type="cellIs" dxfId="0" priority="7" operator="lessThan">
      <formula>E10</formula>
    </cfRule>
  </conditionalFormatting>
  <conditionalFormatting sqref="H11">
    <cfRule type="cellIs" dxfId="0" priority="9" operator="lessThan">
      <formula>E11</formula>
    </cfRule>
  </conditionalFormatting>
  <conditionalFormatting sqref="H12">
    <cfRule type="cellIs" dxfId="0" priority="11" operator="lessThan">
      <formula>E12</formula>
    </cfRule>
  </conditionalFormatting>
  <conditionalFormatting sqref="H14">
    <cfRule type="cellIs" dxfId="0" priority="13" operator="lessThan">
      <formula>E14</formula>
    </cfRule>
  </conditionalFormatting>
  <conditionalFormatting sqref="H15">
    <cfRule type="cellIs" dxfId="0" priority="15" operator="lessThan">
      <formula>E15</formula>
    </cfRule>
  </conditionalFormatting>
  <conditionalFormatting sqref="H16">
    <cfRule type="cellIs" dxfId="0" priority="17" operator="lessThan">
      <formula>E16</formula>
    </cfRule>
  </conditionalFormatting>
  <conditionalFormatting sqref="H17">
    <cfRule type="cellIs" dxfId="0" priority="19" operator="lessThan">
      <formula>E17</formula>
    </cfRule>
  </conditionalFormatting>
  <conditionalFormatting sqref="H18">
    <cfRule type="cellIs" dxfId="0" priority="21" operator="lessThan">
      <formula>E18</formula>
    </cfRule>
  </conditionalFormatting>
  <conditionalFormatting sqref="H19">
    <cfRule type="cellIs" dxfId="0" priority="23" operator="lessThan">
      <formula>E19</formula>
    </cfRule>
  </conditionalFormatting>
  <conditionalFormatting sqref="H20">
    <cfRule type="cellIs" dxfId="0" priority="25" operator="lessThan">
      <formula>E20</formula>
    </cfRule>
  </conditionalFormatting>
  <conditionalFormatting sqref="H21">
    <cfRule type="cellIs" dxfId="0" priority="27" operator="lessThan">
      <formula>E21</formula>
    </cfRule>
  </conditionalFormatting>
  <conditionalFormatting sqref="H22">
    <cfRule type="cellIs" dxfId="0" priority="29" operator="lessThan">
      <formula>E22</formula>
    </cfRule>
  </conditionalFormatting>
  <conditionalFormatting sqref="H23">
    <cfRule type="cellIs" dxfId="0" priority="31" operator="lessThan">
      <formula>E23</formula>
    </cfRule>
  </conditionalFormatting>
  <conditionalFormatting sqref="H24">
    <cfRule type="cellIs" dxfId="0" priority="33" operator="lessThan">
      <formula>E24</formula>
    </cfRule>
  </conditionalFormatting>
  <conditionalFormatting sqref="H25">
    <cfRule type="cellIs" dxfId="0" priority="35" operator="lessThan">
      <formula>E25</formula>
    </cfRule>
  </conditionalFormatting>
  <conditionalFormatting sqref="H26">
    <cfRule type="cellIs" dxfId="0" priority="37" operator="lessThan">
      <formula>E26</formula>
    </cfRule>
  </conditionalFormatting>
  <conditionalFormatting sqref="H27">
    <cfRule type="cellIs" dxfId="0" priority="39" operator="lessThan">
      <formula>E27</formula>
    </cfRule>
  </conditionalFormatting>
  <conditionalFormatting sqref="H28">
    <cfRule type="cellIs" dxfId="0" priority="41" operator="lessThan">
      <formula>E28</formula>
    </cfRule>
  </conditionalFormatting>
  <conditionalFormatting sqref="H29">
    <cfRule type="cellIs" dxfId="0" priority="43" operator="lessThan">
      <formula>E29</formula>
    </cfRule>
  </conditionalFormatting>
  <conditionalFormatting sqref="H30">
    <cfRule type="cellIs" dxfId="0" priority="45" operator="lessThan">
      <formula>E30</formula>
    </cfRule>
  </conditionalFormatting>
  <conditionalFormatting sqref="H31">
    <cfRule type="cellIs" dxfId="0" priority="47" operator="lessThan">
      <formula>E31</formula>
    </cfRule>
  </conditionalFormatting>
  <conditionalFormatting sqref="H32">
    <cfRule type="cellIs" dxfId="0" priority="49" operator="lessThan">
      <formula>E32</formula>
    </cfRule>
  </conditionalFormatting>
  <conditionalFormatting sqref="H33">
    <cfRule type="cellIs" dxfId="0" priority="51" operator="lessThan">
      <formula>E33</formula>
    </cfRule>
  </conditionalFormatting>
  <conditionalFormatting sqref="H34">
    <cfRule type="cellIs" dxfId="0" priority="53" operator="lessThan">
      <formula>E34</formula>
    </cfRule>
  </conditionalFormatting>
  <conditionalFormatting sqref="H35">
    <cfRule type="cellIs" dxfId="0" priority="55" operator="lessThan">
      <formula>E35</formula>
    </cfRule>
  </conditionalFormatting>
  <conditionalFormatting sqref="H36">
    <cfRule type="cellIs" dxfId="0" priority="57" operator="lessThan">
      <formula>E36</formula>
    </cfRule>
  </conditionalFormatting>
  <conditionalFormatting sqref="H37">
    <cfRule type="cellIs" dxfId="0" priority="59" operator="lessThan">
      <formula>E37</formula>
    </cfRule>
  </conditionalFormatting>
  <conditionalFormatting sqref="H38">
    <cfRule type="cellIs" dxfId="0" priority="61" operator="lessThan">
      <formula>E38</formula>
    </cfRule>
  </conditionalFormatting>
  <conditionalFormatting sqref="H39">
    <cfRule type="cellIs" dxfId="0" priority="63" operator="lessThan">
      <formula>E39</formula>
    </cfRule>
  </conditionalFormatting>
  <conditionalFormatting sqref="H40">
    <cfRule type="cellIs" dxfId="0" priority="65" operator="lessThan">
      <formula>E40</formula>
    </cfRule>
  </conditionalFormatting>
  <conditionalFormatting sqref="H41">
    <cfRule type="cellIs" dxfId="0" priority="67" operator="lessThan">
      <formula>E41</formula>
    </cfRule>
  </conditionalFormatting>
  <conditionalFormatting sqref="H42">
    <cfRule type="cellIs" dxfId="0" priority="69" operator="lessThan">
      <formula>E42</formula>
    </cfRule>
  </conditionalFormatting>
  <conditionalFormatting sqref="H43">
    <cfRule type="cellIs" dxfId="0" priority="71" operator="lessThan">
      <formula>E43</formula>
    </cfRule>
  </conditionalFormatting>
  <conditionalFormatting sqref="H7">
    <cfRule type="cellIs" dxfId="0" priority="1" operator="lessThan">
      <formula>E7</formula>
    </cfRule>
  </conditionalFormatting>
  <conditionalFormatting sqref="H8">
    <cfRule type="cellIs" dxfId="0" priority="3" operator="lessThan">
      <formula>E8</formula>
    </cfRule>
  </conditionalFormatting>
  <conditionalFormatting sqref="H9">
    <cfRule type="cellIs" dxfId="0" priority="5" operator="lessThan">
      <formula>E9</formula>
    </cfRule>
  </conditionalFormatting>
  <conditionalFormatting sqref="I10">
    <cfRule type="expression" dxfId="1" priority="8">
      <formula>AND(NOT(ISBLANK(I10)),OR(H10="NonStk",I10&gt;H10))</formula>
    </cfRule>
  </conditionalFormatting>
  <conditionalFormatting sqref="I11">
    <cfRule type="expression" dxfId="1" priority="10">
      <formula>AND(NOT(ISBLANK(I11)),OR(H11="NonStk",I11&gt;H11))</formula>
    </cfRule>
  </conditionalFormatting>
  <conditionalFormatting sqref="I12">
    <cfRule type="expression" dxfId="1" priority="12">
      <formula>AND(NOT(ISBLANK(I12)),OR(H12="NonStk",I12&gt;H12))</formula>
    </cfRule>
  </conditionalFormatting>
  <conditionalFormatting sqref="I14">
    <cfRule type="expression" dxfId="1" priority="14">
      <formula>AND(NOT(ISBLANK(I14)),OR(H14="NonStk",I14&gt;H14))</formula>
    </cfRule>
  </conditionalFormatting>
  <conditionalFormatting sqref="I15">
    <cfRule type="expression" dxfId="1" priority="16">
      <formula>AND(NOT(ISBLANK(I15)),OR(H15="NonStk",I15&gt;H15))</formula>
    </cfRule>
  </conditionalFormatting>
  <conditionalFormatting sqref="I16">
    <cfRule type="expression" dxfId="1" priority="18">
      <formula>AND(NOT(ISBLANK(I16)),OR(H16="NonStk",I16&gt;H16))</formula>
    </cfRule>
  </conditionalFormatting>
  <conditionalFormatting sqref="I17">
    <cfRule type="expression" dxfId="1" priority="20">
      <formula>AND(NOT(ISBLANK(I17)),OR(H17="NonStk",I17&gt;H17))</formula>
    </cfRule>
  </conditionalFormatting>
  <conditionalFormatting sqref="I18">
    <cfRule type="expression" dxfId="1" priority="22">
      <formula>AND(NOT(ISBLANK(I18)),OR(H18="NonStk",I18&gt;H18))</formula>
    </cfRule>
  </conditionalFormatting>
  <conditionalFormatting sqref="I19">
    <cfRule type="expression" dxfId="1" priority="24">
      <formula>AND(NOT(ISBLANK(I19)),OR(H19="NonStk",I19&gt;H19))</formula>
    </cfRule>
  </conditionalFormatting>
  <conditionalFormatting sqref="I20">
    <cfRule type="expression" dxfId="1" priority="26">
      <formula>AND(NOT(ISBLANK(I20)),OR(H20="NonStk",I20&gt;H20))</formula>
    </cfRule>
  </conditionalFormatting>
  <conditionalFormatting sqref="I21">
    <cfRule type="expression" dxfId="1" priority="28">
      <formula>AND(NOT(ISBLANK(I21)),OR(H21="NonStk",I21&gt;H21))</formula>
    </cfRule>
  </conditionalFormatting>
  <conditionalFormatting sqref="I22">
    <cfRule type="expression" dxfId="1" priority="30">
      <formula>AND(NOT(ISBLANK(I22)),OR(H22="NonStk",I22&gt;H22))</formula>
    </cfRule>
  </conditionalFormatting>
  <conditionalFormatting sqref="I23">
    <cfRule type="expression" dxfId="1" priority="32">
      <formula>AND(NOT(ISBLANK(I23)),OR(H23="NonStk",I23&gt;H23))</formula>
    </cfRule>
  </conditionalFormatting>
  <conditionalFormatting sqref="I24">
    <cfRule type="expression" dxfId="1" priority="34">
      <formula>AND(NOT(ISBLANK(I24)),OR(H24="NonStk",I24&gt;H24))</formula>
    </cfRule>
  </conditionalFormatting>
  <conditionalFormatting sqref="I25">
    <cfRule type="expression" dxfId="1" priority="36">
      <formula>AND(NOT(ISBLANK(I25)),OR(H25="NonStk",I25&gt;H25))</formula>
    </cfRule>
  </conditionalFormatting>
  <conditionalFormatting sqref="I26">
    <cfRule type="expression" dxfId="1" priority="38">
      <formula>AND(NOT(ISBLANK(I26)),OR(H26="NonStk",I26&gt;H26))</formula>
    </cfRule>
  </conditionalFormatting>
  <conditionalFormatting sqref="I27">
    <cfRule type="expression" dxfId="1" priority="40">
      <formula>AND(NOT(ISBLANK(I27)),OR(H27="NonStk",I27&gt;H27))</formula>
    </cfRule>
  </conditionalFormatting>
  <conditionalFormatting sqref="I28">
    <cfRule type="expression" dxfId="1" priority="42">
      <formula>AND(NOT(ISBLANK(I28)),OR(H28="NonStk",I28&gt;H28))</formula>
    </cfRule>
  </conditionalFormatting>
  <conditionalFormatting sqref="I29">
    <cfRule type="expression" dxfId="1" priority="44">
      <formula>AND(NOT(ISBLANK(I29)),OR(H29="NonStk",I29&gt;H29))</formula>
    </cfRule>
  </conditionalFormatting>
  <conditionalFormatting sqref="I30">
    <cfRule type="expression" dxfId="1" priority="46">
      <formula>AND(NOT(ISBLANK(I30)),OR(H30="NonStk",I30&gt;H30))</formula>
    </cfRule>
  </conditionalFormatting>
  <conditionalFormatting sqref="I31">
    <cfRule type="expression" dxfId="1" priority="48">
      <formula>AND(NOT(ISBLANK(I31)),OR(H31="NonStk",I31&gt;H31))</formula>
    </cfRule>
  </conditionalFormatting>
  <conditionalFormatting sqref="I32">
    <cfRule type="expression" dxfId="1" priority="50">
      <formula>AND(NOT(ISBLANK(I32)),OR(H32="NonStk",I32&gt;H32))</formula>
    </cfRule>
  </conditionalFormatting>
  <conditionalFormatting sqref="I33">
    <cfRule type="expression" dxfId="1" priority="52">
      <formula>AND(NOT(ISBLANK(I33)),OR(H33="NonStk",I33&gt;H33))</formula>
    </cfRule>
  </conditionalFormatting>
  <conditionalFormatting sqref="I34">
    <cfRule type="expression" dxfId="1" priority="54">
      <formula>AND(NOT(ISBLANK(I34)),OR(H34="NonStk",I34&gt;H34))</formula>
    </cfRule>
  </conditionalFormatting>
  <conditionalFormatting sqref="I35">
    <cfRule type="expression" dxfId="1" priority="56">
      <formula>AND(NOT(ISBLANK(I35)),OR(H35="NonStk",I35&gt;H35))</formula>
    </cfRule>
  </conditionalFormatting>
  <conditionalFormatting sqref="I36">
    <cfRule type="expression" dxfId="1" priority="58">
      <formula>AND(NOT(ISBLANK(I36)),OR(H36="NonStk",I36&gt;H36))</formula>
    </cfRule>
  </conditionalFormatting>
  <conditionalFormatting sqref="I37">
    <cfRule type="expression" dxfId="1" priority="60">
      <formula>AND(NOT(ISBLANK(I37)),OR(H37="NonStk",I37&gt;H37))</formula>
    </cfRule>
  </conditionalFormatting>
  <conditionalFormatting sqref="I38">
    <cfRule type="expression" dxfId="1" priority="62">
      <formula>AND(NOT(ISBLANK(I38)),OR(H38="NonStk",I38&gt;H38))</formula>
    </cfRule>
  </conditionalFormatting>
  <conditionalFormatting sqref="I39">
    <cfRule type="expression" dxfId="1" priority="64">
      <formula>AND(NOT(ISBLANK(I39)),OR(H39="NonStk",I39&gt;H39))</formula>
    </cfRule>
  </conditionalFormatting>
  <conditionalFormatting sqref="I40">
    <cfRule type="expression" dxfId="1" priority="66">
      <formula>AND(NOT(ISBLANK(I40)),OR(H40="NonStk",I40&gt;H40))</formula>
    </cfRule>
  </conditionalFormatting>
  <conditionalFormatting sqref="I41">
    <cfRule type="expression" dxfId="1" priority="68">
      <formula>AND(NOT(ISBLANK(I41)),OR(H41="NonStk",I41&gt;H41))</formula>
    </cfRule>
  </conditionalFormatting>
  <conditionalFormatting sqref="I42">
    <cfRule type="expression" dxfId="1" priority="70">
      <formula>AND(NOT(ISBLANK(I42)),OR(H42="NonStk",I42&gt;H42))</formula>
    </cfRule>
  </conditionalFormatting>
  <conditionalFormatting sqref="I43">
    <cfRule type="expression" dxfId="1" priority="72">
      <formula>AND(NOT(ISBLANK(I43)),OR(H43="NonStk",I43&gt;H43))</formula>
    </cfRule>
  </conditionalFormatting>
  <conditionalFormatting sqref="I7">
    <cfRule type="expression" dxfId="1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1" priority="6">
      <formula>AND(NOT(ISBLANK(I9)),OR(H9="NonStk",I9&gt;H9))</formula>
    </cfRule>
  </conditionalFormatting>
  <hyperlinks>
    <hyperlink ref="M7" r:id="rId1"/>
    <hyperlink ref="D8" r:id="rId2"/>
    <hyperlink ref="M8" r:id="rId3"/>
    <hyperlink ref="D9" r:id="rId4"/>
    <hyperlink ref="M9" r:id="rId5"/>
    <hyperlink ref="M10" r:id="rId6"/>
    <hyperlink ref="M11" r:id="rId7"/>
    <hyperlink ref="D12" r:id="rId8"/>
    <hyperlink ref="M12" r:id="rId9"/>
    <hyperlink ref="D13" r:id="rId10"/>
    <hyperlink ref="M13" r:id="rId11"/>
    <hyperlink ref="M14" r:id="rId12"/>
    <hyperlink ref="D15" r:id="rId13"/>
    <hyperlink ref="M15" r:id="rId14"/>
    <hyperlink ref="M16" r:id="rId15"/>
    <hyperlink ref="D17" r:id="rId16"/>
    <hyperlink ref="M17" r:id="rId17"/>
    <hyperlink ref="D18" r:id="rId18"/>
    <hyperlink ref="M18" r:id="rId19"/>
    <hyperlink ref="D19" r:id="rId20"/>
    <hyperlink ref="M19" r:id="rId21"/>
    <hyperlink ref="M20" r:id="rId22"/>
    <hyperlink ref="D21" r:id="rId23"/>
    <hyperlink ref="M21" r:id="rId24"/>
    <hyperlink ref="D22" r:id="rId25"/>
    <hyperlink ref="M22" r:id="rId26"/>
    <hyperlink ref="D23" r:id="rId27"/>
    <hyperlink ref="M23" r:id="rId28"/>
    <hyperlink ref="M24" r:id="rId29"/>
    <hyperlink ref="D25" r:id="rId30"/>
    <hyperlink ref="M25" r:id="rId31"/>
    <hyperlink ref="M26" r:id="rId32"/>
    <hyperlink ref="M27" r:id="rId33"/>
    <hyperlink ref="D28" r:id="rId34"/>
    <hyperlink ref="M28" r:id="rId35"/>
    <hyperlink ref="M29" r:id="rId36"/>
    <hyperlink ref="M30" r:id="rId37"/>
    <hyperlink ref="D31" r:id="rId38"/>
    <hyperlink ref="M31" r:id="rId39"/>
    <hyperlink ref="D32" r:id="rId40"/>
    <hyperlink ref="M32" r:id="rId41"/>
    <hyperlink ref="D33" r:id="rId42"/>
    <hyperlink ref="M33" r:id="rId43"/>
    <hyperlink ref="D34" r:id="rId44"/>
    <hyperlink ref="M34" r:id="rId45"/>
    <hyperlink ref="D35" r:id="rId46"/>
    <hyperlink ref="M35" r:id="rId47"/>
    <hyperlink ref="D36" r:id="rId48"/>
    <hyperlink ref="M36" r:id="rId49"/>
    <hyperlink ref="D37" r:id="rId50"/>
    <hyperlink ref="M37" r:id="rId51"/>
    <hyperlink ref="D38" r:id="rId52"/>
    <hyperlink ref="M38" r:id="rId53"/>
    <hyperlink ref="D39" r:id="rId54"/>
    <hyperlink ref="M39" r:id="rId55"/>
    <hyperlink ref="D40" r:id="rId56"/>
    <hyperlink ref="M40" r:id="rId57"/>
    <hyperlink ref="D41" r:id="rId58"/>
    <hyperlink ref="M41" r:id="rId59"/>
    <hyperlink ref="M42" r:id="rId60"/>
    <hyperlink ref="D43" r:id="rId61"/>
    <hyperlink ref="M43" r:id="rId62"/>
    <hyperlink ref="H45" r:id="rId63"/>
  </hyperlinks>
  <pageMargins left="0.7" right="0.7" top="0.75" bottom="0.75" header="0.3" footer="0.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kicost-bom</vt:lpstr>
      <vt:lpstr>'kicost-bom'!BoardQty</vt:lpstr>
      <vt:lpstr>'kicost-bom'!PURCHASE_DESCRIPTION</vt:lpstr>
      <vt:lpstr>'kicost-bom'!TotalCost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2025-03-12T15:26:13Z</dcterms:created>
  <dcterms:modified xsi:type="dcterms:W3CDTF">2025-03-12T15:26:13Z</dcterms:modified>
</cp:coreProperties>
</file>