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ima\Proton Drive\Srimaan\My files\Code\GitHub Repos\RCC_Designs_Excel\Beam\"/>
    </mc:Choice>
  </mc:AlternateContent>
  <xr:revisionPtr revIDLastSave="0" documentId="13_ncr:1_{547EAB6E-4BEF-42FF-B645-EB698ED01F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isc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5" i="1"/>
  <c r="B92" i="1"/>
  <c r="F2" i="2"/>
  <c r="B84" i="1"/>
  <c r="A86" i="1" s="1"/>
  <c r="B78" i="1"/>
  <c r="B80" i="1" s="1"/>
  <c r="B16" i="1"/>
  <c r="B20" i="1"/>
  <c r="B55" i="1"/>
  <c r="B62" i="1" s="1"/>
  <c r="B66" i="1" s="1"/>
  <c r="F3" i="2"/>
  <c r="F1" i="2"/>
  <c r="B22" i="1"/>
  <c r="B15" i="1" s="1"/>
  <c r="B94" i="1" l="1"/>
  <c r="A96" i="1" s="1"/>
  <c r="B25" i="1"/>
  <c r="B27" i="1" s="1"/>
  <c r="B57" i="1"/>
  <c r="B58" i="1" s="1"/>
  <c r="B82" i="1"/>
  <c r="A98" i="1"/>
  <c r="A94" i="1"/>
  <c r="B71" i="1"/>
  <c r="B30" i="1"/>
  <c r="B31" i="1" s="1"/>
  <c r="B35" i="1" s="1"/>
  <c r="B41" i="1" l="1"/>
  <c r="B40" i="1"/>
  <c r="B72" i="1"/>
  <c r="B64" i="1"/>
  <c r="G37" i="1"/>
  <c r="G36" i="1"/>
  <c r="G35" i="1"/>
  <c r="G34" i="1"/>
  <c r="G33" i="1"/>
  <c r="B26" i="1"/>
  <c r="B68" i="1"/>
  <c r="B37" i="1" l="1"/>
  <c r="A43" i="1"/>
</calcChain>
</file>

<file path=xl/sharedStrings.xml><?xml version="1.0" encoding="utf-8"?>
<sst xmlns="http://schemas.openxmlformats.org/spreadsheetml/2006/main" count="82" uniqueCount="71">
  <si>
    <t>Input Data</t>
  </si>
  <si>
    <t>Material</t>
  </si>
  <si>
    <t>Grade</t>
  </si>
  <si>
    <t>Size of Beam</t>
  </si>
  <si>
    <t>Width (Always Assume) (mm)</t>
  </si>
  <si>
    <t>Eff Cover (mm)</t>
  </si>
  <si>
    <t>Design Effects</t>
  </si>
  <si>
    <t>Limiting Values</t>
  </si>
  <si>
    <t>Moment of Resistance (M,u lim) (kNm)</t>
  </si>
  <si>
    <t>Depth of Neutral Axis (x,u lim) (mm)</t>
  </si>
  <si>
    <t>Area of Steel (A,st lim)</t>
  </si>
  <si>
    <t>Under Reinforced Section</t>
  </si>
  <si>
    <t>Balanced Section</t>
  </si>
  <si>
    <t>Concrete (N/mm2)</t>
  </si>
  <si>
    <t>Steel (N/mm2)</t>
  </si>
  <si>
    <t>a</t>
  </si>
  <si>
    <t>b</t>
  </si>
  <si>
    <t>c</t>
  </si>
  <si>
    <t>Depth of Neutral Axis (x,u) (mm)</t>
  </si>
  <si>
    <t>Area of Streel Required (A,st req) (mm)</t>
  </si>
  <si>
    <t>Shear Force (kN)</t>
  </si>
  <si>
    <t>Bending Moment (kNm)</t>
  </si>
  <si>
    <t>Final Design</t>
  </si>
  <si>
    <t>Area of Steel Provided</t>
  </si>
  <si>
    <t>Type of Section</t>
  </si>
  <si>
    <t>Number of Rebars Required</t>
  </si>
  <si>
    <t>25 mm</t>
  </si>
  <si>
    <t>32 mm</t>
  </si>
  <si>
    <t>No of Bars</t>
  </si>
  <si>
    <t>12 mm</t>
  </si>
  <si>
    <t>16 mm</t>
  </si>
  <si>
    <t>20 mm</t>
  </si>
  <si>
    <t>Check for Shear</t>
  </si>
  <si>
    <t>Maximum Shear Force (V,c max) (kN)</t>
  </si>
  <si>
    <r>
      <t>Maximum Shear Stress (</t>
    </r>
    <r>
      <rPr>
        <sz val="11"/>
        <color theme="1"/>
        <rFont val="Calibri"/>
        <family val="2"/>
      </rPr>
      <t>τ,c max) (N/mm2)</t>
    </r>
  </si>
  <si>
    <t>Check for Max Shear</t>
  </si>
  <si>
    <t>Design Shear Force of Concrete (kN)</t>
  </si>
  <si>
    <t>Grade of Steel used for Shear Reinforcement (N/mm2)</t>
  </si>
  <si>
    <t>Diameter of Shear Reinforcement (mm)</t>
  </si>
  <si>
    <t>Number of Legs in Shear Reinforcement</t>
  </si>
  <si>
    <t>Diameter of the Bar</t>
  </si>
  <si>
    <t>Number</t>
  </si>
  <si>
    <t>Eff Depth (mm) (Assume)</t>
  </si>
  <si>
    <t>Overall Depth (mm)</t>
  </si>
  <si>
    <t>For Deflection</t>
  </si>
  <si>
    <t>Based on Moment (for Balanced Section)</t>
  </si>
  <si>
    <t>Support Condition</t>
  </si>
  <si>
    <t>Cantilever</t>
  </si>
  <si>
    <t>Simply Supported</t>
  </si>
  <si>
    <t>Continous</t>
  </si>
  <si>
    <t>Effective Span (m)</t>
  </si>
  <si>
    <t>Eff Depth Required (mm)</t>
  </si>
  <si>
    <t>% Tension Reinforcement for Shear</t>
  </si>
  <si>
    <t>Design Shear Strength of Concrete (τ,c) (N/mm2)</t>
  </si>
  <si>
    <t>wrt Design BM</t>
  </si>
  <si>
    <t>wrt M,u Lim</t>
  </si>
  <si>
    <t>For Design BM</t>
  </si>
  <si>
    <t>For Required Steel</t>
  </si>
  <si>
    <t>Moment of Resistance (M,u) (kNm)</t>
  </si>
  <si>
    <t>Check For Moment</t>
  </si>
  <si>
    <t>% Utilization of the Section</t>
  </si>
  <si>
    <t>For Provided Steel</t>
  </si>
  <si>
    <t>wrt M,u lim</t>
  </si>
  <si>
    <t>Check for Moment</t>
  </si>
  <si>
    <t>M,u lim (kNm) (won't Change)</t>
  </si>
  <si>
    <t>x,u lim (mm) (won't Change)</t>
  </si>
  <si>
    <t>Area of Shear Reinforcement (A,sv) (mm2)</t>
  </si>
  <si>
    <t>Min Shear Force to be Carried by Shear Reinforcement (V,us) (kN)</t>
  </si>
  <si>
    <t>From Table 19</t>
  </si>
  <si>
    <t>k (for Eff Depth)</t>
  </si>
  <si>
    <t>% Utilization of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</si>
</sst>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6" fillId="0" borderId="3" applyNumberFormat="0" applyFill="0" applyAlignment="0" applyProtection="0"/>
    <xf numFmtId="0" fontId="5" fillId="3" borderId="0" applyNumberFormat="0" applyBorder="0" applyAlignment="0" applyProtection="0"/>
    <xf numFmtId="0" fontId="5" fillId="4" borderId="18" applyNumberFormat="0" applyFont="0" applyAlignment="0" applyProtection="0"/>
  </cellStyleXfs>
  <cellXfs count="46">
    <xf numFmtId="0" fontId="0" fillId="0" borderId="0" xfId="0"/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4" applyAlignment="1">
      <alignment horizontal="center" vertical="center"/>
    </xf>
    <xf numFmtId="0" fontId="2" fillId="2" borderId="2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5" fillId="3" borderId="4" xfId="4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9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18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3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6">
    <cellStyle name="20% - Accent1" xfId="4" builtinId="30"/>
    <cellStyle name="Heading 1" xfId="3" builtinId="16"/>
    <cellStyle name="Heading 2" xfId="1" builtinId="17"/>
    <cellStyle name="Input" xfId="2" builtinId="20"/>
    <cellStyle name="Normal" xfId="0" builtinId="0"/>
    <cellStyle name="Note" xfId="5" builtinId="1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29</xdr:row>
      <xdr:rowOff>171449</xdr:rowOff>
    </xdr:from>
    <xdr:to>
      <xdr:col>5</xdr:col>
      <xdr:colOff>28576</xdr:colOff>
      <xdr:row>31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A6BF71E-F1A7-5FB3-679C-E7537ED3B798}"/>
            </a:ext>
          </a:extLst>
        </xdr:cNvPr>
        <xdr:cNvSpPr/>
      </xdr:nvSpPr>
      <xdr:spPr>
        <a:xfrm>
          <a:off x="5314950" y="5762624"/>
          <a:ext cx="1914526" cy="238126"/>
        </a:xfrm>
        <a:prstGeom prst="rightArrow">
          <a:avLst>
            <a:gd name="adj1" fmla="val 50000"/>
            <a:gd name="adj2" fmla="val 50000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8"/>
  <sheetViews>
    <sheetView tabSelected="1" zoomScaleNormal="100" workbookViewId="0">
      <selection activeCell="B4" sqref="B4"/>
    </sheetView>
  </sheetViews>
  <sheetFormatPr defaultRowHeight="15" x14ac:dyDescent="0.25"/>
  <cols>
    <col min="1" max="1" width="70.7109375" style="4" customWidth="1"/>
    <col min="2" max="2" width="27.85546875" style="4" customWidth="1"/>
    <col min="3" max="3" width="14.85546875" style="4" customWidth="1"/>
    <col min="4" max="5" width="9.140625" style="4"/>
    <col min="6" max="6" width="26.140625" style="4" customWidth="1"/>
    <col min="7" max="9" width="9.140625" style="4"/>
    <col min="10" max="10" width="16" style="4" customWidth="1"/>
    <col min="11" max="16384" width="9.140625" style="4"/>
  </cols>
  <sheetData>
    <row r="1" spans="1:7" ht="18" thickBot="1" x14ac:dyDescent="0.3">
      <c r="A1" s="35" t="s">
        <v>0</v>
      </c>
      <c r="B1" s="35"/>
      <c r="F1" s="35" t="s">
        <v>6</v>
      </c>
      <c r="G1" s="35"/>
    </row>
    <row r="2" spans="1:7" ht="15.75" thickTop="1" x14ac:dyDescent="0.25"/>
    <row r="3" spans="1:7" x14ac:dyDescent="0.25">
      <c r="A3" s="5" t="s">
        <v>1</v>
      </c>
      <c r="B3" s="5" t="s">
        <v>2</v>
      </c>
      <c r="F3" s="6" t="s">
        <v>20</v>
      </c>
      <c r="G3" s="7">
        <v>183</v>
      </c>
    </row>
    <row r="4" spans="1:7" x14ac:dyDescent="0.25">
      <c r="A4" s="6" t="s">
        <v>13</v>
      </c>
      <c r="B4" s="7">
        <v>30</v>
      </c>
      <c r="F4" s="6" t="s">
        <v>21</v>
      </c>
      <c r="G4" s="7">
        <v>195</v>
      </c>
    </row>
    <row r="5" spans="1:7" x14ac:dyDescent="0.25">
      <c r="A5" s="6" t="s">
        <v>14</v>
      </c>
      <c r="B5" s="7">
        <v>500</v>
      </c>
    </row>
    <row r="7" spans="1:7" x14ac:dyDescent="0.25">
      <c r="A7" s="6" t="s">
        <v>50</v>
      </c>
      <c r="B7" s="7">
        <v>6.5</v>
      </c>
    </row>
    <row r="9" spans="1:7" x14ac:dyDescent="0.25">
      <c r="A9" s="6" t="s">
        <v>46</v>
      </c>
      <c r="B9" s="7" t="s">
        <v>48</v>
      </c>
    </row>
    <row r="11" spans="1:7" x14ac:dyDescent="0.25">
      <c r="A11" s="34" t="s">
        <v>3</v>
      </c>
      <c r="B11" s="34"/>
    </row>
    <row r="12" spans="1:7" x14ac:dyDescent="0.25">
      <c r="A12" s="6" t="s">
        <v>4</v>
      </c>
      <c r="B12" s="7">
        <v>300</v>
      </c>
    </row>
    <row r="14" spans="1:7" x14ac:dyDescent="0.25">
      <c r="A14" s="44" t="s">
        <v>51</v>
      </c>
      <c r="B14" s="45"/>
    </row>
    <row r="15" spans="1:7" x14ac:dyDescent="0.25">
      <c r="A15" s="14" t="s">
        <v>45</v>
      </c>
      <c r="B15" s="15">
        <f>SQRT((G4*10^6)/(0.36*B4*(1-0.42*B22)*B22*B12))</f>
        <v>404.03433168467433</v>
      </c>
    </row>
    <row r="16" spans="1:7" x14ac:dyDescent="0.25">
      <c r="A16" s="16" t="s">
        <v>44</v>
      </c>
      <c r="B16" s="17">
        <f>IF(B9="Cantilever", (B7*1000)/7, IF(B9="Simply Supported", (B7*1000)/20, IF(B9="Continous", (B7*1000)/26, "Check Support Condition")))</f>
        <v>325</v>
      </c>
    </row>
    <row r="18" spans="1:7" x14ac:dyDescent="0.25">
      <c r="A18" s="6" t="s">
        <v>42</v>
      </c>
      <c r="B18" s="7">
        <v>405</v>
      </c>
    </row>
    <row r="19" spans="1:7" x14ac:dyDescent="0.25">
      <c r="A19" s="6" t="s">
        <v>5</v>
      </c>
      <c r="B19" s="7">
        <v>45</v>
      </c>
    </row>
    <row r="20" spans="1:7" x14ac:dyDescent="0.25">
      <c r="A20" s="4" t="s">
        <v>43</v>
      </c>
      <c r="B20" s="4">
        <f>B18+B19</f>
        <v>450</v>
      </c>
    </row>
    <row r="22" spans="1:7" x14ac:dyDescent="0.25">
      <c r="A22" s="4" t="s">
        <v>69</v>
      </c>
      <c r="B22" s="8">
        <f>700/(1100+0.87*B5)</f>
        <v>0.4560260586319218</v>
      </c>
    </row>
    <row r="23" spans="1:7" ht="15.75" thickBot="1" x14ac:dyDescent="0.3"/>
    <row r="24" spans="1:7" ht="16.5" thickBot="1" x14ac:dyDescent="0.3">
      <c r="A24" s="39" t="s">
        <v>7</v>
      </c>
      <c r="B24" s="40"/>
    </row>
    <row r="25" spans="1:7" x14ac:dyDescent="0.25">
      <c r="A25" s="18" t="s">
        <v>9</v>
      </c>
      <c r="B25" s="19">
        <f>B22*B18</f>
        <v>184.69055374592833</v>
      </c>
    </row>
    <row r="26" spans="1:7" x14ac:dyDescent="0.25">
      <c r="A26" s="18" t="s">
        <v>10</v>
      </c>
      <c r="B26" s="19">
        <f>(0.36*B4*B12*B25)/(0.87*B5)</f>
        <v>1375.6261934179486</v>
      </c>
    </row>
    <row r="27" spans="1:7" ht="15.75" thickBot="1" x14ac:dyDescent="0.3">
      <c r="A27" s="20" t="s">
        <v>8</v>
      </c>
      <c r="B27" s="21">
        <f>(0.36*B4*B12*B25*(B18-0.42*B25))/10^6</f>
        <v>195.93323927044315</v>
      </c>
    </row>
    <row r="28" spans="1:7" ht="15.75" thickBot="1" x14ac:dyDescent="0.3"/>
    <row r="29" spans="1:7" ht="16.5" thickBot="1" x14ac:dyDescent="0.3">
      <c r="A29" s="39" t="s">
        <v>56</v>
      </c>
      <c r="B29" s="40"/>
    </row>
    <row r="30" spans="1:7" x14ac:dyDescent="0.25">
      <c r="A30" s="18" t="s">
        <v>18</v>
      </c>
      <c r="B30" s="19">
        <f>(-Misc!F2-SQRT((Misc!F2^2)-4*Misc!F1*Misc!F3))/(2*Misc!F1)</f>
        <v>183.53998587543134</v>
      </c>
    </row>
    <row r="31" spans="1:7" ht="15.75" thickBot="1" x14ac:dyDescent="0.3">
      <c r="A31" s="20" t="s">
        <v>19</v>
      </c>
      <c r="B31" s="22">
        <f>(0.36*B4*B12*B30)/(0.87*B5)</f>
        <v>1367.0564465204541</v>
      </c>
      <c r="C31" s="31"/>
      <c r="D31" s="31"/>
      <c r="E31" s="33"/>
      <c r="F31" s="43" t="s">
        <v>25</v>
      </c>
      <c r="G31" s="43"/>
    </row>
    <row r="32" spans="1:7" x14ac:dyDescent="0.25">
      <c r="A32"/>
      <c r="B32"/>
      <c r="F32" s="1" t="s">
        <v>40</v>
      </c>
      <c r="G32" s="1" t="s">
        <v>41</v>
      </c>
    </row>
    <row r="33" spans="1:7" ht="15.75" thickBot="1" x14ac:dyDescent="0.3">
      <c r="A33"/>
      <c r="B33"/>
      <c r="F33" s="1" t="s">
        <v>29</v>
      </c>
      <c r="G33" s="9">
        <f>B31/((PI()/4)*(12^2))</f>
        <v>12.08743283052064</v>
      </c>
    </row>
    <row r="34" spans="1:7" ht="15.75" thickBot="1" x14ac:dyDescent="0.3">
      <c r="A34" s="36" t="s">
        <v>57</v>
      </c>
      <c r="B34" s="37"/>
      <c r="F34" s="1" t="s">
        <v>30</v>
      </c>
      <c r="G34" s="9">
        <f>B31/((PI()/4)*(16^2))</f>
        <v>6.7991809671678602</v>
      </c>
    </row>
    <row r="35" spans="1:7" x14ac:dyDescent="0.25">
      <c r="A35" s="18" t="s">
        <v>58</v>
      </c>
      <c r="B35" s="23">
        <f>(0.87*B5*B31*(B18-0.42*B30))/10^6</f>
        <v>195.00000000000009</v>
      </c>
      <c r="F35" s="1" t="s">
        <v>31</v>
      </c>
      <c r="G35" s="9">
        <f>B31/((PI()/4)*(20^2))</f>
        <v>4.3514758189874305</v>
      </c>
    </row>
    <row r="36" spans="1:7" x14ac:dyDescent="0.25">
      <c r="A36" s="18"/>
      <c r="B36" s="23"/>
      <c r="F36" s="1" t="s">
        <v>26</v>
      </c>
      <c r="G36" s="9">
        <f>B31/((PI()/4)*(25^2))</f>
        <v>2.7849445241519555</v>
      </c>
    </row>
    <row r="37" spans="1:7" x14ac:dyDescent="0.25">
      <c r="A37" s="18" t="s">
        <v>59</v>
      </c>
      <c r="B37" s="24" t="str">
        <f>IF(B35&gt;=G4, "Safe", "Fail")</f>
        <v>Safe</v>
      </c>
      <c r="F37" s="1" t="s">
        <v>27</v>
      </c>
      <c r="G37" s="9">
        <f>B31/((PI()/4)*(32^2))</f>
        <v>1.6997952417919651</v>
      </c>
    </row>
    <row r="38" spans="1:7" x14ac:dyDescent="0.25">
      <c r="A38" s="25"/>
      <c r="B38" s="26"/>
    </row>
    <row r="39" spans="1:7" x14ac:dyDescent="0.25">
      <c r="A39" s="27" t="s">
        <v>60</v>
      </c>
      <c r="B39" s="23"/>
    </row>
    <row r="40" spans="1:7" x14ac:dyDescent="0.25">
      <c r="A40" s="18" t="s">
        <v>54</v>
      </c>
      <c r="B40" s="28">
        <f>(G4/B35)*100</f>
        <v>99.999999999999957</v>
      </c>
    </row>
    <row r="41" spans="1:7" x14ac:dyDescent="0.25">
      <c r="A41" s="18" t="s">
        <v>62</v>
      </c>
      <c r="B41" s="28">
        <f>(B35/B27)*100</f>
        <v>99.523695278086564</v>
      </c>
    </row>
    <row r="42" spans="1:7" x14ac:dyDescent="0.25">
      <c r="A42" s="18"/>
      <c r="B42" s="28"/>
    </row>
    <row r="43" spans="1:7" ht="15.75" thickBot="1" x14ac:dyDescent="0.3">
      <c r="A43" s="41" t="str">
        <f>IF(B41&gt;=100, "Section is not Under Reinforced, Increase the Dimensions", "Section is Under Reinforced")</f>
        <v>Section is Under Reinforced</v>
      </c>
      <c r="B43" s="42"/>
    </row>
    <row r="46" spans="1:7" ht="20.25" thickBot="1" x14ac:dyDescent="0.3">
      <c r="A46" s="32" t="s">
        <v>22</v>
      </c>
      <c r="B46" s="32"/>
    </row>
    <row r="47" spans="1:7" ht="15.75" thickTop="1" x14ac:dyDescent="0.25"/>
    <row r="48" spans="1:7" x14ac:dyDescent="0.25">
      <c r="A48" s="38" t="s">
        <v>23</v>
      </c>
      <c r="B48" s="38"/>
    </row>
    <row r="49" spans="1:2" x14ac:dyDescent="0.25">
      <c r="A49" s="3" t="s">
        <v>40</v>
      </c>
      <c r="B49" s="3" t="s">
        <v>28</v>
      </c>
    </row>
    <row r="50" spans="1:2" x14ac:dyDescent="0.25">
      <c r="A50" s="11" t="s">
        <v>29</v>
      </c>
      <c r="B50" s="12">
        <v>1</v>
      </c>
    </row>
    <row r="51" spans="1:2" x14ac:dyDescent="0.25">
      <c r="A51" s="11" t="s">
        <v>30</v>
      </c>
      <c r="B51" s="12"/>
    </row>
    <row r="52" spans="1:2" x14ac:dyDescent="0.25">
      <c r="A52" s="11" t="s">
        <v>31</v>
      </c>
      <c r="B52" s="12">
        <v>4</v>
      </c>
    </row>
    <row r="53" spans="1:2" x14ac:dyDescent="0.25">
      <c r="A53" s="11" t="s">
        <v>26</v>
      </c>
      <c r="B53" s="12"/>
    </row>
    <row r="54" spans="1:2" x14ac:dyDescent="0.25">
      <c r="A54" s="11" t="s">
        <v>27</v>
      </c>
      <c r="B54" s="12"/>
    </row>
    <row r="55" spans="1:2" x14ac:dyDescent="0.25">
      <c r="A55" s="1" t="s">
        <v>23</v>
      </c>
      <c r="B55" s="13">
        <f>(PI()/4)*((B50*(12^2))+(B51*(16^2))+(B52*(20^2))+(B53*(25^2))+(B54*(32^2)))</f>
        <v>1369.7343969651497</v>
      </c>
    </row>
    <row r="57" spans="1:2" x14ac:dyDescent="0.25">
      <c r="A57" s="4" t="s">
        <v>65</v>
      </c>
      <c r="B57" s="8">
        <f>B22*B18</f>
        <v>184.69055374592833</v>
      </c>
    </row>
    <row r="58" spans="1:2" x14ac:dyDescent="0.25">
      <c r="A58" s="4" t="s">
        <v>64</v>
      </c>
      <c r="B58" s="8">
        <f>0.36*B4*B12*B57*(B18-0.42*B57)/10^6</f>
        <v>195.93323927044315</v>
      </c>
    </row>
    <row r="59" spans="1:2" x14ac:dyDescent="0.25">
      <c r="A59"/>
      <c r="B59"/>
    </row>
    <row r="60" spans="1:2" ht="15.75" thickBot="1" x14ac:dyDescent="0.3">
      <c r="A60"/>
      <c r="B60"/>
    </row>
    <row r="61" spans="1:2" ht="15.75" thickBot="1" x14ac:dyDescent="0.3">
      <c r="A61" s="36" t="s">
        <v>61</v>
      </c>
      <c r="B61" s="37"/>
    </row>
    <row r="62" spans="1:2" x14ac:dyDescent="0.25">
      <c r="A62" s="18" t="s">
        <v>18</v>
      </c>
      <c r="B62" s="19">
        <f>(0.87*B5*B55)/(0.36*B4*B12)</f>
        <v>183.8995255184692</v>
      </c>
    </row>
    <row r="63" spans="1:2" customFormat="1" x14ac:dyDescent="0.25">
      <c r="A63" s="18"/>
      <c r="B63" s="23"/>
    </row>
    <row r="64" spans="1:2" x14ac:dyDescent="0.25">
      <c r="A64" s="18" t="s">
        <v>24</v>
      </c>
      <c r="B64" s="23" t="str">
        <f>IF(B62&lt;B57, "Under Reinforced Section", IF(B62=B57, "Balanced Section", "Over Reinforced Section"))</f>
        <v>Under Reinforced Section</v>
      </c>
    </row>
    <row r="65" spans="1:2" x14ac:dyDescent="0.25">
      <c r="A65" s="18"/>
      <c r="B65" s="23"/>
    </row>
    <row r="66" spans="1:2" x14ac:dyDescent="0.25">
      <c r="A66" s="29" t="s">
        <v>58</v>
      </c>
      <c r="B66" s="28">
        <f>0.36*B4*B12*B62*(B18-0.42*B62)/10^6</f>
        <v>195.2920138960979</v>
      </c>
    </row>
    <row r="67" spans="1:2" x14ac:dyDescent="0.25">
      <c r="A67" s="18"/>
      <c r="B67" s="23"/>
    </row>
    <row r="68" spans="1:2" x14ac:dyDescent="0.25">
      <c r="A68" s="18" t="s">
        <v>63</v>
      </c>
      <c r="B68" s="24" t="str">
        <f>IF(B66&gt;G4, "Safe", "Fail")</f>
        <v>Safe</v>
      </c>
    </row>
    <row r="69" spans="1:2" x14ac:dyDescent="0.25">
      <c r="A69" s="18"/>
      <c r="B69" s="23"/>
    </row>
    <row r="70" spans="1:2" x14ac:dyDescent="0.25">
      <c r="A70" s="27" t="s">
        <v>70</v>
      </c>
      <c r="B70" s="23"/>
    </row>
    <row r="71" spans="1:2" x14ac:dyDescent="0.25">
      <c r="A71" s="18" t="s">
        <v>54</v>
      </c>
      <c r="B71" s="19">
        <f>(G4/B66)*100</f>
        <v>99.850473201503647</v>
      </c>
    </row>
    <row r="72" spans="1:2" ht="15.75" thickBot="1" x14ac:dyDescent="0.3">
      <c r="A72" s="20" t="s">
        <v>55</v>
      </c>
      <c r="B72" s="21">
        <f>(B66/B58)*100</f>
        <v>99.672732724303003</v>
      </c>
    </row>
    <row r="75" spans="1:2" ht="18" thickBot="1" x14ac:dyDescent="0.3">
      <c r="A75" s="35" t="s">
        <v>32</v>
      </c>
      <c r="B75" s="35"/>
    </row>
    <row r="76" spans="1:2" ht="15.75" thickTop="1" x14ac:dyDescent="0.25"/>
    <row r="77" spans="1:2" x14ac:dyDescent="0.25">
      <c r="A77" s="4" t="s">
        <v>34</v>
      </c>
      <c r="B77" s="4">
        <v>3.5</v>
      </c>
    </row>
    <row r="78" spans="1:2" x14ac:dyDescent="0.25">
      <c r="A78" s="4" t="s">
        <v>33</v>
      </c>
      <c r="B78" s="4">
        <f>(B77*B12*B18)/1000</f>
        <v>425.25</v>
      </c>
    </row>
    <row r="80" spans="1:2" x14ac:dyDescent="0.25">
      <c r="A80" s="4" t="s">
        <v>35</v>
      </c>
      <c r="B80" s="2" t="str">
        <f>IF(B78&gt;G3, "Safe", "Increase Size of Beam")</f>
        <v>Safe</v>
      </c>
    </row>
    <row r="82" spans="1:3" x14ac:dyDescent="0.25">
      <c r="A82" s="2" t="s">
        <v>52</v>
      </c>
      <c r="B82" s="10">
        <f>(B55/(B12*B18))*100</f>
        <v>1.1273534131400409</v>
      </c>
    </row>
    <row r="83" spans="1:3" x14ac:dyDescent="0.25">
      <c r="A83" s="6" t="s">
        <v>53</v>
      </c>
      <c r="B83" s="7">
        <v>0.69</v>
      </c>
      <c r="C83" s="30" t="s">
        <v>68</v>
      </c>
    </row>
    <row r="84" spans="1:3" x14ac:dyDescent="0.25">
      <c r="A84" s="4" t="s">
        <v>36</v>
      </c>
      <c r="B84" s="8">
        <f>(B83*B12*B18)/1000</f>
        <v>83.83499999999998</v>
      </c>
    </row>
    <row r="86" spans="1:3" x14ac:dyDescent="0.25">
      <c r="A86" s="31" t="str">
        <f>IF(G3&lt;B84, "Shear Reinforcement is Not Required", "Design Shear Reinforcement")</f>
        <v>Design Shear Reinforcement</v>
      </c>
      <c r="B86" s="31"/>
    </row>
    <row r="88" spans="1:3" x14ac:dyDescent="0.25">
      <c r="A88" s="6" t="s">
        <v>37</v>
      </c>
      <c r="B88" s="7">
        <v>500</v>
      </c>
    </row>
    <row r="89" spans="1:3" x14ac:dyDescent="0.25">
      <c r="A89" s="6" t="s">
        <v>38</v>
      </c>
      <c r="B89" s="7">
        <v>8</v>
      </c>
    </row>
    <row r="90" spans="1:3" x14ac:dyDescent="0.25">
      <c r="A90" s="6" t="s">
        <v>39</v>
      </c>
      <c r="B90" s="7">
        <v>2</v>
      </c>
    </row>
    <row r="91" spans="1:3" x14ac:dyDescent="0.25">
      <c r="A91"/>
      <c r="B91"/>
    </row>
    <row r="92" spans="1:3" x14ac:dyDescent="0.25">
      <c r="A92" s="4" t="s">
        <v>66</v>
      </c>
      <c r="B92" s="8">
        <f>B90*(PI()/4)*(B89^2)</f>
        <v>100.53096491487338</v>
      </c>
    </row>
    <row r="94" spans="1:3" x14ac:dyDescent="0.25">
      <c r="A94" s="4" t="str">
        <f>IF(G3&lt;B84, "", "Shear Force Carried by Shear Reinforcement (V,us) (kN)")</f>
        <v>Shear Force Carried by Shear Reinforcement (V,us) (kN)</v>
      </c>
      <c r="B94" s="10">
        <f>IF(G3&lt;B84, 0, G3-B84)</f>
        <v>99.16500000000002</v>
      </c>
    </row>
    <row r="95" spans="1:3" x14ac:dyDescent="0.25">
      <c r="A95" s="4" t="s">
        <v>67</v>
      </c>
      <c r="B95" s="4">
        <f>(0.4*B12*B18)/1000</f>
        <v>48.6</v>
      </c>
    </row>
    <row r="96" spans="1:3" x14ac:dyDescent="0.25">
      <c r="A96" s="31" t="str">
        <f>IF(B94&gt;=B95, "Design SF in Shear Reinforcement is OK", "Design SF less than Min SF, Hence Considering the MIn SF value for Design")</f>
        <v>Design SF in Shear Reinforcement is OK</v>
      </c>
      <c r="B96" s="31"/>
    </row>
    <row r="97" spans="1:2" x14ac:dyDescent="0.25">
      <c r="A97"/>
      <c r="B97"/>
    </row>
    <row r="98" spans="1:2" x14ac:dyDescent="0.25">
      <c r="A98" s="2" t="str">
        <f>IF(G3&lt;B84, "", "Spacing of Shear Reinforcement (S,v) (mm)")</f>
        <v>Spacing of Shear Reinforcement (S,v) (mm)</v>
      </c>
      <c r="B98" s="10">
        <f>(B92*0.87*MIN(B88,415)*B18)/(MAX(B94,B95)*1000)</f>
        <v>148.23945421689695</v>
      </c>
    </row>
  </sheetData>
  <mergeCells count="16">
    <mergeCell ref="A1:B1"/>
    <mergeCell ref="A61:B61"/>
    <mergeCell ref="A75:B75"/>
    <mergeCell ref="A48:B48"/>
    <mergeCell ref="F1:G1"/>
    <mergeCell ref="A24:B24"/>
    <mergeCell ref="A43:B43"/>
    <mergeCell ref="F31:G31"/>
    <mergeCell ref="A29:B29"/>
    <mergeCell ref="A34:B34"/>
    <mergeCell ref="A14:B14"/>
    <mergeCell ref="A96:B96"/>
    <mergeCell ref="A86:B86"/>
    <mergeCell ref="A46:B46"/>
    <mergeCell ref="C31:E31"/>
    <mergeCell ref="A11:B11"/>
  </mergeCells>
  <conditionalFormatting sqref="A43:B43">
    <cfRule type="cellIs" dxfId="23" priority="21" operator="equal">
      <formula>"Section is not Under Reinforced, Increase the Dimensions"</formula>
    </cfRule>
    <cfRule type="cellIs" dxfId="22" priority="22" operator="equal">
      <formula>"Section is Under Reinforced"</formula>
    </cfRule>
  </conditionalFormatting>
  <conditionalFormatting sqref="A86:B86">
    <cfRule type="cellIs" dxfId="21" priority="3" operator="equal">
      <formula>"Design Shear Reinforcement"</formula>
    </cfRule>
    <cfRule type="cellIs" dxfId="20" priority="17" operator="equal">
      <formula>"Shear Reinforcement is Not Required"</formula>
    </cfRule>
  </conditionalFormatting>
  <conditionalFormatting sqref="A96:B96">
    <cfRule type="cellIs" dxfId="19" priority="1" operator="equal">
      <formula>"Design SF less than Min SF, Hence Considering the MIn SF value for Design"</formula>
    </cfRule>
    <cfRule type="cellIs" dxfId="18" priority="2" operator="equal">
      <formula>"Design SF in Shear Reinforcement is OK"</formula>
    </cfRule>
  </conditionalFormatting>
  <conditionalFormatting sqref="B37">
    <cfRule type="cellIs" dxfId="17" priority="28" operator="equal">
      <formula>"Fail"</formula>
    </cfRule>
    <cfRule type="cellIs" dxfId="16" priority="29" operator="equal">
      <formula>"Safe"</formula>
    </cfRule>
  </conditionalFormatting>
  <conditionalFormatting sqref="B40:B41">
    <cfRule type="cellIs" dxfId="15" priority="7" operator="greaterThan">
      <formula>100</formula>
    </cfRule>
    <cfRule type="cellIs" dxfId="14" priority="8" operator="between">
      <formula>85</formula>
      <formula>100</formula>
    </cfRule>
    <cfRule type="cellIs" dxfId="13" priority="23" operator="lessThan">
      <formula>60</formula>
    </cfRule>
    <cfRule type="cellIs" dxfId="12" priority="24" operator="between">
      <formula>60</formula>
      <formula>85</formula>
    </cfRule>
  </conditionalFormatting>
  <conditionalFormatting sqref="B64">
    <cfRule type="cellIs" dxfId="11" priority="9" operator="equal">
      <formula>"Under Reinforced Section"</formula>
    </cfRule>
    <cfRule type="cellIs" dxfId="10" priority="10" operator="equal">
      <formula>"Balanced Section"</formula>
    </cfRule>
    <cfRule type="cellIs" dxfId="9" priority="11" operator="equal">
      <formula>"Over Reinforced Section"</formula>
    </cfRule>
  </conditionalFormatting>
  <conditionalFormatting sqref="B68">
    <cfRule type="cellIs" dxfId="8" priority="26" operator="equal">
      <formula>"Fail"</formula>
    </cfRule>
    <cfRule type="cellIs" dxfId="7" priority="27" operator="equal">
      <formula>"Safe"</formula>
    </cfRule>
  </conditionalFormatting>
  <conditionalFormatting sqref="B71">
    <cfRule type="cellIs" dxfId="6" priority="4" operator="greaterThan">
      <formula>85</formula>
    </cfRule>
  </conditionalFormatting>
  <conditionalFormatting sqref="B71:B72">
    <cfRule type="cellIs" dxfId="5" priority="5" operator="between">
      <formula>60</formula>
      <formula>85</formula>
    </cfRule>
    <cfRule type="cellIs" dxfId="4" priority="6" operator="lessThan">
      <formula>60</formula>
    </cfRule>
  </conditionalFormatting>
  <conditionalFormatting sqref="B72">
    <cfRule type="cellIs" dxfId="3" priority="12" operator="greaterThan">
      <formula>100</formula>
    </cfRule>
    <cfRule type="cellIs" dxfId="2" priority="15" operator="between">
      <formula>85</formula>
      <formula>100</formula>
    </cfRule>
  </conditionalFormatting>
  <conditionalFormatting sqref="B80">
    <cfRule type="cellIs" dxfId="1" priority="19" operator="equal">
      <formula>"Safe"</formula>
    </cfRule>
    <cfRule type="cellIs" dxfId="0" priority="20" operator="equal">
      <formula>"Increase Size of Beam"</formula>
    </cfRule>
  </conditionalFormatting>
  <pageMargins left="0.7" right="0.7" top="0.75" bottom="0.75" header="0.3" footer="0.3"/>
  <pageSetup paperSize="9" orientation="portrait" r:id="rId1"/>
  <ignoredErrors>
    <ignoredError sqref="B71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3CC6B94-3BD1-4BCF-B92C-A37FF88E562C}">
          <x14:formula1>
            <xm:f>Misc!$A$5:$A$7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7232-E3E3-4F18-B84D-4BD7A7F49AA0}">
  <sheetPr codeName="Sheet2"/>
  <dimension ref="A1:F7"/>
  <sheetViews>
    <sheetView workbookViewId="0">
      <selection activeCell="F2" sqref="F2"/>
    </sheetView>
  </sheetViews>
  <sheetFormatPr defaultRowHeight="15" x14ac:dyDescent="0.25"/>
  <cols>
    <col min="1" max="1" width="25.5703125" customWidth="1"/>
    <col min="6" max="6" width="10.7109375" bestFit="1" customWidth="1"/>
  </cols>
  <sheetData>
    <row r="1" spans="1:6" x14ac:dyDescent="0.25">
      <c r="A1" t="s">
        <v>11</v>
      </c>
      <c r="E1" t="s">
        <v>15</v>
      </c>
      <c r="F1">
        <f>0.1512*Main!B4*Main!B12</f>
        <v>1360.8</v>
      </c>
    </row>
    <row r="2" spans="1:6" x14ac:dyDescent="0.25">
      <c r="A2" t="s">
        <v>12</v>
      </c>
      <c r="E2" t="s">
        <v>16</v>
      </c>
      <c r="F2">
        <f>-0.36*Main!B4*Main!B12*Main!B18</f>
        <v>-1312199.9999999998</v>
      </c>
    </row>
    <row r="3" spans="1:6" x14ac:dyDescent="0.25">
      <c r="E3" t="s">
        <v>17</v>
      </c>
      <c r="F3">
        <f>Main!G4*10^6</f>
        <v>195000000</v>
      </c>
    </row>
    <row r="5" spans="1:6" x14ac:dyDescent="0.25">
      <c r="A5" t="s">
        <v>47</v>
      </c>
    </row>
    <row r="6" spans="1:6" x14ac:dyDescent="0.25">
      <c r="A6" t="s">
        <v>48</v>
      </c>
    </row>
    <row r="7" spans="1:6" x14ac:dyDescent="0.25">
      <c r="A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Srimaan Kanna</dc:creator>
  <cp:lastModifiedBy>Srimaan Kanna</cp:lastModifiedBy>
  <dcterms:created xsi:type="dcterms:W3CDTF">2015-06-05T18:17:20Z</dcterms:created>
  <dcterms:modified xsi:type="dcterms:W3CDTF">2025-07-07T18:24:20Z</dcterms:modified>
</cp:coreProperties>
</file>