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rima\OneDrive\Sri\M. Tech\Design Studio\RC Building\"/>
    </mc:Choice>
  </mc:AlternateContent>
  <xr:revisionPtr revIDLastSave="0" documentId="13_ncr:1_{0FBC7C9C-E8B9-4568-8F14-DDBBF3E0CC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i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B91" i="1"/>
  <c r="B99" i="1"/>
  <c r="B102" i="1"/>
  <c r="B84" i="1"/>
  <c r="B19" i="1" l="1"/>
  <c r="B59" i="1"/>
  <c r="G8" i="1"/>
  <c r="B68" i="1" l="1"/>
  <c r="B72" i="1" s="1"/>
  <c r="B88" i="1"/>
  <c r="B66" i="1"/>
  <c r="B47" i="1"/>
  <c r="B10" i="1"/>
  <c r="G13" i="1" s="1"/>
  <c r="F1" i="2"/>
  <c r="B21" i="1"/>
  <c r="B61" i="1" s="1"/>
  <c r="B62" i="1" s="1"/>
  <c r="G15" i="1" l="1"/>
  <c r="B15" i="1"/>
  <c r="G11" i="1"/>
  <c r="G24" i="1"/>
  <c r="G14" i="1"/>
  <c r="G23" i="1"/>
  <c r="G20" i="1"/>
  <c r="G27" i="1"/>
  <c r="G19" i="1"/>
  <c r="B24" i="1"/>
  <c r="B25" i="1" s="1"/>
  <c r="F2" i="2"/>
  <c r="A93" i="1" l="1"/>
  <c r="B101" i="1"/>
  <c r="G28" i="1"/>
  <c r="B14" i="1"/>
  <c r="B86" i="1"/>
  <c r="B26" i="1"/>
  <c r="B78" i="1"/>
  <c r="B70" i="1"/>
  <c r="B105" i="1" l="1"/>
  <c r="A103" i="1"/>
  <c r="B77" i="1"/>
  <c r="F3" i="2"/>
  <c r="B29" i="1" s="1"/>
  <c r="B30" i="1" s="1"/>
  <c r="B13" i="1"/>
  <c r="B74" i="1"/>
  <c r="A50" i="1" l="1"/>
  <c r="A49" i="1"/>
  <c r="B36" i="1"/>
  <c r="B42" i="1" s="1"/>
  <c r="A44" i="1" s="1"/>
  <c r="B56" i="1"/>
  <c r="B32" i="1"/>
  <c r="B41" i="1" l="1"/>
  <c r="B38" i="1"/>
</calcChain>
</file>

<file path=xl/sharedStrings.xml><?xml version="1.0" encoding="utf-8"?>
<sst xmlns="http://schemas.openxmlformats.org/spreadsheetml/2006/main" count="107" uniqueCount="96">
  <si>
    <t>Input Data</t>
  </si>
  <si>
    <t>Material</t>
  </si>
  <si>
    <t>Grade</t>
  </si>
  <si>
    <t>Eff Cover (mm)</t>
  </si>
  <si>
    <t>Design Effects</t>
  </si>
  <si>
    <t>Limiting Values</t>
  </si>
  <si>
    <t>Moment of Resistance (M,u lim) (kNm)</t>
  </si>
  <si>
    <t>Depth of Neutral Axis (x,u lim) (mm)</t>
  </si>
  <si>
    <t>Under Reinforced Section</t>
  </si>
  <si>
    <t>Balanced Section</t>
  </si>
  <si>
    <t>Concrete (N/mm2)</t>
  </si>
  <si>
    <t>Steel (N/mm2)</t>
  </si>
  <si>
    <t>a</t>
  </si>
  <si>
    <t>b</t>
  </si>
  <si>
    <t>c</t>
  </si>
  <si>
    <t>Depth of Neutral Axis (x,u) (mm)</t>
  </si>
  <si>
    <t>Shear Force (kN)</t>
  </si>
  <si>
    <t>Bending Moment (kNm)</t>
  </si>
  <si>
    <t>Final Design</t>
  </si>
  <si>
    <t>Type of Section</t>
  </si>
  <si>
    <t>Check for Moment</t>
  </si>
  <si>
    <t>% Utilization of Section</t>
  </si>
  <si>
    <t>Check for Shear</t>
  </si>
  <si>
    <t>Maximum Shear Force (V,c max) (kN)</t>
  </si>
  <si>
    <r>
      <t>Maximum Shear Stress (</t>
    </r>
    <r>
      <rPr>
        <sz val="11"/>
        <color theme="1"/>
        <rFont val="Calibri"/>
        <family val="2"/>
      </rPr>
      <t>τ,c max) (N/mm2)</t>
    </r>
  </si>
  <si>
    <t>Check for Max Shear</t>
  </si>
  <si>
    <t>% Tension Reinforcement</t>
  </si>
  <si>
    <t>Design Shear Force of Concrete (kN)</t>
  </si>
  <si>
    <t>Grade of Steel used for Shear Reinforcement (N/mm2)</t>
  </si>
  <si>
    <t>Diameter of Shear Reinforcement (mm)</t>
  </si>
  <si>
    <t>Number of Legs in Shear Reinforcement</t>
  </si>
  <si>
    <t>Size of Slab</t>
  </si>
  <si>
    <t>Live Load (kN/m2)</t>
  </si>
  <si>
    <t>At End Support</t>
  </si>
  <si>
    <t>At Support Next to the End Support</t>
  </si>
  <si>
    <t>At All Other Interior Supports</t>
  </si>
  <si>
    <t>Span Moments (Sagging)</t>
  </si>
  <si>
    <t>Near Middle of End Span</t>
  </si>
  <si>
    <t>At Middle of Interior Span</t>
  </si>
  <si>
    <t>At Other Interior Supports</t>
  </si>
  <si>
    <t>Support Moments (Hogging)</t>
  </si>
  <si>
    <t>Outer Side</t>
  </si>
  <si>
    <t>Inner Side</t>
  </si>
  <si>
    <t>Floor Finish (kN/m2)</t>
  </si>
  <si>
    <t>Factored Dead Load (kN/m)</t>
  </si>
  <si>
    <t>Factored Live Load (kN/m)</t>
  </si>
  <si>
    <t>Diameter of the Rebar (mm)</t>
  </si>
  <si>
    <t>Final Spacing Provided</t>
  </si>
  <si>
    <t>Area of Streel Required (A,st req) (mm2)</t>
  </si>
  <si>
    <t>Area of Steel (A,st lim) (mm2)</t>
  </si>
  <si>
    <t>Width (mm)</t>
  </si>
  <si>
    <t>For Deflection</t>
  </si>
  <si>
    <t>Overall Depth (mm)</t>
  </si>
  <si>
    <t>Eff Depth (mm) (Assume)</t>
  </si>
  <si>
    <t>Location of Design</t>
  </si>
  <si>
    <t>For SF</t>
  </si>
  <si>
    <t>For BM</t>
  </si>
  <si>
    <t>At Support Next to the End Support - Outer Side</t>
  </si>
  <si>
    <t>At Support Next to the End Support - Inner Side</t>
  </si>
  <si>
    <t>Span Moments (Sagging) - Near Middle of End Span</t>
  </si>
  <si>
    <t>Span Moments (Sagging) - At Middle of Interior Span</t>
  </si>
  <si>
    <t>Support Moments (Hogging) - At Support Next to the End Support</t>
  </si>
  <si>
    <t>Support Moments (Hogging) - At Other Interior Supports</t>
  </si>
  <si>
    <t>Design Shear Force (kN)</t>
  </si>
  <si>
    <t>Design Bending Moment (kNm)</t>
  </si>
  <si>
    <t>For Design Moment</t>
  </si>
  <si>
    <t>For Maximum Moment</t>
  </si>
  <si>
    <t>Support Condition</t>
  </si>
  <si>
    <t>Simply Supported</t>
  </si>
  <si>
    <t>Cantilever</t>
  </si>
  <si>
    <t>Continous</t>
  </si>
  <si>
    <t>Effective Depth Required (mm)</t>
  </si>
  <si>
    <t>% Tension Reinforcement (for Shear)</t>
  </si>
  <si>
    <t>Effective Length of Slab (m)</t>
  </si>
  <si>
    <r>
      <t>Design Shear Strength of Concrete (</t>
    </r>
    <r>
      <rPr>
        <sz val="11"/>
        <color theme="1"/>
        <rFont val="Calibri"/>
        <family val="2"/>
      </rPr>
      <t>τ,c</t>
    </r>
    <r>
      <rPr>
        <sz val="11"/>
        <color theme="1"/>
        <rFont val="Calibri"/>
        <family val="2"/>
        <scheme val="minor"/>
      </rPr>
      <t>) (N/mm2)</t>
    </r>
  </si>
  <si>
    <t>wrt Design BM</t>
  </si>
  <si>
    <t>Spacing Required</t>
  </si>
  <si>
    <t>For Provided Steel</t>
  </si>
  <si>
    <t>For Design BM</t>
  </si>
  <si>
    <t>For Required Steel</t>
  </si>
  <si>
    <t>Moment of Resistance (M,u) (kNm)</t>
  </si>
  <si>
    <t>Check For Moment</t>
  </si>
  <si>
    <t>% Utilization of the Section</t>
  </si>
  <si>
    <t>wrt M,u lim</t>
  </si>
  <si>
    <t>M,u lim (kNm) (won't Change)</t>
  </si>
  <si>
    <t>Area of Steel Provided (A,st prov) (mm2)</t>
  </si>
  <si>
    <t>Minimum Area of Steel specified by IS 456 (A,st min) (mm2)</t>
  </si>
  <si>
    <t>x,u lim (mm) (won't Change)</t>
  </si>
  <si>
    <t>Shear Force Carried by Shear Reinforcement (V,us) (kN)</t>
  </si>
  <si>
    <t>Area of Shear Reinforcement (A,sv) (mm2)</t>
  </si>
  <si>
    <t>Spacing of Shear Reinforcement (S,v) (mm)</t>
  </si>
  <si>
    <t>Min Shear Force to be Carried by Shear Reinforcement (V,us) (kN)</t>
  </si>
  <si>
    <t>k (for Shear Strength)</t>
  </si>
  <si>
    <t>From Table 19</t>
  </si>
  <si>
    <t>From 40.2.1.1</t>
  </si>
  <si>
    <t>k (for Eff Depth)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</si>
</sst>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6" fillId="0" borderId="3" applyNumberFormat="0" applyFill="0" applyAlignment="0" applyProtection="0"/>
    <xf numFmtId="0" fontId="5" fillId="3" borderId="0" applyNumberFormat="0" applyBorder="0" applyAlignment="0" applyProtection="0"/>
    <xf numFmtId="0" fontId="5" fillId="4" borderId="16" applyNumberFormat="0" applyFont="0" applyAlignment="0" applyProtection="0"/>
  </cellStyleXfs>
  <cellXfs count="37">
    <xf numFmtId="0" fontId="0" fillId="0" borderId="0" xfId="0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0" xfId="4" applyAlignment="1">
      <alignment horizontal="center" vertical="center"/>
    </xf>
    <xf numFmtId="0" fontId="2" fillId="2" borderId="2" xfId="2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2" fillId="2" borderId="2" xfId="2" applyNumberFormat="1" applyAlignment="1">
      <alignment horizontal="center" vertical="center"/>
    </xf>
    <xf numFmtId="0" fontId="0" fillId="3" borderId="0" xfId="4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4" borderId="16" xfId="5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3" xfId="3" applyAlignment="1">
      <alignment horizontal="center" vertical="center"/>
    </xf>
    <xf numFmtId="0" fontId="1" fillId="0" borderId="1" xfId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6">
    <cellStyle name="20% - Accent1" xfId="4" builtinId="30"/>
    <cellStyle name="Heading 1" xfId="3" builtinId="16"/>
    <cellStyle name="Heading 2" xfId="1" builtinId="17"/>
    <cellStyle name="Input" xfId="2" builtinId="20"/>
    <cellStyle name="Normal" xfId="0" builtinId="0"/>
    <cellStyle name="Note" xfId="5" builtinId="10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topLeftCell="A76" zoomScaleNormal="100" workbookViewId="0">
      <selection activeCell="D98" sqref="D98"/>
    </sheetView>
  </sheetViews>
  <sheetFormatPr defaultRowHeight="15" x14ac:dyDescent="0.25"/>
  <cols>
    <col min="1" max="1" width="66.140625" style="2" customWidth="1"/>
    <col min="2" max="2" width="28.42578125" style="2" customWidth="1"/>
    <col min="3" max="3" width="14.42578125" style="2" customWidth="1"/>
    <col min="4" max="5" width="9.140625" style="2"/>
    <col min="6" max="6" width="35.140625" style="2" customWidth="1"/>
    <col min="7" max="9" width="9.140625" style="2"/>
    <col min="10" max="10" width="24.140625" style="2" customWidth="1"/>
    <col min="11" max="11" width="67.140625" style="2" customWidth="1"/>
    <col min="12" max="16384" width="9.140625" style="2"/>
  </cols>
  <sheetData>
    <row r="1" spans="1:11" ht="18" thickBot="1" x14ac:dyDescent="0.3">
      <c r="A1" s="27" t="s">
        <v>0</v>
      </c>
      <c r="B1" s="27"/>
      <c r="F1" s="27" t="s">
        <v>4</v>
      </c>
      <c r="G1" s="27"/>
    </row>
    <row r="2" spans="1:11" ht="15.75" thickTop="1" x14ac:dyDescent="0.25">
      <c r="J2" s="4" t="s">
        <v>67</v>
      </c>
      <c r="K2" s="5" t="s">
        <v>70</v>
      </c>
    </row>
    <row r="3" spans="1:11" x14ac:dyDescent="0.25">
      <c r="A3" s="3" t="s">
        <v>1</v>
      </c>
      <c r="B3" s="3" t="s">
        <v>2</v>
      </c>
      <c r="F3" s="4" t="s">
        <v>32</v>
      </c>
      <c r="G3" s="5">
        <v>3</v>
      </c>
    </row>
    <row r="4" spans="1:11" x14ac:dyDescent="0.25">
      <c r="A4" s="4" t="s">
        <v>10</v>
      </c>
      <c r="B4" s="5">
        <v>30</v>
      </c>
      <c r="F4" s="4" t="s">
        <v>43</v>
      </c>
      <c r="G4" s="5">
        <v>1</v>
      </c>
    </row>
    <row r="5" spans="1:11" x14ac:dyDescent="0.25">
      <c r="A5" s="4" t="s">
        <v>11</v>
      </c>
      <c r="B5" s="5">
        <v>500</v>
      </c>
      <c r="J5" s="25" t="s">
        <v>54</v>
      </c>
      <c r="K5" s="25"/>
    </row>
    <row r="6" spans="1:11" x14ac:dyDescent="0.25">
      <c r="J6" s="4" t="s">
        <v>55</v>
      </c>
      <c r="K6" s="5" t="s">
        <v>57</v>
      </c>
    </row>
    <row r="7" spans="1:11" x14ac:dyDescent="0.25">
      <c r="A7" s="34" t="s">
        <v>31</v>
      </c>
      <c r="B7" s="34"/>
      <c r="F7" s="2" t="s">
        <v>44</v>
      </c>
      <c r="G7" s="2">
        <f>((25*(B19/1000)+G4)*1.5)</f>
        <v>6</v>
      </c>
      <c r="J7" s="4" t="s">
        <v>56</v>
      </c>
      <c r="K7" s="5" t="s">
        <v>61</v>
      </c>
    </row>
    <row r="8" spans="1:11" x14ac:dyDescent="0.25">
      <c r="A8" s="2" t="s">
        <v>50</v>
      </c>
      <c r="B8" s="2">
        <v>1000</v>
      </c>
      <c r="F8" s="2" t="s">
        <v>45</v>
      </c>
      <c r="G8" s="2">
        <f>1.5*G3</f>
        <v>4.5</v>
      </c>
    </row>
    <row r="10" spans="1:11" x14ac:dyDescent="0.25">
      <c r="A10" s="4" t="s">
        <v>73</v>
      </c>
      <c r="B10" s="9">
        <f>6.5/3</f>
        <v>2.1666666666666665</v>
      </c>
      <c r="F10" s="1" t="s">
        <v>16</v>
      </c>
    </row>
    <row r="11" spans="1:11" x14ac:dyDescent="0.25">
      <c r="F11" s="2" t="s">
        <v>33</v>
      </c>
      <c r="G11" s="6">
        <f>(0.4*G7*B10)+(0.45*G8*B10)</f>
        <v>9.5874999999999986</v>
      </c>
    </row>
    <row r="12" spans="1:11" x14ac:dyDescent="0.25">
      <c r="A12" s="32" t="s">
        <v>71</v>
      </c>
      <c r="B12" s="33"/>
      <c r="F12" s="7" t="s">
        <v>34</v>
      </c>
    </row>
    <row r="13" spans="1:11" x14ac:dyDescent="0.25">
      <c r="A13" s="19" t="s">
        <v>65</v>
      </c>
      <c r="B13" s="20">
        <f>SQRT((G28*10^6)/(0.36*B4*(1-0.42*B21)*B21*B8))</f>
        <v>36.012231709612713</v>
      </c>
      <c r="F13" s="2" t="s">
        <v>41</v>
      </c>
      <c r="G13" s="8">
        <f>(0.6*G7*B10)+(0.6*G8*B10)</f>
        <v>13.649999999999999</v>
      </c>
    </row>
    <row r="14" spans="1:11" x14ac:dyDescent="0.25">
      <c r="A14" s="19" t="s">
        <v>66</v>
      </c>
      <c r="B14" s="20">
        <f>SQRT((G23*10^6)/(0.36*B4*(1-0.42*B21)*B21*B8))</f>
        <v>36.012231709612713</v>
      </c>
      <c r="F14" s="2" t="s">
        <v>42</v>
      </c>
      <c r="G14" s="6">
        <f>(0.55*G7*B10)+(0.6*G8*B10)</f>
        <v>13</v>
      </c>
    </row>
    <row r="15" spans="1:11" x14ac:dyDescent="0.25">
      <c r="A15" s="21" t="s">
        <v>51</v>
      </c>
      <c r="B15" s="22">
        <f>IF(K2="Cantilever", (B10*1000)/7, IF(K2="Simply Supported", (B10*1000)/20, IF(K2="Continous", (B10*1000)/26, "Check Support Condition")))</f>
        <v>83.333333333333329</v>
      </c>
      <c r="F15" s="2" t="s">
        <v>35</v>
      </c>
      <c r="G15" s="6">
        <f>(0.5*G7*B10)+(0.6*G8*B10)</f>
        <v>12.349999999999998</v>
      </c>
    </row>
    <row r="17" spans="1:7" x14ac:dyDescent="0.25">
      <c r="A17" s="4" t="s">
        <v>53</v>
      </c>
      <c r="B17" s="5">
        <v>85</v>
      </c>
      <c r="F17" s="1" t="s">
        <v>17</v>
      </c>
    </row>
    <row r="18" spans="1:7" x14ac:dyDescent="0.25">
      <c r="A18" s="4" t="s">
        <v>3</v>
      </c>
      <c r="B18" s="5">
        <v>35</v>
      </c>
      <c r="F18" s="7" t="s">
        <v>36</v>
      </c>
    </row>
    <row r="19" spans="1:7" x14ac:dyDescent="0.25">
      <c r="A19" s="2" t="s">
        <v>52</v>
      </c>
      <c r="B19" s="2">
        <f>B17+B18</f>
        <v>120</v>
      </c>
      <c r="F19" s="2" t="s">
        <v>37</v>
      </c>
      <c r="G19" s="8">
        <f>((G7*(B10^2))/12)+((G8*(B10^2))/10)</f>
        <v>4.4597222222222221</v>
      </c>
    </row>
    <row r="20" spans="1:7" x14ac:dyDescent="0.25">
      <c r="F20" s="2" t="s">
        <v>38</v>
      </c>
      <c r="G20" s="6">
        <f>((G7*(B10^2))/16)+((G8*(B10^2))/12)</f>
        <v>3.520833333333333</v>
      </c>
    </row>
    <row r="21" spans="1:7" x14ac:dyDescent="0.25">
      <c r="A21" s="2" t="s">
        <v>95</v>
      </c>
      <c r="B21" s="6">
        <f>700/(1100+0.87*B5)</f>
        <v>0.4560260586319218</v>
      </c>
    </row>
    <row r="22" spans="1:7" ht="15.75" thickBot="1" x14ac:dyDescent="0.3">
      <c r="F22" s="7" t="s">
        <v>40</v>
      </c>
    </row>
    <row r="23" spans="1:7" ht="16.5" thickBot="1" x14ac:dyDescent="0.3">
      <c r="A23" s="30" t="s">
        <v>5</v>
      </c>
      <c r="B23" s="31"/>
      <c r="F23" s="2" t="s">
        <v>34</v>
      </c>
      <c r="G23" s="8">
        <f>((G7*(B10^2))/10)+((G8*(B10^2))/9)</f>
        <v>5.1638888888888879</v>
      </c>
    </row>
    <row r="24" spans="1:7" x14ac:dyDescent="0.25">
      <c r="A24" s="11" t="s">
        <v>7</v>
      </c>
      <c r="B24" s="12">
        <f>B21*B17</f>
        <v>38.762214983713356</v>
      </c>
      <c r="F24" s="2" t="s">
        <v>39</v>
      </c>
      <c r="G24" s="6">
        <f>((G7*(B10^2))/12)+((G8*(B10^2))/9)</f>
        <v>4.6944444444444438</v>
      </c>
    </row>
    <row r="25" spans="1:7" x14ac:dyDescent="0.25">
      <c r="A25" s="11" t="s">
        <v>49</v>
      </c>
      <c r="B25" s="12">
        <f>(0.36*B4*B8*B24)/(0.87*B5)</f>
        <v>962.37223407840031</v>
      </c>
    </row>
    <row r="26" spans="1:7" ht="15.75" thickBot="1" x14ac:dyDescent="0.3">
      <c r="A26" s="17" t="s">
        <v>6</v>
      </c>
      <c r="B26" s="18">
        <f>(0.36*B4*B8*B24*(B17-0.42*B24))/10^6</f>
        <v>28.768331122876631</v>
      </c>
    </row>
    <row r="27" spans="1:7" ht="15.75" thickBot="1" x14ac:dyDescent="0.3">
      <c r="F27" s="1" t="s">
        <v>63</v>
      </c>
      <c r="G27" s="8">
        <f>IF(K6="At End Support", G11, IF(K6="At Support Next to the End Support - Outer Side", G13, IF(K6="At Support Next to the End Support - Inner Side", G14, IF(K6="At All Other Interior Supports", G15, "Check Location of Design"))))</f>
        <v>13.649999999999999</v>
      </c>
    </row>
    <row r="28" spans="1:7" ht="16.5" thickBot="1" x14ac:dyDescent="0.3">
      <c r="A28" s="30" t="s">
        <v>78</v>
      </c>
      <c r="B28" s="31"/>
      <c r="F28" s="1" t="s">
        <v>64</v>
      </c>
      <c r="G28" s="8">
        <f>IF(K7="Span Moments (Sagging) - Near Middle of End Span", G19, IF(K7="Span Moments (Sagging) - At Middle of Interior Span", G20, IF(K7="Support Moments (Hogging) - At Support Next to the End Support", G23, IF(K6="Support Moments (Hogging) - At Other Interior Supports", G24, "Check Location of Design"))))</f>
        <v>5.1638888888888879</v>
      </c>
    </row>
    <row r="29" spans="1:7" x14ac:dyDescent="0.25">
      <c r="A29" s="11" t="s">
        <v>15</v>
      </c>
      <c r="B29" s="12">
        <f>(-Misc!F2-SQRT((Misc!F2^2)-4*Misc!F1*Misc!F3))/(2*Misc!F1)</f>
        <v>5.7908483333986274</v>
      </c>
    </row>
    <row r="30" spans="1:7" x14ac:dyDescent="0.25">
      <c r="A30" s="11" t="s">
        <v>48</v>
      </c>
      <c r="B30" s="14">
        <f>(0.36*B4*B8*B29)/(0.87*B5)</f>
        <v>143.77278620851763</v>
      </c>
    </row>
    <row r="31" spans="1:7" x14ac:dyDescent="0.25">
      <c r="A31" s="11"/>
      <c r="B31" s="13"/>
    </row>
    <row r="32" spans="1:7" ht="15.75" thickBot="1" x14ac:dyDescent="0.3">
      <c r="A32" s="17" t="s">
        <v>26</v>
      </c>
      <c r="B32" s="18">
        <f>(B30*100)/(B8*B19)</f>
        <v>0.11981065517376469</v>
      </c>
    </row>
    <row r="33" spans="1:2" x14ac:dyDescent="0.25">
      <c r="B33" s="6"/>
    </row>
    <row r="34" spans="1:2" ht="15.75" thickBot="1" x14ac:dyDescent="0.3"/>
    <row r="35" spans="1:2" ht="15.75" thickBot="1" x14ac:dyDescent="0.3">
      <c r="A35" s="28" t="s">
        <v>79</v>
      </c>
      <c r="B35" s="29"/>
    </row>
    <row r="36" spans="1:2" x14ac:dyDescent="0.25">
      <c r="A36" s="11" t="s">
        <v>80</v>
      </c>
      <c r="B36" s="12">
        <f>(0.87*B5*B30*(B17-0.42*B29))/10^6</f>
        <v>5.1638888888888879</v>
      </c>
    </row>
    <row r="37" spans="1:2" x14ac:dyDescent="0.25">
      <c r="A37" s="11"/>
      <c r="B37" s="13"/>
    </row>
    <row r="38" spans="1:2" x14ac:dyDescent="0.25">
      <c r="A38" s="11" t="s">
        <v>81</v>
      </c>
      <c r="B38" s="15" t="str">
        <f>IF(B36&gt;=G28, "Safe", "Fail")</f>
        <v>Safe</v>
      </c>
    </row>
    <row r="39" spans="1:2" x14ac:dyDescent="0.25">
      <c r="A39" s="11"/>
      <c r="B39" s="13"/>
    </row>
    <row r="40" spans="1:2" x14ac:dyDescent="0.25">
      <c r="A40" s="16" t="s">
        <v>82</v>
      </c>
      <c r="B40" s="13"/>
    </row>
    <row r="41" spans="1:2" x14ac:dyDescent="0.25">
      <c r="A41" s="11" t="s">
        <v>75</v>
      </c>
      <c r="B41" s="14">
        <f>(G28/B36)*100</f>
        <v>100</v>
      </c>
    </row>
    <row r="42" spans="1:2" x14ac:dyDescent="0.25">
      <c r="A42" s="11" t="s">
        <v>83</v>
      </c>
      <c r="B42" s="14">
        <f>(B36/B26)*100</f>
        <v>17.949907719125751</v>
      </c>
    </row>
    <row r="43" spans="1:2" x14ac:dyDescent="0.25">
      <c r="A43" s="11"/>
      <c r="B43" s="14"/>
    </row>
    <row r="44" spans="1:2" ht="15.75" thickBot="1" x14ac:dyDescent="0.3">
      <c r="A44" s="35" t="str">
        <f>IF(B42&gt;=100, "Section is not Under Reinforced, Increase the Dimensions", "Section is Under Reinforced")</f>
        <v>Section is Under Reinforced</v>
      </c>
      <c r="B44" s="36"/>
    </row>
    <row r="47" spans="1:2" x14ac:dyDescent="0.25">
      <c r="A47" s="2" t="s">
        <v>86</v>
      </c>
      <c r="B47" s="6">
        <f>(0.12*B8*B19)/100</f>
        <v>144</v>
      </c>
    </row>
    <row r="49" spans="1:2" x14ac:dyDescent="0.25">
      <c r="A49" s="24" t="str">
        <f>IF(B30&lt;=B47,"Area of Steel Required is less than Minimum Steel specified by IS 456","")</f>
        <v>Area of Steel Required is less than Minimum Steel specified by IS 456</v>
      </c>
      <c r="B49" s="24"/>
    </row>
    <row r="50" spans="1:2" x14ac:dyDescent="0.25">
      <c r="A50" s="24" t="str">
        <f>IF(B30&lt;=B47,"So considering Minimum Steel specified by IS 456 for design &amp; to calulate Spacing","")</f>
        <v>So considering Minimum Steel specified by IS 456 for design &amp; to calulate Spacing</v>
      </c>
      <c r="B50" s="24"/>
    </row>
    <row r="53" spans="1:2" ht="20.25" thickBot="1" x14ac:dyDescent="0.3">
      <c r="A53" s="26" t="s">
        <v>18</v>
      </c>
      <c r="B53" s="26"/>
    </row>
    <row r="54" spans="1:2" ht="15.75" thickTop="1" x14ac:dyDescent="0.25"/>
    <row r="55" spans="1:2" x14ac:dyDescent="0.25">
      <c r="A55" s="4" t="s">
        <v>46</v>
      </c>
      <c r="B55" s="5">
        <v>8</v>
      </c>
    </row>
    <row r="56" spans="1:2" x14ac:dyDescent="0.25">
      <c r="A56" s="1" t="s">
        <v>76</v>
      </c>
      <c r="B56" s="8">
        <f>(1000*PI()*(B55^2))/(4*MAX(B30, B47))</f>
        <v>349.0658503988659</v>
      </c>
    </row>
    <row r="57" spans="1:2" x14ac:dyDescent="0.25">
      <c r="A57" s="4" t="s">
        <v>47</v>
      </c>
      <c r="B57" s="9">
        <v>300</v>
      </c>
    </row>
    <row r="59" spans="1:2" x14ac:dyDescent="0.25">
      <c r="A59" s="2" t="s">
        <v>85</v>
      </c>
      <c r="B59" s="6">
        <f>(1000*PI()*(B55^2))/(4*B57)</f>
        <v>167.55160819145561</v>
      </c>
    </row>
    <row r="61" spans="1:2" x14ac:dyDescent="0.25">
      <c r="A61" s="2" t="s">
        <v>87</v>
      </c>
      <c r="B61" s="6">
        <f>B21*B17</f>
        <v>38.762214983713356</v>
      </c>
    </row>
    <row r="62" spans="1:2" x14ac:dyDescent="0.25">
      <c r="A62" s="11" t="s">
        <v>84</v>
      </c>
      <c r="B62" s="6">
        <f>0.36*B4*B8*B61*(B17-0.42*B61)/10^6</f>
        <v>28.768331122876631</v>
      </c>
    </row>
    <row r="64" spans="1:2" ht="15.75" thickBot="1" x14ac:dyDescent="0.3">
      <c r="B64" s="6"/>
    </row>
    <row r="65" spans="1:2" ht="15.75" thickBot="1" x14ac:dyDescent="0.3">
      <c r="A65" s="28" t="s">
        <v>77</v>
      </c>
      <c r="B65" s="29"/>
    </row>
    <row r="66" spans="1:2" x14ac:dyDescent="0.25">
      <c r="A66" s="11" t="s">
        <v>26</v>
      </c>
      <c r="B66" s="12">
        <f>(B59*100)/(B8*B19)</f>
        <v>0.13962634015954634</v>
      </c>
    </row>
    <row r="67" spans="1:2" x14ac:dyDescent="0.25">
      <c r="A67" s="11"/>
      <c r="B67" s="13"/>
    </row>
    <row r="68" spans="1:2" x14ac:dyDescent="0.25">
      <c r="A68" s="11" t="s">
        <v>15</v>
      </c>
      <c r="B68" s="12">
        <f>(0.87*B5*B59)/(0.36*B4*B8)</f>
        <v>6.7486064410447417</v>
      </c>
    </row>
    <row r="69" spans="1:2" x14ac:dyDescent="0.25">
      <c r="A69" s="11"/>
      <c r="B69" s="13"/>
    </row>
    <row r="70" spans="1:2" x14ac:dyDescent="0.25">
      <c r="A70" s="11" t="s">
        <v>19</v>
      </c>
      <c r="B70" s="13" t="str">
        <f>IF(B68&lt;B61, "Under Reinforced Section", IF(B68=B61, "Balanced Section", "Over Reinforced Section"))</f>
        <v>Under Reinforced Section</v>
      </c>
    </row>
    <row r="71" spans="1:2" x14ac:dyDescent="0.25">
      <c r="A71" s="11"/>
      <c r="B71" s="13"/>
    </row>
    <row r="72" spans="1:2" x14ac:dyDescent="0.25">
      <c r="A72" s="11" t="s">
        <v>80</v>
      </c>
      <c r="B72" s="14">
        <f>0.36*B4*B8*B68*(B17-0.42*B68)/10^6</f>
        <v>5.9886345400463146</v>
      </c>
    </row>
    <row r="73" spans="1:2" x14ac:dyDescent="0.25">
      <c r="A73" s="11"/>
      <c r="B73" s="13"/>
    </row>
    <row r="74" spans="1:2" x14ac:dyDescent="0.25">
      <c r="A74" s="11" t="s">
        <v>20</v>
      </c>
      <c r="B74" s="15" t="str">
        <f>IF(B72&gt;G28, "Safe", "Fail")</f>
        <v>Safe</v>
      </c>
    </row>
    <row r="75" spans="1:2" x14ac:dyDescent="0.25">
      <c r="A75" s="11"/>
      <c r="B75" s="13"/>
    </row>
    <row r="76" spans="1:2" x14ac:dyDescent="0.25">
      <c r="A76" s="16" t="s">
        <v>21</v>
      </c>
      <c r="B76" s="12"/>
    </row>
    <row r="77" spans="1:2" x14ac:dyDescent="0.25">
      <c r="A77" s="11" t="s">
        <v>75</v>
      </c>
      <c r="B77" s="12">
        <f>(G28/B72)*100</f>
        <v>86.228151916061847</v>
      </c>
    </row>
    <row r="78" spans="1:2" ht="15.75" thickBot="1" x14ac:dyDescent="0.3">
      <c r="A78" s="17" t="s">
        <v>83</v>
      </c>
      <c r="B78" s="18">
        <f>(B72/B62)*100</f>
        <v>20.816760327414826</v>
      </c>
    </row>
    <row r="81" spans="1:3" ht="18" thickBot="1" x14ac:dyDescent="0.3">
      <c r="A81" s="27" t="s">
        <v>22</v>
      </c>
      <c r="B81" s="27"/>
    </row>
    <row r="82" spans="1:3" ht="15.75" thickTop="1" x14ac:dyDescent="0.25"/>
    <row r="83" spans="1:3" x14ac:dyDescent="0.25">
      <c r="A83" s="2" t="s">
        <v>24</v>
      </c>
      <c r="B83" s="2">
        <v>3.5</v>
      </c>
    </row>
    <row r="84" spans="1:3" x14ac:dyDescent="0.25">
      <c r="A84" s="2" t="s">
        <v>23</v>
      </c>
      <c r="B84" s="2">
        <f>(B83*B8*B17)/1000</f>
        <v>297.5</v>
      </c>
    </row>
    <row r="86" spans="1:3" x14ac:dyDescent="0.25">
      <c r="A86" s="2" t="s">
        <v>25</v>
      </c>
      <c r="B86" s="2" t="str">
        <f>IF(B84&gt;G27, "Safe", "Increase Size of Beam")</f>
        <v>Safe</v>
      </c>
    </row>
    <row r="88" spans="1:3" x14ac:dyDescent="0.25">
      <c r="A88" s="2" t="s">
        <v>72</v>
      </c>
      <c r="B88" s="6">
        <f>(B59/(B8*B17))*100</f>
        <v>0.1971195390487713</v>
      </c>
    </row>
    <row r="89" spans="1:3" x14ac:dyDescent="0.25">
      <c r="A89" s="10" t="s">
        <v>74</v>
      </c>
      <c r="B89" s="5">
        <v>0.33</v>
      </c>
      <c r="C89" s="23" t="s">
        <v>93</v>
      </c>
    </row>
    <row r="90" spans="1:3" x14ac:dyDescent="0.25">
      <c r="A90" s="10" t="s">
        <v>92</v>
      </c>
      <c r="B90" s="5">
        <v>1.3</v>
      </c>
      <c r="C90" s="23" t="s">
        <v>94</v>
      </c>
    </row>
    <row r="91" spans="1:3" x14ac:dyDescent="0.25">
      <c r="A91" s="2" t="s">
        <v>27</v>
      </c>
      <c r="B91" s="6">
        <f>(B90*B89*B8*B17)/1000</f>
        <v>36.465000000000011</v>
      </c>
    </row>
    <row r="93" spans="1:3" x14ac:dyDescent="0.25">
      <c r="A93" s="25" t="str">
        <f>IF(G27&lt;B91, "Provide Minimum Shear Reinforcement", "Design Shear Reinforcement")</f>
        <v>Provide Minimum Shear Reinforcement</v>
      </c>
      <c r="B93" s="25"/>
    </row>
    <row r="95" spans="1:3" x14ac:dyDescent="0.25">
      <c r="A95" s="4" t="s">
        <v>28</v>
      </c>
      <c r="B95" s="5">
        <v>500</v>
      </c>
    </row>
    <row r="96" spans="1:3" x14ac:dyDescent="0.25">
      <c r="A96" s="4" t="s">
        <v>29</v>
      </c>
      <c r="B96" s="5">
        <v>8</v>
      </c>
    </row>
    <row r="97" spans="1:2" x14ac:dyDescent="0.25">
      <c r="A97" s="4" t="s">
        <v>30</v>
      </c>
      <c r="B97" s="5">
        <v>2</v>
      </c>
    </row>
    <row r="98" spans="1:2" x14ac:dyDescent="0.25">
      <c r="A98"/>
      <c r="B98"/>
    </row>
    <row r="99" spans="1:2" x14ac:dyDescent="0.25">
      <c r="A99" s="2" t="s">
        <v>89</v>
      </c>
      <c r="B99" s="6">
        <f>B97*(PI()/4)*(B96^2)</f>
        <v>100.53096491487338</v>
      </c>
    </row>
    <row r="101" spans="1:2" x14ac:dyDescent="0.25">
      <c r="A101" s="2" t="s">
        <v>88</v>
      </c>
      <c r="B101" s="1">
        <f>IF(G27&lt;B91, 0, G27-B91)</f>
        <v>0</v>
      </c>
    </row>
    <row r="102" spans="1:2" x14ac:dyDescent="0.25">
      <c r="A102" s="2" t="s">
        <v>91</v>
      </c>
      <c r="B102" s="2">
        <f>(0.4*B8*B17)/1000</f>
        <v>34</v>
      </c>
    </row>
    <row r="103" spans="1:2" x14ac:dyDescent="0.25">
      <c r="A103" s="24" t="str">
        <f>IF(B101&gt;=B102, "Design SF in Shear Reinforcement is OK", "Design SF less than Min SF, Hence Considering the MIn SF value for Design")</f>
        <v>Design SF less than Min SF, Hence Considering the MIn SF value for Design</v>
      </c>
      <c r="B103" s="24"/>
    </row>
    <row r="105" spans="1:2" x14ac:dyDescent="0.25">
      <c r="A105" s="1" t="s">
        <v>90</v>
      </c>
      <c r="B105" s="8">
        <f>(B99*0.87*MIN(B95, 415)*B17)/(MAX(B101,B102)*1000)</f>
        <v>90.741762206287589</v>
      </c>
    </row>
  </sheetData>
  <mergeCells count="16">
    <mergeCell ref="A103:B103"/>
    <mergeCell ref="A93:B93"/>
    <mergeCell ref="A53:B53"/>
    <mergeCell ref="J5:K5"/>
    <mergeCell ref="F1:G1"/>
    <mergeCell ref="A1:B1"/>
    <mergeCell ref="A81:B81"/>
    <mergeCell ref="A65:B65"/>
    <mergeCell ref="A23:B23"/>
    <mergeCell ref="A28:B28"/>
    <mergeCell ref="A35:B35"/>
    <mergeCell ref="A49:B49"/>
    <mergeCell ref="A50:B50"/>
    <mergeCell ref="A12:B12"/>
    <mergeCell ref="A7:B7"/>
    <mergeCell ref="A44:B44"/>
  </mergeCells>
  <conditionalFormatting sqref="A44:B44">
    <cfRule type="cellIs" dxfId="28" priority="27" operator="equal">
      <formula>"Section is not Under Reinforced, Increase the Dimensions"</formula>
    </cfRule>
    <cfRule type="cellIs" dxfId="27" priority="28" operator="equal">
      <formula>"Section is Under Reinforced"</formula>
    </cfRule>
  </conditionalFormatting>
  <conditionalFormatting sqref="A49:B49">
    <cfRule type="cellIs" dxfId="26" priority="6" operator="equal">
      <formula>"Area of Steel Required is less than Minimum Steel specified by IS 456"</formula>
    </cfRule>
  </conditionalFormatting>
  <conditionalFormatting sqref="A50:B50">
    <cfRule type="cellIs" dxfId="25" priority="5" operator="equal">
      <formula>"So considering Minimum Steel specified by IS 456 for design &amp; to calulate Spacing"</formula>
    </cfRule>
  </conditionalFormatting>
  <conditionalFormatting sqref="A93:B93">
    <cfRule type="cellIs" dxfId="24" priority="1" operator="equal">
      <formula>"Design Shear Reinforcement"</formula>
    </cfRule>
    <cfRule type="cellIs" dxfId="23" priority="4" operator="equal">
      <formula>"Provide Minimum Shear Reinforcement"</formula>
    </cfRule>
  </conditionalFormatting>
  <conditionalFormatting sqref="A103:B103">
    <cfRule type="cellIs" dxfId="22" priority="2" operator="equal">
      <formula>"Design SF less than Min SF, Hence Considering the MIn SF value for Design"</formula>
    </cfRule>
    <cfRule type="cellIs" dxfId="21" priority="3" operator="equal">
      <formula>"Design SF in Shear Reinforcement is OK"</formula>
    </cfRule>
  </conditionalFormatting>
  <conditionalFormatting sqref="B32">
    <cfRule type="cellIs" dxfId="20" priority="11" operator="greaterThan">
      <formula>0.12</formula>
    </cfRule>
    <cfRule type="cellIs" dxfId="19" priority="12" operator="lessThan">
      <formula>0.12</formula>
    </cfRule>
  </conditionalFormatting>
  <conditionalFormatting sqref="B38">
    <cfRule type="cellIs" dxfId="18" priority="34" operator="equal">
      <formula>"Fail"</formula>
    </cfRule>
    <cfRule type="cellIs" dxfId="17" priority="35" operator="equal">
      <formula>"Safe"</formula>
    </cfRule>
  </conditionalFormatting>
  <conditionalFormatting sqref="B41:B42">
    <cfRule type="cellIs" dxfId="16" priority="13" operator="greaterThan">
      <formula>100</formula>
    </cfRule>
    <cfRule type="cellIs" dxfId="15" priority="14" operator="between">
      <formula>85</formula>
      <formula>100</formula>
    </cfRule>
    <cfRule type="cellIs" dxfId="14" priority="29" operator="lessThan">
      <formula>60</formula>
    </cfRule>
    <cfRule type="cellIs" dxfId="13" priority="30" operator="between">
      <formula>60</formula>
      <formula>85</formula>
    </cfRule>
  </conditionalFormatting>
  <conditionalFormatting sqref="B66">
    <cfRule type="cellIs" dxfId="12" priority="9" operator="greaterThan">
      <formula>0.12</formula>
    </cfRule>
    <cfRule type="cellIs" dxfId="11" priority="10" operator="lessThan">
      <formula>0.12</formula>
    </cfRule>
  </conditionalFormatting>
  <conditionalFormatting sqref="B70">
    <cfRule type="cellIs" dxfId="10" priority="15" operator="equal">
      <formula>"Under Reinforced Section"</formula>
    </cfRule>
    <cfRule type="cellIs" dxfId="9" priority="16" operator="equal">
      <formula>"Balanced Section"</formula>
    </cfRule>
    <cfRule type="cellIs" dxfId="8" priority="17" operator="equal">
      <formula>"Over Reinforced Section"</formula>
    </cfRule>
  </conditionalFormatting>
  <conditionalFormatting sqref="B74">
    <cfRule type="cellIs" dxfId="7" priority="32" operator="equal">
      <formula>"Fail"</formula>
    </cfRule>
    <cfRule type="cellIs" dxfId="6" priority="33" operator="equal">
      <formula>"Safe"</formula>
    </cfRule>
  </conditionalFormatting>
  <conditionalFormatting sqref="B77:B78">
    <cfRule type="cellIs" dxfId="5" priority="18" operator="greaterThan">
      <formula>100</formula>
    </cfRule>
    <cfRule type="cellIs" dxfId="4" priority="19" operator="lessThan">
      <formula>60</formula>
    </cfRule>
    <cfRule type="cellIs" dxfId="3" priority="20" operator="between">
      <formula>60</formula>
      <formula>85</formula>
    </cfRule>
    <cfRule type="cellIs" dxfId="2" priority="21" operator="between">
      <formula>85</formula>
      <formula>100</formula>
    </cfRule>
  </conditionalFormatting>
  <conditionalFormatting sqref="B86">
    <cfRule type="cellIs" dxfId="1" priority="25" operator="equal">
      <formula>"Safe"</formula>
    </cfRule>
    <cfRule type="cellIs" dxfId="0" priority="26" operator="equal">
      <formula>"Increase Size of Beam"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9E5847A-EBA2-437F-8D6B-AE6AF7CF78AF}">
          <x14:formula1>
            <xm:f>Misc!$A$6:$A$9</xm:f>
          </x14:formula1>
          <xm:sqref>K6</xm:sqref>
        </x14:dataValidation>
        <x14:dataValidation type="list" allowBlank="1" showInputMessage="1" showErrorMessage="1" xr:uid="{F1975985-9A82-427A-867E-0A8E66FA65F6}">
          <x14:formula1>
            <xm:f>Misc!$A$14:$A$17</xm:f>
          </x14:formula1>
          <xm:sqref>K7</xm:sqref>
        </x14:dataValidation>
        <x14:dataValidation type="list" allowBlank="1" showInputMessage="1" showErrorMessage="1" xr:uid="{8E9BF624-8F39-4435-9E47-2ABD2F73B3A3}">
          <x14:formula1>
            <xm:f>Misc!$A$21:$A$23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7232-E3E3-4F18-B84D-4BD7A7F49AA0}">
  <dimension ref="A1:F23"/>
  <sheetViews>
    <sheetView workbookViewId="0">
      <selection activeCell="D15" sqref="D15"/>
    </sheetView>
  </sheetViews>
  <sheetFormatPr defaultRowHeight="15" x14ac:dyDescent="0.25"/>
  <cols>
    <col min="1" max="1" width="65.28515625" style="2" customWidth="1"/>
    <col min="2" max="5" width="9.140625" style="2"/>
    <col min="6" max="6" width="10.7109375" style="2" bestFit="1" customWidth="1"/>
    <col min="7" max="16384" width="9.140625" style="2"/>
  </cols>
  <sheetData>
    <row r="1" spans="1:6" x14ac:dyDescent="0.25">
      <c r="A1" s="2" t="s">
        <v>8</v>
      </c>
      <c r="E1" s="2" t="s">
        <v>12</v>
      </c>
      <c r="F1" s="2">
        <f>0.1512*Main!B4*Main!B8</f>
        <v>4536</v>
      </c>
    </row>
    <row r="2" spans="1:6" x14ac:dyDescent="0.25">
      <c r="A2" s="2" t="s">
        <v>9</v>
      </c>
      <c r="E2" s="2" t="s">
        <v>13</v>
      </c>
      <c r="F2" s="2">
        <f>-0.36*Main!B4*Main!B8*Main!B17</f>
        <v>-917999.99999999988</v>
      </c>
    </row>
    <row r="3" spans="1:6" x14ac:dyDescent="0.25">
      <c r="E3" s="2" t="s">
        <v>14</v>
      </c>
      <c r="F3" s="2">
        <f>Main!G28*10^6</f>
        <v>5163888.8888888881</v>
      </c>
    </row>
    <row r="6" spans="1:6" x14ac:dyDescent="0.25">
      <c r="A6" s="2" t="s">
        <v>33</v>
      </c>
    </row>
    <row r="7" spans="1:6" x14ac:dyDescent="0.25">
      <c r="A7" s="2" t="s">
        <v>57</v>
      </c>
    </row>
    <row r="8" spans="1:6" x14ac:dyDescent="0.25">
      <c r="A8" s="2" t="s">
        <v>58</v>
      </c>
    </row>
    <row r="9" spans="1:6" x14ac:dyDescent="0.25">
      <c r="A9" s="2" t="s">
        <v>35</v>
      </c>
    </row>
    <row r="14" spans="1:6" x14ac:dyDescent="0.25">
      <c r="A14" s="2" t="s">
        <v>59</v>
      </c>
    </row>
    <row r="15" spans="1:6" x14ac:dyDescent="0.25">
      <c r="A15" s="2" t="s">
        <v>60</v>
      </c>
    </row>
    <row r="16" spans="1:6" x14ac:dyDescent="0.25">
      <c r="A16" s="2" t="s">
        <v>61</v>
      </c>
    </row>
    <row r="17" spans="1:1" x14ac:dyDescent="0.25">
      <c r="A17" s="2" t="s">
        <v>62</v>
      </c>
    </row>
    <row r="21" spans="1:1" x14ac:dyDescent="0.25">
      <c r="A21" s="2" t="s">
        <v>69</v>
      </c>
    </row>
    <row r="22" spans="1:1" x14ac:dyDescent="0.25">
      <c r="A22" s="2" t="s">
        <v>68</v>
      </c>
    </row>
    <row r="23" spans="1:1" x14ac:dyDescent="0.25">
      <c r="A23" s="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Srimaan Kanna</dc:creator>
  <cp:lastModifiedBy>Srimaan Kanna</cp:lastModifiedBy>
  <dcterms:created xsi:type="dcterms:W3CDTF">2015-06-05T18:17:20Z</dcterms:created>
  <dcterms:modified xsi:type="dcterms:W3CDTF">2024-10-29T05:23:52Z</dcterms:modified>
</cp:coreProperties>
</file>