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8389A3F8-A7DB-4A4B-B7C1-483C6813E580}" xr6:coauthVersionLast="47" xr6:coauthVersionMax="47" xr10:uidLastSave="{00000000-0000-0000-0000-000000000000}"/>
  <bookViews>
    <workbookView xWindow="20" yWindow="740" windowWidth="22540" windowHeight="14300" xr2:uid="{00000000-000D-0000-FFFF-FFFF00000000}"/>
  </bookViews>
  <sheets>
    <sheet name="Outlets List Members" sheetId="1" r:id="rId1"/>
  </sheets>
  <calcPr calcId="191029"/>
</workbook>
</file>

<file path=xl/calcChain.xml><?xml version="1.0" encoding="utf-8"?>
<calcChain xmlns="http://schemas.openxmlformats.org/spreadsheetml/2006/main">
  <c r="H200" i="1" l="1"/>
  <c r="F200" i="1"/>
  <c r="K199" i="1"/>
  <c r="H199" i="1"/>
  <c r="F199" i="1"/>
  <c r="F198" i="1"/>
  <c r="K197" i="1"/>
  <c r="H197" i="1"/>
  <c r="F197" i="1"/>
  <c r="F196" i="1"/>
  <c r="F195" i="1"/>
  <c r="K194" i="1"/>
  <c r="H194" i="1"/>
  <c r="F194" i="1"/>
  <c r="F193" i="1"/>
  <c r="F192" i="1"/>
  <c r="F191" i="1"/>
  <c r="K190" i="1"/>
  <c r="H190" i="1"/>
  <c r="F190" i="1"/>
  <c r="K189" i="1"/>
  <c r="H189" i="1"/>
  <c r="F189" i="1"/>
  <c r="K188" i="1"/>
  <c r="H188" i="1"/>
  <c r="F188" i="1"/>
  <c r="K187" i="1"/>
  <c r="F187" i="1"/>
  <c r="H186" i="1"/>
  <c r="F186" i="1"/>
  <c r="F185" i="1"/>
  <c r="K184" i="1"/>
  <c r="H184" i="1"/>
  <c r="F184" i="1"/>
  <c r="K183" i="1"/>
  <c r="F183" i="1"/>
  <c r="K182" i="1"/>
  <c r="H182" i="1"/>
  <c r="F182" i="1"/>
  <c r="H181" i="1"/>
  <c r="F181" i="1"/>
  <c r="K180" i="1"/>
  <c r="H180" i="1"/>
  <c r="F180" i="1"/>
  <c r="K179" i="1"/>
  <c r="F179" i="1"/>
  <c r="H178" i="1"/>
  <c r="F178" i="1"/>
  <c r="K177" i="1"/>
  <c r="F177" i="1"/>
  <c r="H176" i="1"/>
  <c r="F176" i="1"/>
  <c r="K175" i="1"/>
  <c r="F175" i="1"/>
  <c r="F174" i="1"/>
  <c r="F173" i="1"/>
  <c r="K172" i="1"/>
  <c r="H172" i="1"/>
  <c r="F172" i="1"/>
  <c r="K171" i="1"/>
  <c r="F171" i="1"/>
  <c r="K170" i="1"/>
  <c r="F170" i="1"/>
  <c r="K169" i="1"/>
  <c r="H169" i="1"/>
  <c r="F169" i="1"/>
  <c r="K168" i="1"/>
  <c r="H168" i="1"/>
  <c r="F168" i="1"/>
  <c r="H167" i="1"/>
  <c r="F167" i="1"/>
  <c r="K166" i="1"/>
  <c r="H166" i="1"/>
  <c r="F166" i="1"/>
  <c r="F165" i="1"/>
  <c r="K164" i="1"/>
  <c r="H164" i="1"/>
  <c r="F164" i="1"/>
  <c r="K163" i="1"/>
  <c r="H163" i="1"/>
  <c r="F163" i="1"/>
  <c r="H162" i="1"/>
  <c r="F162" i="1"/>
  <c r="K161" i="1"/>
  <c r="F161" i="1"/>
  <c r="K160" i="1"/>
  <c r="H160" i="1"/>
  <c r="F160" i="1"/>
  <c r="K159" i="1"/>
  <c r="H159" i="1"/>
  <c r="F159" i="1"/>
  <c r="K158" i="1"/>
  <c r="F158" i="1"/>
  <c r="K157" i="1"/>
  <c r="H157" i="1"/>
  <c r="F157" i="1"/>
  <c r="K156" i="1"/>
  <c r="F156" i="1"/>
  <c r="K155" i="1"/>
  <c r="F155" i="1"/>
  <c r="H154" i="1"/>
  <c r="F154" i="1"/>
  <c r="K153" i="1"/>
  <c r="H153" i="1"/>
  <c r="F153" i="1"/>
  <c r="K152" i="1"/>
  <c r="F152" i="1"/>
  <c r="K151" i="1"/>
  <c r="H151" i="1"/>
  <c r="F151" i="1"/>
  <c r="K150" i="1"/>
  <c r="H150" i="1"/>
  <c r="F150" i="1"/>
  <c r="K149" i="1"/>
  <c r="H149" i="1"/>
  <c r="F149" i="1"/>
  <c r="K148" i="1"/>
  <c r="H148" i="1"/>
  <c r="F148" i="1"/>
  <c r="K147" i="1"/>
  <c r="H147" i="1"/>
  <c r="F147" i="1"/>
  <c r="L146" i="1"/>
  <c r="K146" i="1"/>
  <c r="H146" i="1"/>
  <c r="F146" i="1"/>
  <c r="K145" i="1"/>
  <c r="H145" i="1"/>
  <c r="F145" i="1"/>
  <c r="H144" i="1"/>
  <c r="F144" i="1"/>
  <c r="K143" i="1"/>
  <c r="F143" i="1"/>
  <c r="K142" i="1"/>
  <c r="H142" i="1"/>
  <c r="F142" i="1"/>
  <c r="L141" i="1"/>
  <c r="H141" i="1"/>
  <c r="F141" i="1"/>
  <c r="K140" i="1"/>
  <c r="H140" i="1"/>
  <c r="F140" i="1"/>
  <c r="K139" i="1"/>
  <c r="H139" i="1"/>
  <c r="F139" i="1"/>
  <c r="K138" i="1"/>
  <c r="H138" i="1"/>
  <c r="F138" i="1"/>
  <c r="K137" i="1"/>
  <c r="H137" i="1"/>
  <c r="F137" i="1"/>
  <c r="K136" i="1"/>
  <c r="H136" i="1"/>
  <c r="F136" i="1"/>
  <c r="K135" i="1"/>
  <c r="H135" i="1"/>
  <c r="F135" i="1"/>
  <c r="K134" i="1"/>
  <c r="H134" i="1"/>
  <c r="F134" i="1"/>
  <c r="K133" i="1"/>
  <c r="H133" i="1"/>
  <c r="F133" i="1"/>
  <c r="H132" i="1"/>
  <c r="F132" i="1"/>
  <c r="H131" i="1"/>
  <c r="F131" i="1"/>
  <c r="K130" i="1"/>
  <c r="H130" i="1"/>
  <c r="F130" i="1"/>
  <c r="L129" i="1"/>
  <c r="H129" i="1"/>
  <c r="F129" i="1"/>
  <c r="K128" i="1"/>
  <c r="H128" i="1"/>
  <c r="F128" i="1"/>
  <c r="M127" i="1"/>
  <c r="L127" i="1"/>
  <c r="K127" i="1"/>
  <c r="H127" i="1"/>
  <c r="F127" i="1"/>
  <c r="H126" i="1"/>
  <c r="F126" i="1"/>
  <c r="K125" i="1"/>
  <c r="H125" i="1"/>
  <c r="F125" i="1"/>
  <c r="K124" i="1"/>
  <c r="H124" i="1"/>
  <c r="F124" i="1"/>
  <c r="K123" i="1"/>
  <c r="F123" i="1"/>
  <c r="H122" i="1"/>
  <c r="F122" i="1"/>
  <c r="H121" i="1"/>
  <c r="F121" i="1"/>
  <c r="K120" i="1"/>
  <c r="H120" i="1"/>
  <c r="F120" i="1"/>
  <c r="L119" i="1"/>
  <c r="K119" i="1"/>
  <c r="H119" i="1"/>
  <c r="F119" i="1"/>
  <c r="F118" i="1"/>
  <c r="K117" i="1"/>
  <c r="H117" i="1"/>
  <c r="F117" i="1"/>
  <c r="M116" i="1"/>
  <c r="L116" i="1"/>
  <c r="K116" i="1"/>
  <c r="H116" i="1"/>
  <c r="F116" i="1"/>
  <c r="L115" i="1"/>
  <c r="K115" i="1"/>
  <c r="H115" i="1"/>
  <c r="F115" i="1"/>
  <c r="L114" i="1"/>
  <c r="H114" i="1"/>
  <c r="F114" i="1"/>
  <c r="K113" i="1"/>
  <c r="H113" i="1"/>
  <c r="F113" i="1"/>
  <c r="K112" i="1"/>
  <c r="H112" i="1"/>
  <c r="F112" i="1"/>
  <c r="K111" i="1"/>
  <c r="H111" i="1"/>
  <c r="F111" i="1"/>
  <c r="L110" i="1"/>
  <c r="K110" i="1"/>
  <c r="H110" i="1"/>
  <c r="F110" i="1"/>
  <c r="K109" i="1"/>
  <c r="H109" i="1"/>
  <c r="F109" i="1"/>
  <c r="K108" i="1"/>
  <c r="H108" i="1"/>
  <c r="F108" i="1"/>
  <c r="K107" i="1"/>
  <c r="F107" i="1"/>
  <c r="K106" i="1"/>
  <c r="F106" i="1"/>
  <c r="L105" i="1"/>
  <c r="K105" i="1"/>
  <c r="H105" i="1"/>
  <c r="F105" i="1"/>
  <c r="K104" i="1"/>
  <c r="H104" i="1"/>
  <c r="F104" i="1"/>
  <c r="L103" i="1"/>
  <c r="K103" i="1"/>
  <c r="H103" i="1"/>
  <c r="F103" i="1"/>
  <c r="K102" i="1"/>
  <c r="H102" i="1"/>
  <c r="F102" i="1"/>
  <c r="K101" i="1"/>
  <c r="H101" i="1"/>
  <c r="F101" i="1"/>
  <c r="H100" i="1"/>
  <c r="F100" i="1"/>
  <c r="K99" i="1"/>
  <c r="H99" i="1"/>
  <c r="F99" i="1"/>
  <c r="M98" i="1"/>
  <c r="L98" i="1"/>
  <c r="K98" i="1"/>
  <c r="H98" i="1"/>
  <c r="F98" i="1"/>
  <c r="K97" i="1"/>
  <c r="H97" i="1"/>
  <c r="F97" i="1"/>
  <c r="K96" i="1"/>
  <c r="H96" i="1"/>
  <c r="F96" i="1"/>
  <c r="K95" i="1"/>
  <c r="H95" i="1"/>
  <c r="F95" i="1"/>
  <c r="L94" i="1"/>
  <c r="H94" i="1"/>
  <c r="F94" i="1"/>
  <c r="K93" i="1"/>
  <c r="H93" i="1"/>
  <c r="F93" i="1"/>
  <c r="L92" i="1"/>
  <c r="K92" i="1"/>
  <c r="H92" i="1"/>
  <c r="F92" i="1"/>
  <c r="L91" i="1"/>
  <c r="K91" i="1"/>
  <c r="H91" i="1"/>
  <c r="F91" i="1"/>
  <c r="K90" i="1"/>
  <c r="H90" i="1"/>
  <c r="F90" i="1"/>
  <c r="L89" i="1"/>
  <c r="K89" i="1"/>
  <c r="H89" i="1"/>
  <c r="F89" i="1"/>
  <c r="K88" i="1"/>
  <c r="H88" i="1"/>
  <c r="F88" i="1"/>
  <c r="K87" i="1"/>
  <c r="H87" i="1"/>
  <c r="F87" i="1"/>
  <c r="L86" i="1"/>
  <c r="K86" i="1"/>
  <c r="H86" i="1"/>
  <c r="F86" i="1"/>
  <c r="K85" i="1"/>
  <c r="H85" i="1"/>
  <c r="F85" i="1"/>
  <c r="L84" i="1"/>
  <c r="K84" i="1"/>
  <c r="H84" i="1"/>
  <c r="F84" i="1"/>
  <c r="L83" i="1"/>
  <c r="K83" i="1"/>
  <c r="H83" i="1"/>
  <c r="F83" i="1"/>
  <c r="M82" i="1"/>
  <c r="K82" i="1"/>
  <c r="H82" i="1"/>
  <c r="F82" i="1"/>
  <c r="L81" i="1"/>
  <c r="K81" i="1"/>
  <c r="H81" i="1"/>
  <c r="F81" i="1"/>
  <c r="K80" i="1"/>
  <c r="H80" i="1"/>
  <c r="F80" i="1"/>
  <c r="K79" i="1"/>
  <c r="H79" i="1"/>
  <c r="F79" i="1"/>
  <c r="K78" i="1"/>
  <c r="H78" i="1"/>
  <c r="F78" i="1"/>
  <c r="L77" i="1"/>
  <c r="K77" i="1"/>
  <c r="H77" i="1"/>
  <c r="F77" i="1"/>
  <c r="L76" i="1"/>
  <c r="K76" i="1"/>
  <c r="H76" i="1"/>
  <c r="F76" i="1"/>
  <c r="L75" i="1"/>
  <c r="K75" i="1"/>
  <c r="H75" i="1"/>
  <c r="F75" i="1"/>
  <c r="L74" i="1"/>
  <c r="K74" i="1"/>
  <c r="H74" i="1"/>
  <c r="F74" i="1"/>
  <c r="K73" i="1"/>
  <c r="H73" i="1"/>
  <c r="F73" i="1"/>
  <c r="L72" i="1"/>
  <c r="K72" i="1"/>
  <c r="H72" i="1"/>
  <c r="F72" i="1"/>
  <c r="K71" i="1"/>
  <c r="H71" i="1"/>
  <c r="F71" i="1"/>
  <c r="L70" i="1"/>
  <c r="K70" i="1"/>
  <c r="H70" i="1"/>
  <c r="F70" i="1"/>
  <c r="L69" i="1"/>
  <c r="K69" i="1"/>
  <c r="H69" i="1"/>
  <c r="F69" i="1"/>
  <c r="L68" i="1"/>
  <c r="K68" i="1"/>
  <c r="H68" i="1"/>
  <c r="F68" i="1"/>
  <c r="L67" i="1"/>
  <c r="K67" i="1"/>
  <c r="H67" i="1"/>
  <c r="F67" i="1"/>
  <c r="L66" i="1"/>
  <c r="K66" i="1"/>
  <c r="H66" i="1"/>
  <c r="F66" i="1"/>
  <c r="M65" i="1"/>
  <c r="L65" i="1"/>
  <c r="K65" i="1"/>
  <c r="H65" i="1"/>
  <c r="F65" i="1"/>
  <c r="L64" i="1"/>
  <c r="K64" i="1"/>
  <c r="H64" i="1"/>
  <c r="F64" i="1"/>
  <c r="M63" i="1"/>
  <c r="L63" i="1"/>
  <c r="K63" i="1"/>
  <c r="H63" i="1"/>
  <c r="F63" i="1"/>
  <c r="K62" i="1"/>
  <c r="H62" i="1"/>
  <c r="F62" i="1"/>
  <c r="M61" i="1"/>
  <c r="L61" i="1"/>
  <c r="K61" i="1"/>
  <c r="H61" i="1"/>
  <c r="F61" i="1"/>
  <c r="M60" i="1"/>
  <c r="K60" i="1"/>
  <c r="H60" i="1"/>
  <c r="F60" i="1"/>
  <c r="K59" i="1"/>
  <c r="H59" i="1"/>
  <c r="F59" i="1"/>
  <c r="L58" i="1"/>
  <c r="K58" i="1"/>
  <c r="H58" i="1"/>
  <c r="F58" i="1"/>
  <c r="L57" i="1"/>
  <c r="K57" i="1"/>
  <c r="H57" i="1"/>
  <c r="F57" i="1"/>
  <c r="L56" i="1"/>
  <c r="K56" i="1"/>
  <c r="H56" i="1"/>
  <c r="F56" i="1"/>
  <c r="L55" i="1"/>
  <c r="K55" i="1"/>
  <c r="H55" i="1"/>
  <c r="F55" i="1"/>
  <c r="L54" i="1"/>
  <c r="K54" i="1"/>
  <c r="H54" i="1"/>
  <c r="F54" i="1"/>
  <c r="L53" i="1"/>
  <c r="K53" i="1"/>
  <c r="H53" i="1"/>
  <c r="F53" i="1"/>
  <c r="M52" i="1"/>
  <c r="L52" i="1"/>
  <c r="K52" i="1"/>
  <c r="H52" i="1"/>
  <c r="F52" i="1"/>
  <c r="M51" i="1"/>
  <c r="K51" i="1"/>
  <c r="H51" i="1"/>
  <c r="F51" i="1"/>
  <c r="L50" i="1"/>
  <c r="K50" i="1"/>
  <c r="H50" i="1"/>
  <c r="F50" i="1"/>
  <c r="M49" i="1"/>
  <c r="L49" i="1"/>
  <c r="K49" i="1"/>
  <c r="H49" i="1"/>
  <c r="F49" i="1"/>
  <c r="L48" i="1"/>
  <c r="K48" i="1"/>
  <c r="H48" i="1"/>
  <c r="F48" i="1"/>
  <c r="L47" i="1"/>
  <c r="K47" i="1"/>
  <c r="H47" i="1"/>
  <c r="F47" i="1"/>
  <c r="L46" i="1"/>
  <c r="K46" i="1"/>
  <c r="H46" i="1"/>
  <c r="F46" i="1"/>
  <c r="M45" i="1"/>
  <c r="L45" i="1"/>
  <c r="K45" i="1"/>
  <c r="H45" i="1"/>
  <c r="F45" i="1"/>
  <c r="L44" i="1"/>
  <c r="K44" i="1"/>
  <c r="H44" i="1"/>
  <c r="F44" i="1"/>
  <c r="L43" i="1"/>
  <c r="K43" i="1"/>
  <c r="H43" i="1"/>
  <c r="F43" i="1"/>
  <c r="L42" i="1"/>
  <c r="K42" i="1"/>
  <c r="H42" i="1"/>
  <c r="F42" i="1"/>
  <c r="L41" i="1"/>
  <c r="K41" i="1"/>
  <c r="H41" i="1"/>
  <c r="F41" i="1"/>
  <c r="K40" i="1"/>
  <c r="H40" i="1"/>
  <c r="F40" i="1"/>
  <c r="K39" i="1"/>
  <c r="H39" i="1"/>
  <c r="F39" i="1"/>
  <c r="M38" i="1"/>
  <c r="L38" i="1"/>
  <c r="K38" i="1"/>
  <c r="H38" i="1"/>
  <c r="F38" i="1"/>
  <c r="L37" i="1"/>
  <c r="K37" i="1"/>
  <c r="H37" i="1"/>
  <c r="F37" i="1"/>
  <c r="K36" i="1"/>
  <c r="H36" i="1"/>
  <c r="F36" i="1"/>
  <c r="L35" i="1"/>
  <c r="K35" i="1"/>
  <c r="H35" i="1"/>
  <c r="F35" i="1"/>
  <c r="K34" i="1"/>
  <c r="H34" i="1"/>
  <c r="F34" i="1"/>
  <c r="L33" i="1"/>
  <c r="K33" i="1"/>
  <c r="H33" i="1"/>
  <c r="F33" i="1"/>
  <c r="L32" i="1"/>
  <c r="K32" i="1"/>
  <c r="H32" i="1"/>
  <c r="F32" i="1"/>
  <c r="K31" i="1"/>
  <c r="H31" i="1"/>
  <c r="F31" i="1"/>
  <c r="L30" i="1"/>
  <c r="K30" i="1"/>
  <c r="H30" i="1"/>
  <c r="F30" i="1"/>
  <c r="K29" i="1"/>
  <c r="H29" i="1"/>
  <c r="F29" i="1"/>
  <c r="L28" i="1"/>
  <c r="K28" i="1"/>
  <c r="H28" i="1"/>
  <c r="F28" i="1"/>
  <c r="M27" i="1"/>
  <c r="L27" i="1"/>
  <c r="K27" i="1"/>
  <c r="H27" i="1"/>
  <c r="F27" i="1"/>
  <c r="L26" i="1"/>
  <c r="K26" i="1"/>
  <c r="H26" i="1"/>
  <c r="F26" i="1"/>
  <c r="L25" i="1"/>
  <c r="K25" i="1"/>
  <c r="H25" i="1"/>
  <c r="F25" i="1"/>
  <c r="K24" i="1"/>
  <c r="H24" i="1"/>
  <c r="F24" i="1"/>
  <c r="M23" i="1"/>
  <c r="K23" i="1"/>
  <c r="H23" i="1"/>
  <c r="F23" i="1"/>
  <c r="L22" i="1"/>
  <c r="K22" i="1"/>
  <c r="H22" i="1"/>
  <c r="F22" i="1"/>
  <c r="K21" i="1"/>
  <c r="H21" i="1"/>
  <c r="F21" i="1"/>
  <c r="M20" i="1"/>
  <c r="K20" i="1"/>
  <c r="H20" i="1"/>
  <c r="F20" i="1"/>
  <c r="L19" i="1"/>
  <c r="K19" i="1"/>
  <c r="H19" i="1"/>
  <c r="F19" i="1"/>
  <c r="M18" i="1"/>
  <c r="L18" i="1"/>
  <c r="K18" i="1"/>
  <c r="H18" i="1"/>
  <c r="F18" i="1"/>
  <c r="L17" i="1"/>
  <c r="K17" i="1"/>
  <c r="H17" i="1"/>
  <c r="F17" i="1"/>
  <c r="M16" i="1"/>
  <c r="L16" i="1"/>
  <c r="K16" i="1"/>
  <c r="H16" i="1"/>
  <c r="F16" i="1"/>
  <c r="K15" i="1"/>
  <c r="H15" i="1"/>
  <c r="F15" i="1"/>
  <c r="L14" i="1"/>
  <c r="K14" i="1"/>
  <c r="H14" i="1"/>
  <c r="F14" i="1"/>
  <c r="L13" i="1"/>
  <c r="K13" i="1"/>
  <c r="H13" i="1"/>
  <c r="F13" i="1"/>
  <c r="L12" i="1"/>
  <c r="K12" i="1"/>
  <c r="H12" i="1"/>
  <c r="F12" i="1"/>
  <c r="K11" i="1"/>
  <c r="H11" i="1"/>
  <c r="F11" i="1"/>
  <c r="L10" i="1"/>
  <c r="K10" i="1"/>
  <c r="H10" i="1"/>
  <c r="F10" i="1"/>
  <c r="L9" i="1"/>
  <c r="K9" i="1"/>
  <c r="H9" i="1"/>
  <c r="F9" i="1"/>
  <c r="K8" i="1"/>
  <c r="H8" i="1"/>
  <c r="F8" i="1"/>
  <c r="L7" i="1"/>
  <c r="K7" i="1"/>
  <c r="H7" i="1"/>
  <c r="F7" i="1"/>
  <c r="K6" i="1"/>
  <c r="H6" i="1"/>
  <c r="F6" i="1"/>
  <c r="M5" i="1"/>
  <c r="L5" i="1"/>
  <c r="K5" i="1"/>
  <c r="H5" i="1"/>
  <c r="F5" i="1"/>
  <c r="L4" i="1"/>
  <c r="K4" i="1"/>
  <c r="H4" i="1"/>
  <c r="F4" i="1"/>
  <c r="K3" i="1"/>
  <c r="H3" i="1"/>
  <c r="F3" i="1"/>
  <c r="M2" i="1"/>
  <c r="L2" i="1"/>
  <c r="K2" i="1"/>
  <c r="H2" i="1"/>
  <c r="F2" i="1"/>
</calcChain>
</file>

<file path=xl/sharedStrings.xml><?xml version="1.0" encoding="utf-8"?>
<sst xmlns="http://schemas.openxmlformats.org/spreadsheetml/2006/main" count="1914" uniqueCount="914">
  <si>
    <t>Outlet Name</t>
  </si>
  <si>
    <t>Media Market</t>
  </si>
  <si>
    <t>Email</t>
  </si>
  <si>
    <t>Phone number</t>
  </si>
  <si>
    <t>Outlet URL</t>
  </si>
  <si>
    <t>Location</t>
  </si>
  <si>
    <t>Facebook</t>
  </si>
  <si>
    <t>Twitter</t>
  </si>
  <si>
    <t>Instagram</t>
  </si>
  <si>
    <t>LinkedIn</t>
  </si>
  <si>
    <t>Pinterest</t>
  </si>
  <si>
    <t>Flickr</t>
  </si>
  <si>
    <t>Audience</t>
  </si>
  <si>
    <t>Language</t>
  </si>
  <si>
    <t>UVM</t>
  </si>
  <si>
    <t>Domain Authority (provided by Moz)</t>
  </si>
  <si>
    <t>Frequency</t>
  </si>
  <si>
    <t>Days published</t>
  </si>
  <si>
    <t>Country</t>
  </si>
  <si>
    <t>The Guardian</t>
  </si>
  <si>
    <t>None</t>
  </si>
  <si>
    <t>national@theguardian.com</t>
  </si>
  <si>
    <t>+44 (0)20 335 32000</t>
  </si>
  <si>
    <t>Kings Place, 90 York Way London, England N1 9GU United Kingdom</t>
  </si>
  <si>
    <t>guardian</t>
  </si>
  <si>
    <t>153163</t>
  </si>
  <si>
    <t>&lt;Language: English&gt;</t>
  </si>
  <si>
    <t>Daily</t>
  </si>
  <si>
    <t>Monday, Tuesday, Wednesday, Thursday, Friday, Saturday, Sunday</t>
  </si>
  <si>
    <t>United Kingdom</t>
  </si>
  <si>
    <t>Bloomberg Businessweek</t>
  </si>
  <si>
    <t>press@bloomberg.com</t>
  </si>
  <si>
    <t>+1 (212) 318 2000</t>
  </si>
  <si>
    <t>731 Lexington Ave. New York, New York 10022 United States of America</t>
  </si>
  <si>
    <t>BW</t>
  </si>
  <si>
    <t>228646</t>
  </si>
  <si>
    <t>Weekly</t>
  </si>
  <si>
    <t>Thursday</t>
  </si>
  <si>
    <t>United States of America</t>
  </si>
  <si>
    <t>The New York Times</t>
  </si>
  <si>
    <t>New York City</t>
  </si>
  <si>
    <t>news-tips@nytimes.com</t>
  </si>
  <si>
    <t>+1 (212) 556 1234</t>
  </si>
  <si>
    <t>620 8th Ave. New York, New York 10018 United States of America</t>
  </si>
  <si>
    <t>nytimes</t>
  </si>
  <si>
    <t>379380</t>
  </si>
  <si>
    <t>Financial Times</t>
  </si>
  <si>
    <t>help@ft.com</t>
  </si>
  <si>
    <t>+44 (0)20 7873 3000</t>
  </si>
  <si>
    <t>Bracken House 1 Friday Street London, EC4M 9BT United Kingdom</t>
  </si>
  <si>
    <t>FT</t>
  </si>
  <si>
    <t>193211</t>
  </si>
  <si>
    <t>ABC News</t>
  </si>
  <si>
    <t>news.tips@abc.com</t>
  </si>
  <si>
    <t>+1 (212) 456 7777</t>
  </si>
  <si>
    <t>47 West 66th Street New York, New York 10023 United States of America</t>
  </si>
  <si>
    <t>ABC</t>
  </si>
  <si>
    <t>8652000</t>
  </si>
  <si>
    <t>CNN</t>
  </si>
  <si>
    <t>+1 (212) 484 8000</t>
  </si>
  <si>
    <t>30 Hudson Yards New York, New York 10001 United States of America</t>
  </si>
  <si>
    <t>1440000</t>
  </si>
  <si>
    <t>NBC News</t>
  </si>
  <si>
    <t>nbcnewsdigitalcontact@nbcuni.com</t>
  </si>
  <si>
    <t>+1 212 (664) 4444</t>
  </si>
  <si>
    <t>30 Rockefeller Plaza New York, New York 10011 United States of America</t>
  </si>
  <si>
    <t>NBCNews</t>
  </si>
  <si>
    <t>7252000</t>
  </si>
  <si>
    <t>The Washington Post</t>
  </si>
  <si>
    <t>Washington, DC</t>
  </si>
  <si>
    <t>metro@washpost.com</t>
  </si>
  <si>
    <t>+1 (202) 334 6000</t>
  </si>
  <si>
    <t>1301 K St. NW Washington, District of Columbia 20005 United States of America</t>
  </si>
  <si>
    <t>washingtonpost</t>
  </si>
  <si>
    <t>128848</t>
  </si>
  <si>
    <t>Los Angeles Times</t>
  </si>
  <si>
    <t>Los Angeles</t>
  </si>
  <si>
    <t>tips@latimes.com</t>
  </si>
  <si>
    <t>+1 (213) 283 2274</t>
  </si>
  <si>
    <t>2300 E. Imperial Highway El Segundo, California 90245 United States of America</t>
  </si>
  <si>
    <t>latimes</t>
  </si>
  <si>
    <t>501512</t>
  </si>
  <si>
    <t>CBS News</t>
  </si>
  <si>
    <t>evening@cbsnews.com</t>
  </si>
  <si>
    <t>+1 (212) 975 4321</t>
  </si>
  <si>
    <t>524 West 57th St. New York, New York 10019 United States of America</t>
  </si>
  <si>
    <t>CBSNews</t>
  </si>
  <si>
    <t>1950000</t>
  </si>
  <si>
    <t>The Wall Street Journal</t>
  </si>
  <si>
    <t>edit.features@wsj.com</t>
  </si>
  <si>
    <t>+1 (212) 416 2000</t>
  </si>
  <si>
    <t>1211 Avenue of the Americas New York, New York 10036 United States of America</t>
  </si>
  <si>
    <t>WSJ</t>
  </si>
  <si>
    <t>556392</t>
  </si>
  <si>
    <t>Monday, Tuesday, Wednesday, Thursday, Friday, Saturday</t>
  </si>
  <si>
    <t>NPR</t>
  </si>
  <si>
    <t>storyideas@npr.org</t>
  </si>
  <si>
    <t>+1 (202) 513 2000</t>
  </si>
  <si>
    <t>1111 N. Capital Street, NE Washington, District Of Columbia 20002 United States of America</t>
  </si>
  <si>
    <t>TIME</t>
  </si>
  <si>
    <t>editors@time.com</t>
  </si>
  <si>
    <t>3 Bryant Park Floor 6, V-6 New York, New York 10036 United States of America</t>
  </si>
  <si>
    <t>1256572</t>
  </si>
  <si>
    <t>Friday</t>
  </si>
  <si>
    <t>Bloomberg News</t>
  </si>
  <si>
    <t>release@bloomberg.net</t>
  </si>
  <si>
    <t>business</t>
  </si>
  <si>
    <t>Chicago Tribune</t>
  </si>
  <si>
    <t>Chicago</t>
  </si>
  <si>
    <t>tips@chicagotribune.com</t>
  </si>
  <si>
    <t>+1 (312) 546 7900</t>
  </si>
  <si>
    <t>560 W. Grand Ave. Chicago, Illinois 60654 United States of America</t>
  </si>
  <si>
    <t>chicagotribune</t>
  </si>
  <si>
    <t>240283</t>
  </si>
  <si>
    <t>&lt;Language: English&gt;, &lt;Language: Spanish&gt;</t>
  </si>
  <si>
    <t>BBC</t>
  </si>
  <si>
    <t>newswatch@bbc.co.uk</t>
  </si>
  <si>
    <t>+44 (0)20 8743 8000</t>
  </si>
  <si>
    <t>BBC Broadcasting House Portland Place London, W1A 1AA United Kingdom</t>
  </si>
  <si>
    <t>BBCNews</t>
  </si>
  <si>
    <t>Salon</t>
  </si>
  <si>
    <t>press@salon.com</t>
  </si>
  <si>
    <t>+1 (415) 870 7566</t>
  </si>
  <si>
    <t>870 Market Street Ste 528 San Francisco, California 94102 United States of America</t>
  </si>
  <si>
    <t>Forbes</t>
  </si>
  <si>
    <t>readers@forbes.com</t>
  </si>
  <si>
    <t>+1 (212) 620 2200</t>
  </si>
  <si>
    <t>499 Washington Blvd Jersey City, New Jersey 07310 United States of America</t>
  </si>
  <si>
    <t>523827</t>
  </si>
  <si>
    <t>Biweekly/Fortnightly</t>
  </si>
  <si>
    <t>Wednesday</t>
  </si>
  <si>
    <t>Fox News</t>
  </si>
  <si>
    <t>desk@foxnews.com</t>
  </si>
  <si>
    <t>+1 (888) 369 4762</t>
  </si>
  <si>
    <t>1211 Avenue of the Americas 15th Floor New York, New York 10036 United States of America</t>
  </si>
  <si>
    <t>FoxNews</t>
  </si>
  <si>
    <t>1320000</t>
  </si>
  <si>
    <t>WIRED Magazine</t>
  </si>
  <si>
    <t>press@wired.com</t>
  </si>
  <si>
    <t>520 Third Street 3rd Floor San Francisco, California 94107 United States of America</t>
  </si>
  <si>
    <t>wired</t>
  </si>
  <si>
    <t>511380</t>
  </si>
  <si>
    <t>Monthly</t>
  </si>
  <si>
    <t>USA Today</t>
  </si>
  <si>
    <t>letters@usatoday.com</t>
  </si>
  <si>
    <t>+1 (703) 854 3400</t>
  </si>
  <si>
    <t>7950 Jones Branch Drive Mclean, Virginia 22108 United States of America</t>
  </si>
  <si>
    <t>USATODAY</t>
  </si>
  <si>
    <t>152638</t>
  </si>
  <si>
    <t>Associated Press</t>
  </si>
  <si>
    <t>info@ap.org</t>
  </si>
  <si>
    <t>+1 (212) 621 1500</t>
  </si>
  <si>
    <t>200 Liberty St New York, New York 10281 United States of America</t>
  </si>
  <si>
    <t>AP</t>
  </si>
  <si>
    <t>Reuters</t>
  </si>
  <si>
    <t>+1 (646) 540-3000</t>
  </si>
  <si>
    <t>3 Times Square New York, New York 10036 United States of America</t>
  </si>
  <si>
    <t>Fast Company</t>
  </si>
  <si>
    <t>fastcopress@kivvit.com</t>
  </si>
  <si>
    <t>+1 (212) 389 5300</t>
  </si>
  <si>
    <t>7 World Trade Center New York, New York 10007 United States of America</t>
  </si>
  <si>
    <t>fastcompany</t>
  </si>
  <si>
    <t>338041</t>
  </si>
  <si>
    <t>The New Yorker</t>
  </si>
  <si>
    <t>themail@newyorker.com</t>
  </si>
  <si>
    <t>+1 (212) 286 2860</t>
  </si>
  <si>
    <t>1 World Trade Center New York, New York 10007 United States of America</t>
  </si>
  <si>
    <t>NewYorker</t>
  </si>
  <si>
    <t>1221132</t>
  </si>
  <si>
    <t>The Economist</t>
  </si>
  <si>
    <t>letters@economist.com</t>
  </si>
  <si>
    <t>+44 (0)20 7830 7000</t>
  </si>
  <si>
    <t>The Adelphi 1-11 John Adam St London, WC2N 6HT United Kingdom</t>
  </si>
  <si>
    <t>TheEconomist</t>
  </si>
  <si>
    <t>600586</t>
  </si>
  <si>
    <t>Mother Jones</t>
  </si>
  <si>
    <t>press@motherjones.com</t>
  </si>
  <si>
    <t>+1 (415) 321 1700</t>
  </si>
  <si>
    <t>222 Sutter St. Suite 600 San Francisco, California 94108 United States of America</t>
  </si>
  <si>
    <t>MotherJones</t>
  </si>
  <si>
    <t>Bimonthly</t>
  </si>
  <si>
    <t>New York Magazine</t>
  </si>
  <si>
    <t>editorialsubmissions@nymag.com</t>
  </si>
  <si>
    <t>+1 (212) 508 0700</t>
  </si>
  <si>
    <t>444 Madison Ave, Floor 14 New York, New York 10022 United States of America</t>
  </si>
  <si>
    <t>NYMag</t>
  </si>
  <si>
    <t>411348</t>
  </si>
  <si>
    <t>Sunday</t>
  </si>
  <si>
    <t>The Atlantic</t>
  </si>
  <si>
    <t>letters@theatlantic.com</t>
  </si>
  <si>
    <t>+1 (202) 266 6000</t>
  </si>
  <si>
    <t>600 New Hampshire Ave NW Washington, District Of Columbia 20037 United States of America</t>
  </si>
  <si>
    <t>TheAtlantic</t>
  </si>
  <si>
    <t>878041</t>
  </si>
  <si>
    <t>The Nation</t>
  </si>
  <si>
    <t>letters@thenation.com</t>
  </si>
  <si>
    <t>+1 (212) 209 5400</t>
  </si>
  <si>
    <t>520 Eighth Avenue New York, New York 10018 United States of America</t>
  </si>
  <si>
    <t>thenation</t>
  </si>
  <si>
    <t>300000</t>
  </si>
  <si>
    <t>Vanity Fair</t>
  </si>
  <si>
    <t>letters@vf.com</t>
  </si>
  <si>
    <t>1 World Trade Center 40th Floor New York, New York 10007 United States of America</t>
  </si>
  <si>
    <t>VanityFair</t>
  </si>
  <si>
    <t>1226397</t>
  </si>
  <si>
    <t>Rolling Stone</t>
  </si>
  <si>
    <t>rseditors@rollingstone.com</t>
  </si>
  <si>
    <t>+1 (212) 484 1616</t>
  </si>
  <si>
    <t>475 5th Avenue New York, New York 10017 United States of America</t>
  </si>
  <si>
    <t>RollingStone</t>
  </si>
  <si>
    <t>413126</t>
  </si>
  <si>
    <t>Fortune</t>
  </si>
  <si>
    <t>letters@fortune.com</t>
  </si>
  <si>
    <t>+1 (646) 437 6550</t>
  </si>
  <si>
    <t>40 Fulton Street New York, New York 10038 United States of America</t>
  </si>
  <si>
    <t>FortuneMagazine</t>
  </si>
  <si>
    <t>679653</t>
  </si>
  <si>
    <t>Other</t>
  </si>
  <si>
    <t>Slate</t>
  </si>
  <si>
    <t>slateoffice@slate.com</t>
  </si>
  <si>
    <t>+1 (212) 445 5330</t>
  </si>
  <si>
    <t>15 MetroTech Center 8th Floor Brooklyn, New York 11201 United States of America</t>
  </si>
  <si>
    <t>CNBC</t>
  </si>
  <si>
    <t>cnbc@nbcuni.com</t>
  </si>
  <si>
    <t>+1 (201) 735 2622</t>
  </si>
  <si>
    <t>900 Sylvan Avenue Englewood Cliffs, New Jersey 07632 United States of America</t>
  </si>
  <si>
    <t>cnbc</t>
  </si>
  <si>
    <t>Inc.</t>
  </si>
  <si>
    <t>pitches@inc.com</t>
  </si>
  <si>
    <t>7 World Trade Center Floor 29 New York, New York 10007-2195 United States of America</t>
  </si>
  <si>
    <t>Inc</t>
  </si>
  <si>
    <t>300565</t>
  </si>
  <si>
    <t>ProPublica</t>
  </si>
  <si>
    <t>hello@propublica.org</t>
  </si>
  <si>
    <t>+1 (212) 514 5250</t>
  </si>
  <si>
    <t>155 Avenue of the Americas, 13th Floor New York, New York 10013 United States of America</t>
  </si>
  <si>
    <t>Barron's</t>
  </si>
  <si>
    <t>editors@barrons.com</t>
  </si>
  <si>
    <t>barronsonline</t>
  </si>
  <si>
    <t>167820</t>
  </si>
  <si>
    <t>SFGate</t>
  </si>
  <si>
    <t>San Francisco-Oakland-San Jose</t>
  </si>
  <si>
    <t>+1 (415) 777 7000</t>
  </si>
  <si>
    <t>901 Mission St San Francisco, California 94103 United States of America</t>
  </si>
  <si>
    <t>Miami Herald</t>
  </si>
  <si>
    <t>Miami-Ft. Lauderdale</t>
  </si>
  <si>
    <t>dadenews@miamiherald.com</t>
  </si>
  <si>
    <t>+1 	(305) 376 3665</t>
  </si>
  <si>
    <t>3511 NW 91 Ave. Miami, Florida 33172 United States of America</t>
  </si>
  <si>
    <t>MiamiHerald</t>
  </si>
  <si>
    <t>55369</t>
  </si>
  <si>
    <t>The Boston Globe</t>
  </si>
  <si>
    <t>Boston-Manchester</t>
  </si>
  <si>
    <t>newstip@globe.com</t>
  </si>
  <si>
    <t>+1 (617) 929 3100</t>
  </si>
  <si>
    <t>1 Exchange Place Suite 201 Boston, Massachusetts 02109-2132 United States of America</t>
  </si>
  <si>
    <t>BostonGlobe</t>
  </si>
  <si>
    <t>346630</t>
  </si>
  <si>
    <t>The Philadelphia Inquirer</t>
  </si>
  <si>
    <t>Philadelphia</t>
  </si>
  <si>
    <t>breakingnews@inquirer.com</t>
  </si>
  <si>
    <t>+1 (215) 854 2000</t>
  </si>
  <si>
    <t>100 S. Independence Mall West Suite 600 Philadelphia, Pennsylvania 19106 United States of America</t>
  </si>
  <si>
    <t>PhillyInquirer</t>
  </si>
  <si>
    <t>6481</t>
  </si>
  <si>
    <t>Detroit Free Press</t>
  </si>
  <si>
    <t>Detroit</t>
  </si>
  <si>
    <t>city@freepress.com</t>
  </si>
  <si>
    <t>+1 (313) 222 6400</t>
  </si>
  <si>
    <t>160 W. Fort St Detroit, Michigan 48226 United States of America</t>
  </si>
  <si>
    <t>freep</t>
  </si>
  <si>
    <t>44782</t>
  </si>
  <si>
    <t>Baltimore Sun</t>
  </si>
  <si>
    <t>Baltimore</t>
  </si>
  <si>
    <t>newstips@baltimoresun.com</t>
  </si>
  <si>
    <t>+1 (410) 332 6000</t>
  </si>
  <si>
    <t>300 E Cromwell St. Baltimore, Maryland 21230 United States of America</t>
  </si>
  <si>
    <t>baltimoresun</t>
  </si>
  <si>
    <t>20779</t>
  </si>
  <si>
    <t>The Denver Post</t>
  </si>
  <si>
    <t>Denver</t>
  </si>
  <si>
    <t>newsroom@denverpost.com</t>
  </si>
  <si>
    <t>+1 (303) 954 1010</t>
  </si>
  <si>
    <t>5990 Washington St. Denver, Colorado 80216 United States of America</t>
  </si>
  <si>
    <t>denverpost</t>
  </si>
  <si>
    <t>154814</t>
  </si>
  <si>
    <t>Business Insider</t>
  </si>
  <si>
    <t>tips@businessinsider.com</t>
  </si>
  <si>
    <t>+1 (646) 376 6000</t>
  </si>
  <si>
    <t>1 Liberty Plaza 8th Floor New York, New York 10006 United States of America</t>
  </si>
  <si>
    <t>businessinsider</t>
  </si>
  <si>
    <t>The Atlanta Journal-Constitution</t>
  </si>
  <si>
    <t>Atlanta</t>
  </si>
  <si>
    <t>communitynews@ajc.com</t>
  </si>
  <si>
    <t>+1 (404) 526 7003</t>
  </si>
  <si>
    <t>223 Perimeter Center Pkwy Atlanta, Georgia 30346 United States of America</t>
  </si>
  <si>
    <t>ajc</t>
  </si>
  <si>
    <t>87331</t>
  </si>
  <si>
    <t>The Sacramento Bee</t>
  </si>
  <si>
    <t>Sacramento-Stockton-Modesto</t>
  </si>
  <si>
    <t>metro@sacbee.com</t>
  </si>
  <si>
    <t>+1 (916) 321 1000</t>
  </si>
  <si>
    <t>2100 Q St Sacramento, California 95816 United States of America</t>
  </si>
  <si>
    <t>sacbee_news</t>
  </si>
  <si>
    <t>56521</t>
  </si>
  <si>
    <t>POLITICO</t>
  </si>
  <si>
    <t>press@politico.com</t>
  </si>
  <si>
    <t>+1 (703) 647 7999</t>
  </si>
  <si>
    <t>1000 Wilson Blvd 8th Floor Arlington, Virginia 22209 United States of America</t>
  </si>
  <si>
    <t>politicomag</t>
  </si>
  <si>
    <t>The  Arizona Republic</t>
  </si>
  <si>
    <t>Phoenix</t>
  </si>
  <si>
    <t>newstips@arizonarepublic.com</t>
  </si>
  <si>
    <t>+1 (602) 444 6397</t>
  </si>
  <si>
    <t>200 E Van Buren St Phoenix, Arizona 85004 United States of America</t>
  </si>
  <si>
    <t>azcentral</t>
  </si>
  <si>
    <t>57732</t>
  </si>
  <si>
    <t>Seattle Times</t>
  </si>
  <si>
    <t>Seattle-Tacoma</t>
  </si>
  <si>
    <t>newstips@seattletimes.com</t>
  </si>
  <si>
    <t>+1 (206) 464 2253</t>
  </si>
  <si>
    <t>1000 Denny Way Seattle, Washington 98109 United States of America</t>
  </si>
  <si>
    <t>seattletimes</t>
  </si>
  <si>
    <t>204230</t>
  </si>
  <si>
    <t>Star Tribune</t>
  </si>
  <si>
    <t>Minneapolis-St. Paul</t>
  </si>
  <si>
    <t>news@startribune.com</t>
  </si>
  <si>
    <t>+1 (612) 673 4000</t>
  </si>
  <si>
    <t>650 3rd Ave S Minneapolis, Minnesota 55488 United States of America</t>
  </si>
  <si>
    <t>StarTribune</t>
  </si>
  <si>
    <t>201228</t>
  </si>
  <si>
    <t>Gizmodo</t>
  </si>
  <si>
    <t>tipbox@gizmodo.com</t>
  </si>
  <si>
    <t>+1 (212) 655 9524</t>
  </si>
  <si>
    <t>1540 Broadway 27th Floor New York, New York 10036 United States of America</t>
  </si>
  <si>
    <t>The Dallas Morning News</t>
  </si>
  <si>
    <t>Dallas-Ft. Worth</t>
  </si>
  <si>
    <t>metro@dallasnews.com</t>
  </si>
  <si>
    <t>+1 (214) 977 8222</t>
  </si>
  <si>
    <t>1954 Commerce St. Dallas, Texas 75201 United States of America</t>
  </si>
  <si>
    <t>dallasnews</t>
  </si>
  <si>
    <t>146484</t>
  </si>
  <si>
    <t>Orange County Register</t>
  </si>
  <si>
    <t>letters@ocregister.com</t>
  </si>
  <si>
    <t>+1 (714) 796 7000</t>
  </si>
  <si>
    <t>1920 Main Street, Suite 225 Irvine, California 92614 United States of America</t>
  </si>
  <si>
    <t>ocregister</t>
  </si>
  <si>
    <t>122383</t>
  </si>
  <si>
    <t>Variety</t>
  </si>
  <si>
    <t>music@variety.com</t>
  </si>
  <si>
    <t>+1 (323) 617 9100</t>
  </si>
  <si>
    <t>11175 Santa Monica Blvd Los Angeles, California 90025 United States of America</t>
  </si>
  <si>
    <t>variety</t>
  </si>
  <si>
    <t>85383</t>
  </si>
  <si>
    <t>The Daily Beast</t>
  </si>
  <si>
    <t>editorial@thedailybeast.com</t>
  </si>
  <si>
    <t>+1 (212) 314 7300</t>
  </si>
  <si>
    <t>555 W 18th st New York, New York 10011 United States of America</t>
  </si>
  <si>
    <t>thedailybeast</t>
  </si>
  <si>
    <t>Fox Business</t>
  </si>
  <si>
    <t>contactus@foxbusiness.com</t>
  </si>
  <si>
    <t>+1 (212) 601 7000</t>
  </si>
  <si>
    <t>1211 Avenue of the Americas 22nd Floor New York, New York 10036 United States of America</t>
  </si>
  <si>
    <t>FoxBusiness</t>
  </si>
  <si>
    <t>TechCrunch</t>
  </si>
  <si>
    <t>tips@techcrunch.com</t>
  </si>
  <si>
    <t>410 Townsend San Francisco, California 94107 United States of America</t>
  </si>
  <si>
    <t>The Post-Standard</t>
  </si>
  <si>
    <t>Syracuse</t>
  </si>
  <si>
    <t>citynews@syracuse.com</t>
  </si>
  <si>
    <t>+1 (315) 470 0011</t>
  </si>
  <si>
    <t>220 South Warren street Syracuse, New York 13202 United States of America</t>
  </si>
  <si>
    <t>PostStandard</t>
  </si>
  <si>
    <t>37851</t>
  </si>
  <si>
    <t>Tuesday, Thursday, Sunday</t>
  </si>
  <si>
    <t>The Street</t>
  </si>
  <si>
    <t>+1 (212) 321 5000</t>
  </si>
  <si>
    <t>14 Wall Street 15th Floor New York, New York 10005 United States of America</t>
  </si>
  <si>
    <t>TheStreet</t>
  </si>
  <si>
    <t>VentureBeat</t>
  </si>
  <si>
    <t>tips@venturebeat.com</t>
  </si>
  <si>
    <t>+1 (415) 644-5879</t>
  </si>
  <si>
    <t>500 Sansome Street B100 San Francisco, California 94111 United States of America</t>
  </si>
  <si>
    <t>venturebeat</t>
  </si>
  <si>
    <t>The Hollywood Reporter</t>
  </si>
  <si>
    <t>thrnews@thr.com</t>
  </si>
  <si>
    <t>+1 (323) 525 2000</t>
  </si>
  <si>
    <t>100 N. Crescent Drive Beverly Hills, California 90210 United States of America</t>
  </si>
  <si>
    <t>THR</t>
  </si>
  <si>
    <t>97210</t>
  </si>
  <si>
    <t>The Verge</t>
  </si>
  <si>
    <t>tips@theverge.com</t>
  </si>
  <si>
    <t>85 Broad St New York, New York 10004 United States of America</t>
  </si>
  <si>
    <t>verge</t>
  </si>
  <si>
    <t>Adweek</t>
  </si>
  <si>
    <t>info@adweek.com</t>
  </si>
  <si>
    <t>+1 (212) 493 4262</t>
  </si>
  <si>
    <t>261 Madison Ave 8th Floor New York, New York 10016 United States of America</t>
  </si>
  <si>
    <t>70574</t>
  </si>
  <si>
    <t>Monday</t>
  </si>
  <si>
    <t>National Review</t>
  </si>
  <si>
    <t>letters@nationalreview.com</t>
  </si>
  <si>
    <t>+1 (212) 679 7330</t>
  </si>
  <si>
    <t>19 West 44th Street Suite 1701 New York, New York 10036 United States of America</t>
  </si>
  <si>
    <t>NRO</t>
  </si>
  <si>
    <t>119081</t>
  </si>
  <si>
    <t>Saturday</t>
  </si>
  <si>
    <t>U.S. News &amp; World Report</t>
  </si>
  <si>
    <t>pr@usnews.com</t>
  </si>
  <si>
    <t>+1 (202) 955 2000</t>
  </si>
  <si>
    <t>1050 Thomas Jefferson Street NW 4th Floor Washington, District Of Columbia 20007 United States of America</t>
  </si>
  <si>
    <t>usnews</t>
  </si>
  <si>
    <t>GQ</t>
  </si>
  <si>
    <t>letters@gq.com</t>
  </si>
  <si>
    <t>One World Trade Center 28th Floor New York, New York 10007 United States of America</t>
  </si>
  <si>
    <t>GQMagazine</t>
  </si>
  <si>
    <t>940574</t>
  </si>
  <si>
    <t>Vogue</t>
  </si>
  <si>
    <t>help@vogue.com</t>
  </si>
  <si>
    <t>One World Trade Center 25th Floor New York, New York 10007 United States of America</t>
  </si>
  <si>
    <t>voguemagazine</t>
  </si>
  <si>
    <t>1274532</t>
  </si>
  <si>
    <t>Quartz</t>
  </si>
  <si>
    <t>hi@qz.com</t>
  </si>
  <si>
    <t>675 Avenue of the Americas 4th Floor New York, New York 10011 United States of America</t>
  </si>
  <si>
    <t>qz</t>
  </si>
  <si>
    <t>Daily Mail</t>
  </si>
  <si>
    <t>editorial@dailymailonline.co.uk</t>
  </si>
  <si>
    <t>+44 (0)20 7938 6000</t>
  </si>
  <si>
    <t>2 Derry Street Northcliffe House London, England W8 5TT United Kingdom</t>
  </si>
  <si>
    <t>MailOnline</t>
  </si>
  <si>
    <t>1491264</t>
  </si>
  <si>
    <t>&lt;Language: English&gt;, &lt;Language: German&gt;</t>
  </si>
  <si>
    <t>Dow Jones Newswires</t>
  </si>
  <si>
    <t>support@wsj.com</t>
  </si>
  <si>
    <t>dowjones</t>
  </si>
  <si>
    <t>MarketWatch</t>
  </si>
  <si>
    <t>info@marketplace.org</t>
  </si>
  <si>
    <t>VICE</t>
  </si>
  <si>
    <t>editor@vice.com</t>
  </si>
  <si>
    <t>+1 (718) 599 3101</t>
  </si>
  <si>
    <t>49 S 2nd St New York, New York 11211 United States of America</t>
  </si>
  <si>
    <t>900000</t>
  </si>
  <si>
    <t>&lt;Language: Dutch&gt;, &lt;Language: English&gt;, &lt;Language: French&gt;, &lt;Language: German&gt;, &lt;Language: Greek&gt;, &lt;Language: Indonesian&gt;, &lt;Language: Italian&gt;, &lt;Language: Romanian&gt;, &lt;Language: Spanish&gt;</t>
  </si>
  <si>
    <t>FOX Sports</t>
  </si>
  <si>
    <t>+1 (310) 369 1000</t>
  </si>
  <si>
    <t>10201 W. Pico Blvd Bldg. 103 Los Angeles, California 90035 United States of America</t>
  </si>
  <si>
    <t>FOXSports</t>
  </si>
  <si>
    <t>The Hill</t>
  </si>
  <si>
    <t>opinion@thehill.com</t>
  </si>
  <si>
    <t>+1 (202) 628 8500</t>
  </si>
  <si>
    <t>1625 K Street, NW Suite 900 Washington, District Of Columbia 20006 United States of America</t>
  </si>
  <si>
    <t>thehill</t>
  </si>
  <si>
    <t>24000</t>
  </si>
  <si>
    <t>Automotive News</t>
  </si>
  <si>
    <t>+1 (313) 446 6000</t>
  </si>
  <si>
    <t>1155 Gratiot Ave Detroit, Michigan 48207 United States of America</t>
  </si>
  <si>
    <t>Automotive_News</t>
  </si>
  <si>
    <t>58999</t>
  </si>
  <si>
    <t>Vox</t>
  </si>
  <si>
    <t>voxvideo@vox.com</t>
  </si>
  <si>
    <t>voxdotcom</t>
  </si>
  <si>
    <t>BNN Bloomberg</t>
  </si>
  <si>
    <t>info@bnn.ca</t>
  </si>
  <si>
    <t>+1 (416) 384 8000</t>
  </si>
  <si>
    <t>299 Queen Street West Toronto, Ontario M5V 2Z5 Canada</t>
  </si>
  <si>
    <t>BNNBloomberg</t>
  </si>
  <si>
    <t>Canada</t>
  </si>
  <si>
    <t>Edmunds</t>
  </si>
  <si>
    <t>pr@edmunds.com</t>
  </si>
  <si>
    <t>+1 (855) 782 4711</t>
  </si>
  <si>
    <t>1620 26th Street Suite 400 South Santa Monica, California 90404 United States of America</t>
  </si>
  <si>
    <t>edmunds</t>
  </si>
  <si>
    <t>Jalopnik</t>
  </si>
  <si>
    <t>tips@jalopnik.com</t>
  </si>
  <si>
    <t>+1 (347) 746 3607</t>
  </si>
  <si>
    <t>CNN Business</t>
  </si>
  <si>
    <t>CNNBusiness</t>
  </si>
  <si>
    <t>The Wrap</t>
  </si>
  <si>
    <t>guestblog@thewrap.com</t>
  </si>
  <si>
    <t>+1 (424) 248 0662</t>
  </si>
  <si>
    <t>2034 Armacost Avenue 1st floor Los Angeles, California 90025 United States of America</t>
  </si>
  <si>
    <t>TheWrap</t>
  </si>
  <si>
    <t>Law360</t>
  </si>
  <si>
    <t>editor@law360.com</t>
  </si>
  <si>
    <t>+1 (646) 783 7100</t>
  </si>
  <si>
    <t>111 West 19th Street 5th Floor New York, New York 10011 United States of America</t>
  </si>
  <si>
    <t>Deadline</t>
  </si>
  <si>
    <t>editors@deadline.com</t>
  </si>
  <si>
    <t>+1 (310) 321 5000</t>
  </si>
  <si>
    <t>9800 South La Cienega Boulevard 14th Floor Los Angeles, California 90301 United States of America</t>
  </si>
  <si>
    <t>The New Republic</t>
  </si>
  <si>
    <t>hello@tnr.com</t>
  </si>
  <si>
    <t>+1 (646) 779 8000</t>
  </si>
  <si>
    <t>1 Union Square West 6th Floor New York, New York 10003 United States of America</t>
  </si>
  <si>
    <t>newrepublic</t>
  </si>
  <si>
    <t>41607</t>
  </si>
  <si>
    <t>The Daily Caller</t>
  </si>
  <si>
    <t>patriots@dailycaller.com</t>
  </si>
  <si>
    <t>+1 (202) 506 2027</t>
  </si>
  <si>
    <t>1775 Eye Street NW Suite 1150-290 Washington, District of Columbia 20006 United States of America</t>
  </si>
  <si>
    <t>dailycaller</t>
  </si>
  <si>
    <t>Hollywood Life</t>
  </si>
  <si>
    <t>info@hollywoodlife.com</t>
  </si>
  <si>
    <t>11175 Santa Monica Boulevard Los Angeles, California 90025 United States of America</t>
  </si>
  <si>
    <t>HollywoodLife</t>
  </si>
  <si>
    <t>CBS</t>
  </si>
  <si>
    <t>Houston Chronicle</t>
  </si>
  <si>
    <t>Houston</t>
  </si>
  <si>
    <t>citydesk@houstonchronicle.com</t>
  </si>
  <si>
    <t>+1 (713) 362 7491</t>
  </si>
  <si>
    <t>4747 Southwest Freeway Houston, Texas 77027 United States of America</t>
  </si>
  <si>
    <t>houstonchron</t>
  </si>
  <si>
    <t>133308</t>
  </si>
  <si>
    <t>San Francisco Chronicle</t>
  </si>
  <si>
    <t>metro@sfchronicle.com</t>
  </si>
  <si>
    <t>+1 (415) 777 1111</t>
  </si>
  <si>
    <t>sfchronicle</t>
  </si>
  <si>
    <t>235834</t>
  </si>
  <si>
    <t>Sports Business Journal</t>
  </si>
  <si>
    <t>+1 (704) 973 1410</t>
  </si>
  <si>
    <t>120 West Morehead St Suite 310 Charlotte, North Carolina 28202 United States of America</t>
  </si>
  <si>
    <t>SBJ</t>
  </si>
  <si>
    <t>9934</t>
  </si>
  <si>
    <t>Complex</t>
  </si>
  <si>
    <t>info@complex.com</t>
  </si>
  <si>
    <t>229 West 43rd Street 10th floor New York, New York 10036 United States of America</t>
  </si>
  <si>
    <t>FiveThirtyEight</t>
  </si>
  <si>
    <t>contact@fivethirtyeight.com</t>
  </si>
  <si>
    <t>147 Columbus Ave. 4th Floor New York, New York 10023 United States of America</t>
  </si>
  <si>
    <t>fivethirtyeight</t>
  </si>
  <si>
    <t>The Information</t>
  </si>
  <si>
    <t>hello@theinformation.com</t>
  </si>
  <si>
    <t>100 Pine Street Suite 3050 San Francisco, California 94111 United States of America</t>
  </si>
  <si>
    <t>theinformation</t>
  </si>
  <si>
    <t>Pajiba</t>
  </si>
  <si>
    <t>pajiba@gmail.com</t>
  </si>
  <si>
    <t>Scathing Websites LLC 102 Ashmont Street Portland, Maine 04103 United States of America</t>
  </si>
  <si>
    <t>pajiba</t>
  </si>
  <si>
    <t>Le Monde</t>
  </si>
  <si>
    <t>courrier-des-lecteurs@lemonde.fr</t>
  </si>
  <si>
    <t>+33 (0)1 76 26 32 89</t>
  </si>
  <si>
    <t>67/69, avenue Pierre Mendès-France Paris, Paris 75707 France</t>
  </si>
  <si>
    <t>lemondefr</t>
  </si>
  <si>
    <t>472767</t>
  </si>
  <si>
    <t>&lt;Language: English&gt;, &lt;Language: French&gt;</t>
  </si>
  <si>
    <t>France</t>
  </si>
  <si>
    <t>CoinDesk</t>
  </si>
  <si>
    <t>news@coindesk.com</t>
  </si>
  <si>
    <t>12 E 49th Street New York, New York 10017 United States of America</t>
  </si>
  <si>
    <t>coindesk</t>
  </si>
  <si>
    <t>&lt;Language: English&gt;, &lt;Language: French&gt;, &lt;Language: Italian&gt;, &lt;Language: Portuguese&gt;, &lt;Language: Spanish&gt;</t>
  </si>
  <si>
    <t>TVLine</t>
  </si>
  <si>
    <t>+1 (212) 213 1900</t>
  </si>
  <si>
    <t>475 Fifth Avenue New York, New York 10017 United States of America</t>
  </si>
  <si>
    <t>Tech.eu</t>
  </si>
  <si>
    <t>contact@tech.eu</t>
  </si>
  <si>
    <t>8 Warner Yard London, EC1R 5EY United Kingdom</t>
  </si>
  <si>
    <t>tech_eu</t>
  </si>
  <si>
    <t>Pensions &amp; Investments</t>
  </si>
  <si>
    <t>edit@pionline.com</t>
  </si>
  <si>
    <t>+1 (212) 210 0100</t>
  </si>
  <si>
    <t>685 Third Avenue Tenth Floor New York, New York 10017-4036 United States of America</t>
  </si>
  <si>
    <t>pensionsnews</t>
  </si>
  <si>
    <t>50000</t>
  </si>
  <si>
    <t>Car and Driver Magazine</t>
  </si>
  <si>
    <t>editors@caranddriver.com</t>
  </si>
  <si>
    <t>+1 (877) 652 5295</t>
  </si>
  <si>
    <t>1585 Eisenhower Place Ann Arbor, Michigan 48108 United States of America</t>
  </si>
  <si>
    <t>CARandDRIVER</t>
  </si>
  <si>
    <t>619721</t>
  </si>
  <si>
    <t>Patch</t>
  </si>
  <si>
    <t>tips@patch.com</t>
  </si>
  <si>
    <t>+1 (415) 529-8739</t>
  </si>
  <si>
    <t>134 W 29th St New York, New York 10001 United States of America</t>
  </si>
  <si>
    <t>PatchTweet</t>
  </si>
  <si>
    <t>Autoblog</t>
  </si>
  <si>
    <t>34100 Woodward Ave Suite 200 Birmingham, Michigan 48009 United States of America</t>
  </si>
  <si>
    <t>therealautoblog</t>
  </si>
  <si>
    <t>POLITICO Pro</t>
  </si>
  <si>
    <t>ProServices@politicopro.com</t>
  </si>
  <si>
    <t>+1 (703) 341 4600</t>
  </si>
  <si>
    <t>POLITICOPro</t>
  </si>
  <si>
    <t>Bloomberg Government</t>
  </si>
  <si>
    <t>+1 (703) 341 3000</t>
  </si>
  <si>
    <t>1801 South Bell Street Arlington, Virginia 22202 United States of America</t>
  </si>
  <si>
    <t>BGOV</t>
  </si>
  <si>
    <t>Highsnobiety</t>
  </si>
  <si>
    <t>info@highsnobiety.com</t>
  </si>
  <si>
    <t>+49 30 235 908 555</t>
  </si>
  <si>
    <t>Berlin, Berlin Germany</t>
  </si>
  <si>
    <t>highsnobiety</t>
  </si>
  <si>
    <t>Germany</t>
  </si>
  <si>
    <t>Collider</t>
  </si>
  <si>
    <t>+1 (917) 793 5831</t>
  </si>
  <si>
    <t>1271 6th Avenue 35th floor New York, New York 10020 United States of America</t>
  </si>
  <si>
    <t>Harper's Bazaar</t>
  </si>
  <si>
    <t>editors@harpersbazaar.com</t>
  </si>
  <si>
    <t>300 West 57th Street New York, New York 10019 United States of America</t>
  </si>
  <si>
    <t>harpersbazaarus</t>
  </si>
  <si>
    <t>753489</t>
  </si>
  <si>
    <t>&lt;Language: Dutch&gt;, &lt;Language: English&gt;</t>
  </si>
  <si>
    <t>Mergers &amp; Acquisitions</t>
  </si>
  <si>
    <t>editorial@themiddlemarket.com</t>
  </si>
  <si>
    <t>+1 (332) 228 1881</t>
  </si>
  <si>
    <t>14 Woodway Lane Wilton, Connecticut 06897 United States of America</t>
  </si>
  <si>
    <t>TheMiddleMarket</t>
  </si>
  <si>
    <t>Cointelegraph</t>
  </si>
  <si>
    <t>mercier.andrew@gmail.com</t>
  </si>
  <si>
    <t>21 W 46th St, #1401 New York, New York 10036 United States of America</t>
  </si>
  <si>
    <t>CoinTelegraph</t>
  </si>
  <si>
    <t>&lt;Language: Arabic&gt;, &lt;Language: Chinese (Simplified)&gt;, &lt;Language: Dutch&gt;, &lt;Language: English&gt;, &lt;Language: French&gt;, &lt;Language: Italian&gt;, &lt;Language: Japanese&gt;, &lt;Language: Korean&gt;, &lt;Language: Portuguese&gt;, &lt;Language: Spanish&gt;, &lt;Language: Turkish&gt;</t>
  </si>
  <si>
    <t>Erie Times-News</t>
  </si>
  <si>
    <t>Erie</t>
  </si>
  <si>
    <t>newsdesk@timesnews.com</t>
  </si>
  <si>
    <t>+1 (814) 870 1600</t>
  </si>
  <si>
    <t>205 West 12th Street, Erie, PA Erie, Pennsylvania 16534 United States of America</t>
  </si>
  <si>
    <t>GoErie</t>
  </si>
  <si>
    <t>11924</t>
  </si>
  <si>
    <t>Carscoops.com</t>
  </si>
  <si>
    <t>tips@carscoops.com</t>
  </si>
  <si>
    <t>Bucharest Romania</t>
  </si>
  <si>
    <t>carscoop</t>
  </si>
  <si>
    <t>Romania</t>
  </si>
  <si>
    <t>Motor Trend</t>
  </si>
  <si>
    <t>motortrend@motortrend.com</t>
  </si>
  <si>
    <t>+1 (248) 594 5999</t>
  </si>
  <si>
    <t>831 S. Douglas Street El Segundo, California 90245 United States of America</t>
  </si>
  <si>
    <t>MotorTrend</t>
  </si>
  <si>
    <t>535947</t>
  </si>
  <si>
    <t>HYPEBEAST</t>
  </si>
  <si>
    <t>info@hypebeast.com</t>
  </si>
  <si>
    <t>+852 3563 9035</t>
  </si>
  <si>
    <t>12/F, 10-16 Kwai Ting Road Kwai Chung Hong Kong</t>
  </si>
  <si>
    <t>&lt;Language: Chinese (Traditional)&gt;, &lt;Language: English&gt;, &lt;Language: French&gt;, &lt;Language: Indonesian&gt;, &lt;Language: Japanese&gt;</t>
  </si>
  <si>
    <t>Hong Kong</t>
  </si>
  <si>
    <t>Whittier Daily News</t>
  </si>
  <si>
    <t>news.wdn@sgvn.com</t>
  </si>
  <si>
    <t>+1 (562) 698 0955</t>
  </si>
  <si>
    <t>7612 Greenleaf Ave Whittier, California 90602-1600 United States of America</t>
  </si>
  <si>
    <t>WhittierNews</t>
  </si>
  <si>
    <t>5588</t>
  </si>
  <si>
    <t>Private Equity News</t>
  </si>
  <si>
    <t>news@penews.com</t>
  </si>
  <si>
    <t>+44 (0)20 3426 1314</t>
  </si>
  <si>
    <t>The News Building 1 London Bridge Street London, London, City of SE1 9GF United Kingdom</t>
  </si>
  <si>
    <t>WSJPE</t>
  </si>
  <si>
    <t>Kelley Blue Book</t>
  </si>
  <si>
    <t>social@kbb.com</t>
  </si>
  <si>
    <t>+1 (800) 258 3266</t>
  </si>
  <si>
    <t>195 Technology Irvine, California 92618 United States of America</t>
  </si>
  <si>
    <t>KelleyBlueBook</t>
  </si>
  <si>
    <t>Fox</t>
  </si>
  <si>
    <t>+1 (212) 301 3000</t>
  </si>
  <si>
    <t>FOXTV</t>
  </si>
  <si>
    <t>Vault</t>
  </si>
  <si>
    <t>mediainquiries@vault.com</t>
  </si>
  <si>
    <t>1-800-535-2074</t>
  </si>
  <si>
    <t>132 West 31st Street, 16th Floor New York, New York 10001 United States of America</t>
  </si>
  <si>
    <t>vaultcareers</t>
  </si>
  <si>
    <t>Wall Street International Magazine</t>
  </si>
  <si>
    <t>info@wsimag.com</t>
  </si>
  <si>
    <t>WSImagazine</t>
  </si>
  <si>
    <t>&lt;Language: English&gt;, &lt;Language: Italian&gt;</t>
  </si>
  <si>
    <t>Private Equity International</t>
  </si>
  <si>
    <t>philip.b@peimedia.com</t>
  </si>
  <si>
    <t>+44 (0)20 7566 5444</t>
  </si>
  <si>
    <t>140 London Wall 6th Floor London, EC2Y 5DN United Kingdom</t>
  </si>
  <si>
    <t>PEI_news</t>
  </si>
  <si>
    <t>PitchBook</t>
  </si>
  <si>
    <t>pr@pitchbook.com</t>
  </si>
  <si>
    <t>+1 (206) 623 1986</t>
  </si>
  <si>
    <t>901 Fifth Avenue Suite 1200 Seattle, Washington 98164 United States of America</t>
  </si>
  <si>
    <t>CALmatters</t>
  </si>
  <si>
    <t>simone@calmatters.org</t>
  </si>
  <si>
    <t>+1 (916) 502 9986</t>
  </si>
  <si>
    <t>1017 L St, # 261 Sacramento, California 95814 United States of America</t>
  </si>
  <si>
    <t>calmatters</t>
  </si>
  <si>
    <t>Cord Cutters News</t>
  </si>
  <si>
    <t>+1 (616) 606 0223</t>
  </si>
  <si>
    <t>PO Box 11984 Killeen, Texas 76547 United States of America</t>
  </si>
  <si>
    <t>CordCuttersNews</t>
  </si>
  <si>
    <t>POLITICO Europe</t>
  </si>
  <si>
    <t>editorial@politico.eu</t>
  </si>
  <si>
    <t>+32 (0)2 540 9090</t>
  </si>
  <si>
    <t>Rue de la Loi 62 Brussels, 1040 Belgium</t>
  </si>
  <si>
    <t>POLITICOEurope</t>
  </si>
  <si>
    <t>&lt;Language: English&gt;, &lt;Language: French&gt;, &lt;Language: German&gt;, &lt;Language: Italian&gt;, &lt;Language: Polish&gt;, &lt;Language: Portuguese&gt;, &lt;Language: Romanian&gt;, &lt;Language: Spanish&gt;</t>
  </si>
  <si>
    <t>Belgium</t>
  </si>
  <si>
    <t>The San Diego Union-Tribune</t>
  </si>
  <si>
    <t>San Diego</t>
  </si>
  <si>
    <t>local@sduniontribune.com</t>
  </si>
  <si>
    <t>+1 (619) 299 3131</t>
  </si>
  <si>
    <t>600 B Street Suite 1201 San Diego, California 92101 United States of America</t>
  </si>
  <si>
    <t>sdut</t>
  </si>
  <si>
    <t>94490</t>
  </si>
  <si>
    <t>The Drive</t>
  </si>
  <si>
    <t>feedback@thedrive.com</t>
  </si>
  <si>
    <t>+1 (212) 522 1212</t>
  </si>
  <si>
    <t>241 37th Street,  Building One Floors 4 &amp; 5 Brooklyn, New York 11232 United States of America</t>
  </si>
  <si>
    <t>thedrive</t>
  </si>
  <si>
    <t>STAT</t>
  </si>
  <si>
    <t>info@statnews.com</t>
  </si>
  <si>
    <t>+1 (617) 929 2000</t>
  </si>
  <si>
    <t>P.O. Box 55819 Boston, Massachusetts 02205-5819 United States of America</t>
  </si>
  <si>
    <t>statnews</t>
  </si>
  <si>
    <t>The Intercept</t>
  </si>
  <si>
    <t>intercept-stories@theintercept.com</t>
  </si>
  <si>
    <t>114 Fifth Avenue New York, New York 10011 United States of America</t>
  </si>
  <si>
    <t>theintercept</t>
  </si>
  <si>
    <t>&lt;Language: English&gt;, &lt;Language: Portuguese&gt;</t>
  </si>
  <si>
    <t>The Daily Wire</t>
  </si>
  <si>
    <t>15021 Ventura Blvd #503 Sherman Oaks, California 91403 United States of America</t>
  </si>
  <si>
    <t>realDailyWire</t>
  </si>
  <si>
    <t>Bloomberg Television</t>
  </si>
  <si>
    <t>mmiller410@bloomberg.net</t>
  </si>
  <si>
    <t>731 Lexington Avenue New York, New York 10022 United States of America</t>
  </si>
  <si>
    <t>BloombergTV</t>
  </si>
  <si>
    <t>The Athletic</t>
  </si>
  <si>
    <t>+1 (415) 891 7354</t>
  </si>
  <si>
    <t>332 Pine Street Penthouse San Francisco, California 94104 United States of America</t>
  </si>
  <si>
    <t>TheAthleticCHI</t>
  </si>
  <si>
    <t>Market Watch Magazine</t>
  </si>
  <si>
    <t>marketwatch@mshanken.com</t>
  </si>
  <si>
    <t>+1 (212) 684 4224</t>
  </si>
  <si>
    <t>825 8th Ave Fl 33rd New York, New York 10019 United States of America</t>
  </si>
  <si>
    <t>marketwatchmag</t>
  </si>
  <si>
    <t>The Ringer</t>
  </si>
  <si>
    <t>info@theringer.com</t>
  </si>
  <si>
    <t>1438 N. Gower St. Bldg 20 Los Angeles, California 90028 United States of America</t>
  </si>
  <si>
    <t>ringer</t>
  </si>
  <si>
    <t>Bloomberg Radio</t>
  </si>
  <si>
    <t>newsalert@bloomberg.net</t>
  </si>
  <si>
    <t>731 Lexington Ave New York, New York 10022 United States of America</t>
  </si>
  <si>
    <t>Syracuse.com</t>
  </si>
  <si>
    <t>syracusedotcom</t>
  </si>
  <si>
    <t>Axios</t>
  </si>
  <si>
    <t>news@axios.com</t>
  </si>
  <si>
    <t>+1 (703) 291 3600</t>
  </si>
  <si>
    <t>3100 Clarendon Boulevard Suite 200 Arlington, Virginia 22201 United States of America</t>
  </si>
  <si>
    <t>axios</t>
  </si>
  <si>
    <t>Bloomberg Opinion</t>
  </si>
  <si>
    <t>bopinion</t>
  </si>
  <si>
    <t>The Cut</t>
  </si>
  <si>
    <t>comments@nymag.com</t>
  </si>
  <si>
    <t>75 Varick Street 4th Floor New York, New York 10013 United States of America</t>
  </si>
  <si>
    <t>TheCut</t>
  </si>
  <si>
    <t>CNN International</t>
  </si>
  <si>
    <t>cnni</t>
  </si>
  <si>
    <t>CNN Newsource</t>
  </si>
  <si>
    <t>cnnfutures@cnn.com</t>
  </si>
  <si>
    <t>CNNNewsource</t>
  </si>
  <si>
    <t>The Ankler</t>
  </si>
  <si>
    <t>Hollywood, California United States of America</t>
  </si>
  <si>
    <t>TheAnkler</t>
  </si>
  <si>
    <t>Bloomberg Environment</t>
  </si>
  <si>
    <t>+1 (888) 560 2529</t>
  </si>
  <si>
    <t>environment</t>
  </si>
  <si>
    <t>Cosmopolitan</t>
  </si>
  <si>
    <t>inbox@cosmopolitan.com</t>
  </si>
  <si>
    <t>+1 (212) 649 2000</t>
  </si>
  <si>
    <t>300 West 57th Street 38th Floor New York, New York 10019 United States of America</t>
  </si>
  <si>
    <t>1525102</t>
  </si>
  <si>
    <t>&lt;Language: Chinese (Traditional)&gt;, &lt;Language: English&gt;</t>
  </si>
  <si>
    <t>Squawk Box</t>
  </si>
  <si>
    <t>squawk@cnbc.com</t>
  </si>
  <si>
    <t>squawkcnbc</t>
  </si>
  <si>
    <t>Monday, Tuesday, Wednesday, Thursday, Friday</t>
  </si>
  <si>
    <t>Crunchbase News</t>
  </si>
  <si>
    <t>press@crunchbase.com</t>
  </si>
  <si>
    <t>564 Market Street Suite 700 San Francisco, California 94104 United States of America</t>
  </si>
  <si>
    <t>crunchbasenews</t>
  </si>
  <si>
    <t>Amanpour &amp; Company</t>
  </si>
  <si>
    <t>+1 (212) 560 1313</t>
  </si>
  <si>
    <t>825 8th Ave New York, New York 10019-7416 United States of America</t>
  </si>
  <si>
    <t>amanpourcoPBS</t>
  </si>
  <si>
    <t>Bloomberg Tax</t>
  </si>
  <si>
    <t>Arlington, Virginia United States of America</t>
  </si>
  <si>
    <t>tax</t>
  </si>
  <si>
    <t>Sifted</t>
  </si>
  <si>
    <t>news@sifted.eu</t>
  </si>
  <si>
    <t>14-18 Finsbury Square, London, EC2A 1AH United Kingdom</t>
  </si>
  <si>
    <t>Siftedeu</t>
  </si>
  <si>
    <t>Sports Insider</t>
  </si>
  <si>
    <t>press@sportsinsider.com</t>
  </si>
  <si>
    <t>Vancouver, British Columbia Canada</t>
  </si>
  <si>
    <t>CNBC World</t>
  </si>
  <si>
    <t>1 CNBC Plaza Englewood Cliffs, New Jersey 07632 United States of America</t>
  </si>
  <si>
    <t>Press Watch</t>
  </si>
  <si>
    <t>froomkin@gmail.com</t>
  </si>
  <si>
    <t>Buyouts</t>
  </si>
  <si>
    <t>100 Wood Street London, EC2V 7AN United Kingdom</t>
  </si>
  <si>
    <t>Venture Capital Journal</t>
  </si>
  <si>
    <t>+1 (212) 633 1073</t>
  </si>
  <si>
    <t>353 Kearny Street, 2nd Floor San Francisco, California 94108 United States of America</t>
  </si>
  <si>
    <t>VCJournal</t>
  </si>
  <si>
    <t>Bloomberg Law</t>
  </si>
  <si>
    <t>help@bloomberglaw.com</t>
  </si>
  <si>
    <t>1801 S. Bell Street Arlington, Virginia 22202 United States of America</t>
  </si>
  <si>
    <t>bloomberglaw</t>
  </si>
  <si>
    <t>Post Reports</t>
  </si>
  <si>
    <t>letters@washpost.com</t>
  </si>
  <si>
    <t>Alternatives Watch</t>
  </si>
  <si>
    <t>editor@alternativeswatch.com</t>
  </si>
  <si>
    <t>altswatchnews</t>
  </si>
  <si>
    <t>Dow Jones &amp; Company</t>
  </si>
  <si>
    <t>Minute Briefing</t>
  </si>
  <si>
    <t>wsj</t>
  </si>
  <si>
    <t>Forbes Advisor</t>
  </si>
  <si>
    <t>ForbesAdvisor</t>
  </si>
  <si>
    <t>Post Everything (The Washington Post)</t>
  </si>
  <si>
    <t>PostEverything@washpost.com</t>
  </si>
  <si>
    <t>+1 (301) 294-2600</t>
  </si>
  <si>
    <t>PostEverything</t>
  </si>
  <si>
    <t>CNN Politics</t>
  </si>
  <si>
    <t>CNNPolitics</t>
  </si>
  <si>
    <t>Reliable Sources</t>
  </si>
  <si>
    <t>reliabletips@cnn.com</t>
  </si>
  <si>
    <t>Monday, Tuesday, Wednesday, Thursday</t>
  </si>
  <si>
    <t>Bloomberg Originals</t>
  </si>
  <si>
    <t>quicktake@bloomberg.net</t>
  </si>
  <si>
    <t>731 Lexington Ave New York, New York United States of America</t>
  </si>
  <si>
    <t>Quicktake</t>
  </si>
  <si>
    <t>The New York Times Opinion</t>
  </si>
  <si>
    <t>opinion@nytimes.com</t>
  </si>
  <si>
    <t>nytopinion</t>
  </si>
  <si>
    <t>Washington Post Opinions</t>
  </si>
  <si>
    <t>PostOpinions</t>
  </si>
  <si>
    <t>The New York Times Magazine</t>
  </si>
  <si>
    <t>+1 (212) 556-1234</t>
  </si>
  <si>
    <t>NYTmag</t>
  </si>
  <si>
    <t>CNN Political Briefing</t>
  </si>
  <si>
    <t>+1 (404) 878-2276</t>
  </si>
  <si>
    <t>New York, New York 10001 United States of America</t>
  </si>
  <si>
    <t>CNN Breaking News Alert</t>
  </si>
  <si>
    <t>+1 (404) 827 1500</t>
  </si>
  <si>
    <t>One CNN Center 12th Floor, North Tower Atlanta, Georgia 30303 United States of America</t>
  </si>
  <si>
    <t>State of the Union (CNN)</t>
  </si>
  <si>
    <t>+1 (404) 827-1700</t>
  </si>
  <si>
    <t>CNNSotu</t>
  </si>
  <si>
    <t>Garbage Day</t>
  </si>
  <si>
    <t>POLITICO Tech</t>
  </si>
  <si>
    <t>1000 Wilson Blvd, 8th Floor Arlington, Virginia 22209 United States of America</t>
  </si>
  <si>
    <t>AI Investor</t>
  </si>
  <si>
    <t>feedback@forbes.com</t>
  </si>
  <si>
    <t>12126202200</t>
  </si>
  <si>
    <t>forbes</t>
  </si>
  <si>
    <t>POLITICO Magazine</t>
  </si>
  <si>
    <t>POLITICOMag</t>
  </si>
  <si>
    <t>The Exchange</t>
  </si>
  <si>
    <t>CNBCTheExchange</t>
  </si>
  <si>
    <t>Fox Nation</t>
  </si>
  <si>
    <t>foxnation</t>
  </si>
  <si>
    <t>CNN Newsroom</t>
  </si>
  <si>
    <t>CNNnewsroom</t>
  </si>
  <si>
    <t>Puck</t>
  </si>
  <si>
    <t>64 Bank St. New York, New York 10014 United States of America</t>
  </si>
  <si>
    <t>PuckNews</t>
  </si>
  <si>
    <t>Anderson Cooper 360°</t>
  </si>
  <si>
    <t>AC360</t>
  </si>
  <si>
    <t>WSJ. Magazine</t>
  </si>
  <si>
    <t>wsj.ltrs@wsj.com</t>
  </si>
  <si>
    <t>WSJMag</t>
  </si>
  <si>
    <t>903808</t>
  </si>
  <si>
    <t>Bloomberg Surveillance</t>
  </si>
  <si>
    <t>+1 (212) 318-2000</t>
  </si>
  <si>
    <t>bsurveillance</t>
  </si>
  <si>
    <t>Bloomberg New Economy</t>
  </si>
  <si>
    <t>New York United States of America</t>
  </si>
  <si>
    <t>BBGNewEconomy</t>
  </si>
  <si>
    <t>The New York Times Upfront</t>
  </si>
  <si>
    <t>POLITICO Playbook Daily Briefing</t>
  </si>
  <si>
    <t>playbookdc</t>
  </si>
  <si>
    <t>Amanpour</t>
  </si>
  <si>
    <t>190 Marietta St NW Atlanta, Georgia 30303 United States of America</t>
  </si>
  <si>
    <t>Bloomberg Green</t>
  </si>
  <si>
    <t>climatetw@bloomberg.net</t>
  </si>
  <si>
    <t>climate</t>
  </si>
  <si>
    <t>Semafor</t>
  </si>
  <si>
    <t>info@semafor.com</t>
  </si>
  <si>
    <t>New York, New York United States of America</t>
  </si>
  <si>
    <t>semafor</t>
  </si>
  <si>
    <t>Buy Side WSJ</t>
  </si>
  <si>
    <t>hello@buysidewsj.com</t>
  </si>
  <si>
    <t>BuySideWSJ</t>
  </si>
  <si>
    <t>WSJ Opinion: Free Expression</t>
  </si>
  <si>
    <t>CNN This Morning</t>
  </si>
  <si>
    <t>CNNThisMorning</t>
  </si>
  <si>
    <t>Forbes Health</t>
  </si>
  <si>
    <t>editors@forbesadvisor.com</t>
  </si>
  <si>
    <t>forbeshealth</t>
  </si>
  <si>
    <t>The Messenger</t>
  </si>
  <si>
    <t>press@themessenger.com</t>
  </si>
  <si>
    <t>222 Lakeview Avenue Suite 1650 West Palm Beach, Florida 33401 United States of America</t>
  </si>
  <si>
    <t>messenger_now</t>
  </si>
  <si>
    <t>WSJ Private Equity</t>
  </si>
  <si>
    <t>WSJ Pro Venture Capital</t>
  </si>
  <si>
    <t>andrew.introne@wsj.com</t>
  </si>
  <si>
    <t>1211 Avenue of the Americas New York, New York United States of America</t>
  </si>
  <si>
    <t>CNBC Crypto World</t>
  </si>
  <si>
    <t>404 Media</t>
  </si>
  <si>
    <t>404mediaco</t>
  </si>
  <si>
    <t>The New York Times International</t>
  </si>
  <si>
    <t>inytletters@nytimes.com</t>
  </si>
  <si>
    <t>London, City of United Kingdom</t>
  </si>
  <si>
    <t>nytimesworld</t>
  </si>
  <si>
    <t>104801</t>
  </si>
  <si>
    <t>The Upshot (The New York Times)</t>
  </si>
  <si>
    <t>UpshotNYT</t>
  </si>
  <si>
    <t>Tier</t>
  </si>
  <si>
    <t>B</t>
  </si>
  <si>
    <t>A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</si>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</sst>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0" fontId="2" fillId="0" borderId="1">
      <alignment vertical="top" wrapText="1"/>
    </xf>
  </cellStyleXfs>
  <cellXfs count="3">
    <xf numFmtId="0" fontId="0" fillId="0" borderId="0" xfId="0"/>
    <xf numFmtId="0" fontId="1" fillId="0" borderId="1" xfId="1"/>
    <xf numFmtId="0" fontId="2" fillId="0" borderId="1" xfId="2">
      <alignment vertical="top" wrapText="1"/>
    </xf>
  </cellXfs>
  <cellStyles count="3">
    <cellStyle name="mr_header" xfId="1" xr:uid="{00000000-0005-0000-0000-000001000000}"/>
    <cellStyle name="mr_normal" xfId="2" xr:uid="{00000000-0005-0000-0000-000002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0"/>
  <sheetViews>
    <sheetView tabSelected="1" topLeftCell="A196" workbookViewId="0">
      <selection activeCell="A202" sqref="A202"/>
    </sheetView>
  </sheetViews>
  <sheetFormatPr defaultRowHeight="15" x14ac:dyDescent="0.25"/>
  <cols>
    <col min="2" max="16" width="13" customWidth="1"/>
    <col min="17" max="17" width="34" customWidth="1"/>
    <col min="18" max="18" width="13" customWidth="1"/>
    <col min="19" max="19" width="14" customWidth="1"/>
    <col min="20" max="20" width="13" customWidth="1"/>
  </cols>
  <sheetData>
    <row r="1" spans="1:20" x14ac:dyDescent="0.25">
      <c r="A1" t="s">
        <v>909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89.25" x14ac:dyDescent="0.25">
      <c r="A2" t="s">
        <v>910</v>
      </c>
      <c r="B2" s="2" t="s">
        <v>19</v>
      </c>
      <c r="C2" s="2" t="s">
        <v>20</v>
      </c>
      <c r="D2" s="2" t="s">
        <v>21</v>
      </c>
      <c r="E2" s="2" t="s">
        <v>22</v>
      </c>
      <c r="F2" s="2" t="str">
        <f>HYPERLINK("http://theguardian.com/")</f>
        <v>http://theguardian.com/</v>
      </c>
      <c r="G2" s="2" t="s">
        <v>23</v>
      </c>
      <c r="H2" s="2" t="str">
        <f>HYPERLINK("https://www.facebook.com/GuardianUs")</f>
        <v>https://www.facebook.com/GuardianUs</v>
      </c>
      <c r="I2" s="2" t="s">
        <v>24</v>
      </c>
      <c r="J2" s="2"/>
      <c r="K2" s="2" t="str">
        <f>HYPERLINK("https://www.linkedin.com/company/102206")</f>
        <v>https://www.linkedin.com/company/102206</v>
      </c>
      <c r="L2" s="2" t="str">
        <f>HYPERLINK("https://www.pinterest.com/theguardian/")</f>
        <v>https://www.pinterest.com/theguardian/</v>
      </c>
      <c r="M2" s="2" t="str">
        <f>HYPERLINK("https://www.flickr.com/photos/guardianonflickr/")</f>
        <v>https://www.flickr.com/photos/guardianonflickr/</v>
      </c>
      <c r="N2" s="2" t="s">
        <v>25</v>
      </c>
      <c r="O2" s="2" t="s">
        <v>26</v>
      </c>
      <c r="P2" s="2">
        <v>89166579</v>
      </c>
      <c r="Q2" s="2">
        <v>95</v>
      </c>
      <c r="R2" s="2" t="s">
        <v>27</v>
      </c>
      <c r="S2" s="2" t="s">
        <v>28</v>
      </c>
      <c r="T2" s="2" t="s">
        <v>29</v>
      </c>
    </row>
    <row r="3" spans="1:20" ht="76.5" x14ac:dyDescent="0.25">
      <c r="A3" t="s">
        <v>910</v>
      </c>
      <c r="B3" s="2" t="s">
        <v>30</v>
      </c>
      <c r="C3" s="2" t="s">
        <v>20</v>
      </c>
      <c r="D3" s="2" t="s">
        <v>31</v>
      </c>
      <c r="E3" s="2" t="s">
        <v>32</v>
      </c>
      <c r="F3" s="2" t="str">
        <f>HYPERLINK("http://bloomberg.com/businessweek")</f>
        <v>http://bloomberg.com/businessweek</v>
      </c>
      <c r="G3" s="2" t="s">
        <v>33</v>
      </c>
      <c r="H3" s="2" t="str">
        <f>HYPERLINK("https://www.facebook.com/bloombergbusinessweek/")</f>
        <v>https://www.facebook.com/bloombergbusinessweek/</v>
      </c>
      <c r="I3" s="2" t="s">
        <v>34</v>
      </c>
      <c r="J3" s="2"/>
      <c r="K3" s="2" t="str">
        <f>HYPERLINK("https://www.linkedin.com/company/bloomberg-businessweek")</f>
        <v>https://www.linkedin.com/company/bloomberg-businessweek</v>
      </c>
      <c r="L3" s="2"/>
      <c r="M3" s="2"/>
      <c r="N3" s="2" t="s">
        <v>35</v>
      </c>
      <c r="O3" s="2" t="s">
        <v>26</v>
      </c>
      <c r="P3" s="2">
        <v>28503276</v>
      </c>
      <c r="Q3" s="2">
        <v>94</v>
      </c>
      <c r="R3" s="2" t="s">
        <v>36</v>
      </c>
      <c r="S3" s="2" t="s">
        <v>37</v>
      </c>
      <c r="T3" s="2" t="s">
        <v>38</v>
      </c>
    </row>
    <row r="4" spans="1:20" ht="89.25" x14ac:dyDescent="0.25">
      <c r="A4" t="s">
        <v>911</v>
      </c>
      <c r="B4" s="2" t="s">
        <v>39</v>
      </c>
      <c r="C4" s="2" t="s">
        <v>40</v>
      </c>
      <c r="D4" s="2" t="s">
        <v>41</v>
      </c>
      <c r="E4" s="2" t="s">
        <v>42</v>
      </c>
      <c r="F4" s="2" t="str">
        <f>HYPERLINK("http://nytimes.com/")</f>
        <v>http://nytimes.com/</v>
      </c>
      <c r="G4" s="2" t="s">
        <v>43</v>
      </c>
      <c r="H4" s="2" t="str">
        <f>HYPERLINK("https://www.facebook.com/nytimes")</f>
        <v>https://www.facebook.com/nytimes</v>
      </c>
      <c r="I4" s="2" t="s">
        <v>44</v>
      </c>
      <c r="J4" s="2"/>
      <c r="K4" s="2" t="str">
        <f>HYPERLINK("https://www.linkedin.com/company/the-new-york-times")</f>
        <v>https://www.linkedin.com/company/the-new-york-times</v>
      </c>
      <c r="L4" s="2" t="str">
        <f>HYPERLINK("https://www.pinterest.com/nytimes")</f>
        <v>https://www.pinterest.com/nytimes</v>
      </c>
      <c r="M4" s="2"/>
      <c r="N4" s="2" t="s">
        <v>45</v>
      </c>
      <c r="O4" s="2" t="s">
        <v>26</v>
      </c>
      <c r="P4" s="2">
        <v>145595270</v>
      </c>
      <c r="Q4" s="2">
        <v>95</v>
      </c>
      <c r="R4" s="2" t="s">
        <v>27</v>
      </c>
      <c r="S4" s="2" t="s">
        <v>28</v>
      </c>
      <c r="T4" s="2" t="s">
        <v>38</v>
      </c>
    </row>
    <row r="5" spans="1:20" ht="89.25" x14ac:dyDescent="0.25">
      <c r="A5" t="s">
        <v>910</v>
      </c>
      <c r="B5" s="2" t="s">
        <v>46</v>
      </c>
      <c r="C5" s="2" t="s">
        <v>20</v>
      </c>
      <c r="D5" s="2" t="s">
        <v>47</v>
      </c>
      <c r="E5" s="2" t="s">
        <v>48</v>
      </c>
      <c r="F5" s="2" t="str">
        <f>HYPERLINK("http://ft.com/")</f>
        <v>http://ft.com/</v>
      </c>
      <c r="G5" s="2" t="s">
        <v>49</v>
      </c>
      <c r="H5" s="2" t="str">
        <f>HYPERLINK("https://www.facebook.com/financialtimes")</f>
        <v>https://www.facebook.com/financialtimes</v>
      </c>
      <c r="I5" s="2" t="s">
        <v>50</v>
      </c>
      <c r="J5" s="2"/>
      <c r="K5" s="2" t="str">
        <f>HYPERLINK("http://www.linkedin.com/company/financial-times")</f>
        <v>http://www.linkedin.com/company/financial-times</v>
      </c>
      <c r="L5" s="2" t="str">
        <f>HYPERLINK("https://www.pinterest.com/financialtimes")</f>
        <v>https://www.pinterest.com/financialtimes</v>
      </c>
      <c r="M5" s="2" t="str">
        <f>HYPERLINK("https://www.flickr.com/photos/financialtimes")</f>
        <v>https://www.flickr.com/photos/financialtimes</v>
      </c>
      <c r="N5" s="2" t="s">
        <v>51</v>
      </c>
      <c r="O5" s="2" t="s">
        <v>26</v>
      </c>
      <c r="P5" s="2">
        <v>14015145</v>
      </c>
      <c r="Q5" s="2">
        <v>93</v>
      </c>
      <c r="R5" s="2" t="s">
        <v>27</v>
      </c>
      <c r="S5" s="2"/>
      <c r="T5" s="2" t="s">
        <v>29</v>
      </c>
    </row>
    <row r="6" spans="1:20" ht="76.5" x14ac:dyDescent="0.25">
      <c r="A6" t="s">
        <v>910</v>
      </c>
      <c r="B6" s="2" t="s">
        <v>52</v>
      </c>
      <c r="C6" s="2" t="s">
        <v>20</v>
      </c>
      <c r="D6" s="2" t="s">
        <v>53</v>
      </c>
      <c r="E6" s="2" t="s">
        <v>54</v>
      </c>
      <c r="F6" s="2" t="str">
        <f>HYPERLINK("http://abcnews.go.com")</f>
        <v>http://abcnews.go.com</v>
      </c>
      <c r="G6" s="2" t="s">
        <v>55</v>
      </c>
      <c r="H6" s="2" t="str">
        <f>HYPERLINK("https://www.facebook.com/abcnews")</f>
        <v>https://www.facebook.com/abcnews</v>
      </c>
      <c r="I6" s="2" t="s">
        <v>56</v>
      </c>
      <c r="J6" s="2"/>
      <c r="K6" s="2" t="str">
        <f>HYPERLINK("https://www.linkedin.com/company/abcnews/")</f>
        <v>https://www.linkedin.com/company/abcnews/</v>
      </c>
      <c r="L6" s="2"/>
      <c r="M6" s="2"/>
      <c r="N6" s="2" t="s">
        <v>57</v>
      </c>
      <c r="O6" s="2" t="s">
        <v>26</v>
      </c>
      <c r="P6" s="2">
        <v>32998102</v>
      </c>
      <c r="Q6" s="2">
        <v>93</v>
      </c>
      <c r="R6" s="2"/>
      <c r="S6" s="2"/>
      <c r="T6" s="2" t="s">
        <v>38</v>
      </c>
    </row>
    <row r="7" spans="1:20" ht="76.5" x14ac:dyDescent="0.25">
      <c r="A7" t="s">
        <v>910</v>
      </c>
      <c r="B7" s="2" t="s">
        <v>58</v>
      </c>
      <c r="C7" s="2" t="s">
        <v>20</v>
      </c>
      <c r="D7" s="2"/>
      <c r="E7" s="2" t="s">
        <v>59</v>
      </c>
      <c r="F7" s="2" t="str">
        <f>HYPERLINK("http://cnn.com")</f>
        <v>http://cnn.com</v>
      </c>
      <c r="G7" s="2" t="s">
        <v>60</v>
      </c>
      <c r="H7" s="2" t="str">
        <f>HYPERLINK("https://www.facebook.com/cnn")</f>
        <v>https://www.facebook.com/cnn</v>
      </c>
      <c r="I7" s="2" t="s">
        <v>58</v>
      </c>
      <c r="J7" s="2"/>
      <c r="K7" s="2" t="str">
        <f>HYPERLINK("https://www.linkedin.com/company/cnn")</f>
        <v>https://www.linkedin.com/company/cnn</v>
      </c>
      <c r="L7" s="2" t="str">
        <f>HYPERLINK("https://www.pinterest.com/Cnn")</f>
        <v>https://www.pinterest.com/Cnn</v>
      </c>
      <c r="M7" s="2"/>
      <c r="N7" s="2" t="s">
        <v>61</v>
      </c>
      <c r="O7" s="2" t="s">
        <v>26</v>
      </c>
      <c r="P7" s="2">
        <v>162018974</v>
      </c>
      <c r="Q7" s="2">
        <v>95</v>
      </c>
      <c r="R7" s="2"/>
      <c r="S7" s="2"/>
      <c r="T7" s="2" t="s">
        <v>38</v>
      </c>
    </row>
    <row r="8" spans="1:20" ht="76.5" x14ac:dyDescent="0.25">
      <c r="A8" t="s">
        <v>910</v>
      </c>
      <c r="B8" s="2" t="s">
        <v>62</v>
      </c>
      <c r="C8" s="2" t="s">
        <v>20</v>
      </c>
      <c r="D8" s="2" t="s">
        <v>63</v>
      </c>
      <c r="E8" s="2" t="s">
        <v>64</v>
      </c>
      <c r="F8" s="2" t="str">
        <f>HYPERLINK("http://nbcnews.com")</f>
        <v>http://nbcnews.com</v>
      </c>
      <c r="G8" s="2" t="s">
        <v>65</v>
      </c>
      <c r="H8" s="2" t="str">
        <f>HYPERLINK("https://www.facebook.com/NBCNews/")</f>
        <v>https://www.facebook.com/NBCNews/</v>
      </c>
      <c r="I8" s="2" t="s">
        <v>66</v>
      </c>
      <c r="J8" s="2"/>
      <c r="K8" s="2" t="str">
        <f>HYPERLINK("https://www.linkedin.com/company/nbc-news")</f>
        <v>https://www.linkedin.com/company/nbc-news</v>
      </c>
      <c r="L8" s="2"/>
      <c r="M8" s="2"/>
      <c r="N8" s="2" t="s">
        <v>67</v>
      </c>
      <c r="O8" s="2" t="s">
        <v>26</v>
      </c>
      <c r="P8" s="2">
        <v>48688007</v>
      </c>
      <c r="Q8" s="2">
        <v>93</v>
      </c>
      <c r="R8" s="2"/>
      <c r="S8" s="2"/>
      <c r="T8" s="2" t="s">
        <v>38</v>
      </c>
    </row>
    <row r="9" spans="1:20" ht="102" x14ac:dyDescent="0.25">
      <c r="A9" t="s">
        <v>911</v>
      </c>
      <c r="B9" s="2" t="s">
        <v>68</v>
      </c>
      <c r="C9" s="2" t="s">
        <v>69</v>
      </c>
      <c r="D9" s="2" t="s">
        <v>70</v>
      </c>
      <c r="E9" s="2" t="s">
        <v>71</v>
      </c>
      <c r="F9" s="2" t="str">
        <f>HYPERLINK("http://washingtonpost.com/")</f>
        <v>http://washingtonpost.com/</v>
      </c>
      <c r="G9" s="2" t="s">
        <v>72</v>
      </c>
      <c r="H9" s="2" t="str">
        <f>HYPERLINK("https://www.facebook.com/washingtonpost")</f>
        <v>https://www.facebook.com/washingtonpost</v>
      </c>
      <c r="I9" s="2" t="s">
        <v>73</v>
      </c>
      <c r="J9" s="2"/>
      <c r="K9" s="2" t="str">
        <f>HYPERLINK("https://www.linkedin.com/company/the-washington-post")</f>
        <v>https://www.linkedin.com/company/the-washington-post</v>
      </c>
      <c r="L9" s="2" t="str">
        <f>HYPERLINK("https://www.pinterest.com/washingtonpost")</f>
        <v>https://www.pinterest.com/washingtonpost</v>
      </c>
      <c r="M9" s="2"/>
      <c r="N9" s="2" t="s">
        <v>74</v>
      </c>
      <c r="O9" s="2" t="s">
        <v>26</v>
      </c>
      <c r="P9" s="2">
        <v>53937909</v>
      </c>
      <c r="Q9" s="2">
        <v>94</v>
      </c>
      <c r="R9" s="2" t="s">
        <v>27</v>
      </c>
      <c r="S9" s="2" t="s">
        <v>28</v>
      </c>
      <c r="T9" s="2" t="s">
        <v>38</v>
      </c>
    </row>
    <row r="10" spans="1:20" ht="102" x14ac:dyDescent="0.25">
      <c r="A10" t="s">
        <v>910</v>
      </c>
      <c r="B10" s="2" t="s">
        <v>75</v>
      </c>
      <c r="C10" s="2" t="s">
        <v>76</v>
      </c>
      <c r="D10" s="2" t="s">
        <v>77</v>
      </c>
      <c r="E10" s="2" t="s">
        <v>78</v>
      </c>
      <c r="F10" s="2" t="str">
        <f>HYPERLINK("http://latimes.com/")</f>
        <v>http://latimes.com/</v>
      </c>
      <c r="G10" s="2" t="s">
        <v>79</v>
      </c>
      <c r="H10" s="2" t="str">
        <f>HYPERLINK("https://www.facebook.com/latimes")</f>
        <v>https://www.facebook.com/latimes</v>
      </c>
      <c r="I10" s="2" t="s">
        <v>80</v>
      </c>
      <c r="J10" s="2"/>
      <c r="K10" s="2" t="str">
        <f>HYPERLINK("https://www.linkedin.com/company/5167")</f>
        <v>https://www.linkedin.com/company/5167</v>
      </c>
      <c r="L10" s="2" t="str">
        <f>HYPERLINK("https://www.pinterest.com/latimes")</f>
        <v>https://www.pinterest.com/latimes</v>
      </c>
      <c r="M10" s="2"/>
      <c r="N10" s="2" t="s">
        <v>81</v>
      </c>
      <c r="O10" s="2" t="s">
        <v>26</v>
      </c>
      <c r="P10" s="2">
        <v>33938143</v>
      </c>
      <c r="Q10" s="2">
        <v>93</v>
      </c>
      <c r="R10" s="2" t="s">
        <v>27</v>
      </c>
      <c r="S10" s="2" t="s">
        <v>28</v>
      </c>
      <c r="T10" s="2" t="s">
        <v>38</v>
      </c>
    </row>
    <row r="11" spans="1:20" ht="76.5" x14ac:dyDescent="0.25">
      <c r="A11" t="s">
        <v>910</v>
      </c>
      <c r="B11" s="2" t="s">
        <v>82</v>
      </c>
      <c r="C11" s="2" t="s">
        <v>20</v>
      </c>
      <c r="D11" s="2" t="s">
        <v>83</v>
      </c>
      <c r="E11" s="2" t="s">
        <v>84</v>
      </c>
      <c r="F11" s="2" t="str">
        <f>HYPERLINK("http://cbsnews.com/")</f>
        <v>http://cbsnews.com/</v>
      </c>
      <c r="G11" s="2" t="s">
        <v>85</v>
      </c>
      <c r="H11" s="2" t="str">
        <f>HYPERLINK("https://www.facebook.com/CBSNews")</f>
        <v>https://www.facebook.com/CBSNews</v>
      </c>
      <c r="I11" s="2" t="s">
        <v>86</v>
      </c>
      <c r="J11" s="2"/>
      <c r="K11" s="2" t="str">
        <f>HYPERLINK("https://www.linkedin.com/company/cbs-news")</f>
        <v>https://www.linkedin.com/company/cbs-news</v>
      </c>
      <c r="L11" s="2"/>
      <c r="M11" s="2"/>
      <c r="N11" s="2" t="s">
        <v>87</v>
      </c>
      <c r="O11" s="2" t="s">
        <v>26</v>
      </c>
      <c r="P11" s="2">
        <v>43092355</v>
      </c>
      <c r="Q11" s="2">
        <v>94</v>
      </c>
      <c r="R11" s="2"/>
      <c r="S11" s="2"/>
      <c r="T11" s="2" t="s">
        <v>38</v>
      </c>
    </row>
    <row r="12" spans="1:20" ht="89.25" x14ac:dyDescent="0.25">
      <c r="A12" t="s">
        <v>911</v>
      </c>
      <c r="B12" s="2" t="s">
        <v>88</v>
      </c>
      <c r="C12" s="2" t="s">
        <v>20</v>
      </c>
      <c r="D12" s="2" t="s">
        <v>89</v>
      </c>
      <c r="E12" s="2" t="s">
        <v>90</v>
      </c>
      <c r="F12" s="2" t="str">
        <f>HYPERLINK("http://wsj.com/")</f>
        <v>http://wsj.com/</v>
      </c>
      <c r="G12" s="2" t="s">
        <v>91</v>
      </c>
      <c r="H12" s="2" t="str">
        <f>HYPERLINK("https://www.facebook.com/wsj")</f>
        <v>https://www.facebook.com/wsj</v>
      </c>
      <c r="I12" s="2" t="s">
        <v>92</v>
      </c>
      <c r="J12" s="2"/>
      <c r="K12" s="2" t="str">
        <f>HYPERLINK("https://www.linkedin.com/company/2282")</f>
        <v>https://www.linkedin.com/company/2282</v>
      </c>
      <c r="L12" s="2" t="str">
        <f>HYPERLINK("https://www.pinterest.com/wsj/")</f>
        <v>https://www.pinterest.com/wsj/</v>
      </c>
      <c r="M12" s="2"/>
      <c r="N12" s="2" t="s">
        <v>93</v>
      </c>
      <c r="O12" s="2" t="s">
        <v>26</v>
      </c>
      <c r="P12" s="2">
        <v>28219883</v>
      </c>
      <c r="Q12" s="2">
        <v>94</v>
      </c>
      <c r="R12" s="2" t="s">
        <v>27</v>
      </c>
      <c r="S12" s="2" t="s">
        <v>94</v>
      </c>
      <c r="T12" s="2" t="s">
        <v>38</v>
      </c>
    </row>
    <row r="13" spans="1:20" ht="114.75" x14ac:dyDescent="0.25">
      <c r="A13" t="s">
        <v>910</v>
      </c>
      <c r="B13" s="2" t="s">
        <v>95</v>
      </c>
      <c r="C13" s="2" t="s">
        <v>20</v>
      </c>
      <c r="D13" s="2" t="s">
        <v>96</v>
      </c>
      <c r="E13" s="2" t="s">
        <v>97</v>
      </c>
      <c r="F13" s="2" t="str">
        <f>HYPERLINK("http://npr.org/")</f>
        <v>http://npr.org/</v>
      </c>
      <c r="G13" s="2" t="s">
        <v>98</v>
      </c>
      <c r="H13" s="2" t="str">
        <f>HYPERLINK("https://www.facebook.com/NPR")</f>
        <v>https://www.facebook.com/NPR</v>
      </c>
      <c r="I13" s="2" t="s">
        <v>95</v>
      </c>
      <c r="J13" s="2"/>
      <c r="K13" s="2" t="str">
        <f>HYPERLINK("https://www.linkedin.com/company/npr")</f>
        <v>https://www.linkedin.com/company/npr</v>
      </c>
      <c r="L13" s="2" t="str">
        <f>HYPERLINK("https://www.pinterest.com/nprpins")</f>
        <v>https://www.pinterest.com/nprpins</v>
      </c>
      <c r="M13" s="2"/>
      <c r="N13" s="2"/>
      <c r="O13" s="2" t="s">
        <v>26</v>
      </c>
      <c r="P13" s="2"/>
      <c r="Q13" s="2">
        <v>93</v>
      </c>
      <c r="R13" s="2"/>
      <c r="S13" s="2"/>
      <c r="T13" s="2" t="s">
        <v>38</v>
      </c>
    </row>
    <row r="14" spans="1:20" ht="89.25" x14ac:dyDescent="0.25">
      <c r="A14" t="s">
        <v>910</v>
      </c>
      <c r="B14" s="2" t="s">
        <v>99</v>
      </c>
      <c r="C14" s="2" t="s">
        <v>20</v>
      </c>
      <c r="D14" s="2" t="s">
        <v>100</v>
      </c>
      <c r="E14" s="2"/>
      <c r="F14" s="2" t="str">
        <f>HYPERLINK("http://time.com")</f>
        <v>http://time.com</v>
      </c>
      <c r="G14" s="2" t="s">
        <v>101</v>
      </c>
      <c r="H14" s="2" t="str">
        <f>HYPERLINK("https://www.facebook.com/time")</f>
        <v>https://www.facebook.com/time</v>
      </c>
      <c r="I14" s="2" t="s">
        <v>99</v>
      </c>
      <c r="J14" s="2"/>
      <c r="K14" s="2" t="str">
        <f>HYPERLINK("https://www.linkedin.com/company/time")</f>
        <v>https://www.linkedin.com/company/time</v>
      </c>
      <c r="L14" s="2" t="str">
        <f>HYPERLINK("https://www.pinterest.com/timemagazine/")</f>
        <v>https://www.pinterest.com/timemagazine/</v>
      </c>
      <c r="M14" s="2"/>
      <c r="N14" s="2" t="s">
        <v>102</v>
      </c>
      <c r="O14" s="2" t="s">
        <v>26</v>
      </c>
      <c r="P14" s="2">
        <v>18925157</v>
      </c>
      <c r="Q14" s="2">
        <v>94</v>
      </c>
      <c r="R14" s="2" t="s">
        <v>36</v>
      </c>
      <c r="S14" s="2" t="s">
        <v>103</v>
      </c>
      <c r="T14" s="2" t="s">
        <v>38</v>
      </c>
    </row>
    <row r="15" spans="1:20" ht="76.5" x14ac:dyDescent="0.25">
      <c r="A15" t="s">
        <v>911</v>
      </c>
      <c r="B15" s="2" t="s">
        <v>104</v>
      </c>
      <c r="C15" s="2" t="s">
        <v>20</v>
      </c>
      <c r="D15" s="2" t="s">
        <v>105</v>
      </c>
      <c r="E15" s="2" t="s">
        <v>32</v>
      </c>
      <c r="F15" s="2" t="str">
        <f>HYPERLINK("https://bloomberg.com/")</f>
        <v>https://bloomberg.com/</v>
      </c>
      <c r="G15" s="2" t="s">
        <v>33</v>
      </c>
      <c r="H15" s="2" t="str">
        <f>HYPERLINK("https://www.facebook.com/bloomberg/")</f>
        <v>https://www.facebook.com/bloomberg/</v>
      </c>
      <c r="I15" s="2" t="s">
        <v>106</v>
      </c>
      <c r="J15" s="2"/>
      <c r="K15" s="2" t="str">
        <f>HYPERLINK("https://www.linkedin.com/company/bloomberg-lp")</f>
        <v>https://www.linkedin.com/company/bloomberg-lp</v>
      </c>
      <c r="L15" s="2"/>
      <c r="M15" s="2"/>
      <c r="N15" s="2"/>
      <c r="O15" s="2" t="s">
        <v>26</v>
      </c>
      <c r="P15" s="2">
        <v>28503276</v>
      </c>
      <c r="Q15" s="2">
        <v>94</v>
      </c>
      <c r="R15" s="2"/>
      <c r="S15" s="2"/>
      <c r="T15" s="2" t="s">
        <v>38</v>
      </c>
    </row>
    <row r="16" spans="1:20" ht="89.25" x14ac:dyDescent="0.25">
      <c r="A16" t="s">
        <v>910</v>
      </c>
      <c r="B16" s="2" t="s">
        <v>107</v>
      </c>
      <c r="C16" s="2" t="s">
        <v>108</v>
      </c>
      <c r="D16" s="2" t="s">
        <v>109</v>
      </c>
      <c r="E16" s="2" t="s">
        <v>110</v>
      </c>
      <c r="F16" s="2" t="str">
        <f>HYPERLINK("http://chicagotribune.com/")</f>
        <v>http://chicagotribune.com/</v>
      </c>
      <c r="G16" s="2" t="s">
        <v>111</v>
      </c>
      <c r="H16" s="2" t="str">
        <f>HYPERLINK("https://www.facebook.com/chicagotribune")</f>
        <v>https://www.facebook.com/chicagotribune</v>
      </c>
      <c r="I16" s="2" t="s">
        <v>112</v>
      </c>
      <c r="J16" s="2"/>
      <c r="K16" s="2" t="str">
        <f>HYPERLINK("https://www.linkedin.com/company/chicago-tribune-media-group")</f>
        <v>https://www.linkedin.com/company/chicago-tribune-media-group</v>
      </c>
      <c r="L16" s="2" t="str">
        <f>HYPERLINK("https://www.pinterest.com/chicagotribune")</f>
        <v>https://www.pinterest.com/chicagotribune</v>
      </c>
      <c r="M16" s="2" t="str">
        <f>HYPERLINK("https://www.flickr.com/groups/chicagotribune")</f>
        <v>https://www.flickr.com/groups/chicagotribune</v>
      </c>
      <c r="N16" s="2" t="s">
        <v>113</v>
      </c>
      <c r="O16" s="2" t="s">
        <v>114</v>
      </c>
      <c r="P16" s="2">
        <v>5993201</v>
      </c>
      <c r="Q16" s="2">
        <v>92</v>
      </c>
      <c r="R16" s="2" t="s">
        <v>27</v>
      </c>
      <c r="S16" s="2" t="s">
        <v>28</v>
      </c>
      <c r="T16" s="2" t="s">
        <v>38</v>
      </c>
    </row>
    <row r="17" spans="1:20" ht="102" x14ac:dyDescent="0.25">
      <c r="A17" t="s">
        <v>910</v>
      </c>
      <c r="B17" s="2" t="s">
        <v>115</v>
      </c>
      <c r="C17" s="2" t="s">
        <v>20</v>
      </c>
      <c r="D17" s="2" t="s">
        <v>116</v>
      </c>
      <c r="E17" s="2" t="s">
        <v>117</v>
      </c>
      <c r="F17" s="2" t="str">
        <f>HYPERLINK("http://bbc.co.uk/")</f>
        <v>http://bbc.co.uk/</v>
      </c>
      <c r="G17" s="2" t="s">
        <v>118</v>
      </c>
      <c r="H17" s="2" t="str">
        <f>HYPERLINK("https://web.facebook.com/bbcnews/?_rdr")</f>
        <v>https://web.facebook.com/bbcnews/?_rdr</v>
      </c>
      <c r="I17" s="2" t="s">
        <v>119</v>
      </c>
      <c r="J17" s="2"/>
      <c r="K17" s="2" t="str">
        <f>HYPERLINK("https://www.linkedin.com/company/bbc")</f>
        <v>https://www.linkedin.com/company/bbc</v>
      </c>
      <c r="L17" s="2" t="str">
        <f>HYPERLINK("https://www.pinterest.com/bbcnews")</f>
        <v>https://www.pinterest.com/bbcnews</v>
      </c>
      <c r="M17" s="2"/>
      <c r="N17" s="2"/>
      <c r="O17" s="2" t="s">
        <v>26</v>
      </c>
      <c r="P17" s="2">
        <v>67507912</v>
      </c>
      <c r="Q17" s="2">
        <v>95</v>
      </c>
      <c r="R17" s="2"/>
      <c r="S17" s="2"/>
      <c r="T17" s="2" t="s">
        <v>29</v>
      </c>
    </row>
    <row r="18" spans="1:20" ht="102" x14ac:dyDescent="0.25">
      <c r="A18" t="s">
        <v>912</v>
      </c>
      <c r="B18" s="2" t="s">
        <v>120</v>
      </c>
      <c r="C18" s="2" t="s">
        <v>20</v>
      </c>
      <c r="D18" s="2" t="s">
        <v>121</v>
      </c>
      <c r="E18" s="2" t="s">
        <v>122</v>
      </c>
      <c r="F18" s="2" t="str">
        <f>HYPERLINK("http://salon.com")</f>
        <v>http://salon.com</v>
      </c>
      <c r="G18" s="2" t="s">
        <v>123</v>
      </c>
      <c r="H18" s="2" t="str">
        <f>HYPERLINK("https://www.facebook.com/salon")</f>
        <v>https://www.facebook.com/salon</v>
      </c>
      <c r="I18" s="2" t="s">
        <v>120</v>
      </c>
      <c r="J18" s="2"/>
      <c r="K18" s="2" t="str">
        <f>HYPERLINK("https://www.linkedin.com/company/salon-media-group")</f>
        <v>https://www.linkedin.com/company/salon-media-group</v>
      </c>
      <c r="L18" s="2" t="str">
        <f>HYPERLINK("https://www.pinterest.com/salonmedia/")</f>
        <v>https://www.pinterest.com/salonmedia/</v>
      </c>
      <c r="M18" s="2" t="str">
        <f>HYPERLINK("https://www.flickr.com/photos/saloncom/")</f>
        <v>https://www.flickr.com/photos/saloncom/</v>
      </c>
      <c r="N18" s="2"/>
      <c r="O18" s="2" t="s">
        <v>26</v>
      </c>
      <c r="P18" s="2">
        <v>4115861</v>
      </c>
      <c r="Q18" s="2">
        <v>91</v>
      </c>
      <c r="R18" s="2"/>
      <c r="S18" s="2"/>
      <c r="T18" s="2" t="s">
        <v>38</v>
      </c>
    </row>
    <row r="19" spans="1:20" ht="89.25" x14ac:dyDescent="0.25">
      <c r="A19" t="s">
        <v>910</v>
      </c>
      <c r="B19" s="2" t="s">
        <v>124</v>
      </c>
      <c r="C19" s="2" t="s">
        <v>20</v>
      </c>
      <c r="D19" s="2" t="s">
        <v>125</v>
      </c>
      <c r="E19" s="2" t="s">
        <v>126</v>
      </c>
      <c r="F19" s="2" t="str">
        <f>HYPERLINK("http://forbes.com")</f>
        <v>http://forbes.com</v>
      </c>
      <c r="G19" s="2" t="s">
        <v>127</v>
      </c>
      <c r="H19" s="2" t="str">
        <f>HYPERLINK("https://www.facebook.com/forbes")</f>
        <v>https://www.facebook.com/forbes</v>
      </c>
      <c r="I19" s="2" t="s">
        <v>124</v>
      </c>
      <c r="J19" s="2"/>
      <c r="K19" s="2" t="str">
        <f>HYPERLINK("https://www.linkedin.com/company/forbes-magazine")</f>
        <v>https://www.linkedin.com/company/forbes-magazine</v>
      </c>
      <c r="L19" s="2" t="str">
        <f>HYPERLINK("https://www.pinterest.com/forbesmagazine")</f>
        <v>https://www.pinterest.com/forbesmagazine</v>
      </c>
      <c r="M19" s="2"/>
      <c r="N19" s="2" t="s">
        <v>128</v>
      </c>
      <c r="O19" s="2" t="s">
        <v>26</v>
      </c>
      <c r="P19" s="2">
        <v>72975564</v>
      </c>
      <c r="Q19" s="2">
        <v>94</v>
      </c>
      <c r="R19" s="2" t="s">
        <v>129</v>
      </c>
      <c r="S19" s="2" t="s">
        <v>130</v>
      </c>
      <c r="T19" s="2" t="s">
        <v>38</v>
      </c>
    </row>
    <row r="20" spans="1:20" ht="102" x14ac:dyDescent="0.25">
      <c r="A20" t="s">
        <v>910</v>
      </c>
      <c r="B20" s="2" t="s">
        <v>131</v>
      </c>
      <c r="C20" s="2" t="s">
        <v>20</v>
      </c>
      <c r="D20" s="2" t="s">
        <v>132</v>
      </c>
      <c r="E20" s="2" t="s">
        <v>133</v>
      </c>
      <c r="F20" s="2" t="str">
        <f>HYPERLINK("https://www.foxnews.com/")</f>
        <v>https://www.foxnews.com/</v>
      </c>
      <c r="G20" s="2" t="s">
        <v>134</v>
      </c>
      <c r="H20" s="2" t="str">
        <f>HYPERLINK("https://www.facebook.com/FoxNews")</f>
        <v>https://www.facebook.com/FoxNews</v>
      </c>
      <c r="I20" s="2" t="s">
        <v>135</v>
      </c>
      <c r="J20" s="2"/>
      <c r="K20" s="2" t="str">
        <f>HYPERLINK("https://www.linkedin.com/company/fox-news-channel")</f>
        <v>https://www.linkedin.com/company/fox-news-channel</v>
      </c>
      <c r="L20" s="2"/>
      <c r="M20" s="2" t="str">
        <f>HYPERLINK("https://www.flickr.com/photos/fncinsider")</f>
        <v>https://www.flickr.com/photos/fncinsider</v>
      </c>
      <c r="N20" s="2" t="s">
        <v>136</v>
      </c>
      <c r="O20" s="2" t="s">
        <v>26</v>
      </c>
      <c r="P20" s="2">
        <v>53766981</v>
      </c>
      <c r="Q20" s="2">
        <v>93</v>
      </c>
      <c r="R20" s="2"/>
      <c r="S20" s="2"/>
      <c r="T20" s="2" t="s">
        <v>38</v>
      </c>
    </row>
    <row r="21" spans="1:20" ht="102" x14ac:dyDescent="0.25">
      <c r="A21" t="s">
        <v>912</v>
      </c>
      <c r="B21" s="2" t="s">
        <v>137</v>
      </c>
      <c r="C21" s="2" t="s">
        <v>20</v>
      </c>
      <c r="D21" s="2" t="s">
        <v>138</v>
      </c>
      <c r="E21" s="2"/>
      <c r="F21" s="2" t="str">
        <f>HYPERLINK("http://wired.com/")</f>
        <v>http://wired.com/</v>
      </c>
      <c r="G21" s="2" t="s">
        <v>139</v>
      </c>
      <c r="H21" s="2" t="str">
        <f>HYPERLINK("https://www.facebook.com/wired")</f>
        <v>https://www.facebook.com/wired</v>
      </c>
      <c r="I21" s="2" t="s">
        <v>140</v>
      </c>
      <c r="J21" s="2"/>
      <c r="K21" s="2" t="str">
        <f>HYPERLINK("https://www.linkedin.com/company/wired")</f>
        <v>https://www.linkedin.com/company/wired</v>
      </c>
      <c r="L21" s="2"/>
      <c r="M21" s="2"/>
      <c r="N21" s="2" t="s">
        <v>141</v>
      </c>
      <c r="O21" s="2" t="s">
        <v>26</v>
      </c>
      <c r="P21" s="2">
        <v>17403926</v>
      </c>
      <c r="Q21" s="2">
        <v>93</v>
      </c>
      <c r="R21" s="2" t="s">
        <v>142</v>
      </c>
      <c r="S21" s="2"/>
      <c r="T21" s="2" t="s">
        <v>38</v>
      </c>
    </row>
    <row r="22" spans="1:20" ht="89.25" x14ac:dyDescent="0.25">
      <c r="A22" t="s">
        <v>912</v>
      </c>
      <c r="B22" s="2" t="s">
        <v>143</v>
      </c>
      <c r="C22" s="2" t="s">
        <v>20</v>
      </c>
      <c r="D22" s="2" t="s">
        <v>144</v>
      </c>
      <c r="E22" s="2" t="s">
        <v>145</v>
      </c>
      <c r="F22" s="2" t="str">
        <f>HYPERLINK("https://www.usatoday.com/")</f>
        <v>https://www.usatoday.com/</v>
      </c>
      <c r="G22" s="2" t="s">
        <v>146</v>
      </c>
      <c r="H22" s="2" t="str">
        <f>HYPERLINK("https://www.facebook.com/usatoday")</f>
        <v>https://www.facebook.com/usatoday</v>
      </c>
      <c r="I22" s="2" t="s">
        <v>147</v>
      </c>
      <c r="J22" s="2"/>
      <c r="K22" s="2" t="str">
        <f>HYPERLINK("https://www.linkedin.com/company/usa-today")</f>
        <v>https://www.linkedin.com/company/usa-today</v>
      </c>
      <c r="L22" s="2" t="str">
        <f>HYPERLINK("https://www.pinterest.com/usatoday")</f>
        <v>https://www.pinterest.com/usatoday</v>
      </c>
      <c r="M22" s="2"/>
      <c r="N22" s="2" t="s">
        <v>148</v>
      </c>
      <c r="O22" s="2" t="s">
        <v>26</v>
      </c>
      <c r="P22" s="2">
        <v>65865848</v>
      </c>
      <c r="Q22" s="2">
        <v>94</v>
      </c>
      <c r="R22" s="2" t="s">
        <v>27</v>
      </c>
      <c r="S22" s="2" t="s">
        <v>28</v>
      </c>
      <c r="T22" s="2" t="s">
        <v>38</v>
      </c>
    </row>
    <row r="23" spans="1:20" ht="76.5" x14ac:dyDescent="0.25">
      <c r="A23" t="s">
        <v>911</v>
      </c>
      <c r="B23" s="2" t="s">
        <v>149</v>
      </c>
      <c r="C23" s="2" t="s">
        <v>20</v>
      </c>
      <c r="D23" s="2" t="s">
        <v>150</v>
      </c>
      <c r="E23" s="2" t="s">
        <v>151</v>
      </c>
      <c r="F23" s="2" t="str">
        <f>HYPERLINK("https://apnews.com")</f>
        <v>https://apnews.com</v>
      </c>
      <c r="G23" s="2" t="s">
        <v>152</v>
      </c>
      <c r="H23" s="2" t="str">
        <f>HYPERLINK("https://www.facebook.com/APNews")</f>
        <v>https://www.facebook.com/APNews</v>
      </c>
      <c r="I23" s="2" t="s">
        <v>153</v>
      </c>
      <c r="J23" s="2"/>
      <c r="K23" s="2" t="str">
        <f>HYPERLINK("https://www.linkedin.com/company/associated-press")</f>
        <v>https://www.linkedin.com/company/associated-press</v>
      </c>
      <c r="L23" s="2"/>
      <c r="M23" s="2" t="str">
        <f>HYPERLINK("https://www.flickr.com/groups/associatedpress")</f>
        <v>https://www.flickr.com/groups/associatedpress</v>
      </c>
      <c r="N23" s="2"/>
      <c r="O23" s="2" t="s">
        <v>114</v>
      </c>
      <c r="P23" s="2">
        <v>38044354</v>
      </c>
      <c r="Q23" s="2">
        <v>92</v>
      </c>
      <c r="R23" s="2"/>
      <c r="S23" s="2"/>
      <c r="T23" s="2" t="s">
        <v>38</v>
      </c>
    </row>
    <row r="24" spans="1:20" ht="76.5" x14ac:dyDescent="0.25">
      <c r="A24" t="s">
        <v>911</v>
      </c>
      <c r="B24" s="2" t="s">
        <v>154</v>
      </c>
      <c r="C24" s="2" t="s">
        <v>20</v>
      </c>
      <c r="D24" s="2"/>
      <c r="E24" s="2" t="s">
        <v>155</v>
      </c>
      <c r="F24" s="2" t="str">
        <f>HYPERLINK("http://reuters.com/")</f>
        <v>http://reuters.com/</v>
      </c>
      <c r="G24" s="2" t="s">
        <v>156</v>
      </c>
      <c r="H24" s="2" t="str">
        <f>HYPERLINK("https://www.facebook.com/Reuters")</f>
        <v>https://www.facebook.com/Reuters</v>
      </c>
      <c r="I24" s="2" t="s">
        <v>154</v>
      </c>
      <c r="J24" s="2"/>
      <c r="K24" s="2" t="str">
        <f>HYPERLINK("https://www.linkedin.com/company/reuters-financial-software")</f>
        <v>https://www.linkedin.com/company/reuters-financial-software</v>
      </c>
      <c r="L24" s="2"/>
      <c r="M24" s="2"/>
      <c r="N24" s="2"/>
      <c r="O24" s="2" t="s">
        <v>26</v>
      </c>
      <c r="P24" s="2">
        <v>54756032</v>
      </c>
      <c r="Q24" s="2">
        <v>94</v>
      </c>
      <c r="R24" s="2"/>
      <c r="S24" s="2"/>
      <c r="T24" s="2" t="s">
        <v>38</v>
      </c>
    </row>
    <row r="25" spans="1:20" ht="76.5" x14ac:dyDescent="0.25">
      <c r="A25" t="s">
        <v>912</v>
      </c>
      <c r="B25" s="2" t="s">
        <v>157</v>
      </c>
      <c r="C25" s="2" t="s">
        <v>20</v>
      </c>
      <c r="D25" s="2" t="s">
        <v>158</v>
      </c>
      <c r="E25" s="2" t="s">
        <v>159</v>
      </c>
      <c r="F25" s="2" t="str">
        <f>HYPERLINK("https://www.fastcompany.com/")</f>
        <v>https://www.fastcompany.com/</v>
      </c>
      <c r="G25" s="2" t="s">
        <v>160</v>
      </c>
      <c r="H25" s="2" t="str">
        <f>HYPERLINK("https://www.facebook.com/FastCompany")</f>
        <v>https://www.facebook.com/FastCompany</v>
      </c>
      <c r="I25" s="2" t="s">
        <v>161</v>
      </c>
      <c r="J25" s="2"/>
      <c r="K25" s="2" t="str">
        <f>HYPERLINK("https://www.linkedin.com/company/fast-company")</f>
        <v>https://www.linkedin.com/company/fast-company</v>
      </c>
      <c r="L25" s="2" t="str">
        <f>HYPERLINK("https://www.pinterest.com/fastcompany/")</f>
        <v>https://www.pinterest.com/fastcompany/</v>
      </c>
      <c r="M25" s="2"/>
      <c r="N25" s="2" t="s">
        <v>162</v>
      </c>
      <c r="O25" s="2" t="s">
        <v>26</v>
      </c>
      <c r="P25" s="2">
        <v>4609938</v>
      </c>
      <c r="Q25" s="2">
        <v>92</v>
      </c>
      <c r="R25" s="2" t="s">
        <v>142</v>
      </c>
      <c r="S25" s="2"/>
      <c r="T25" s="2" t="s">
        <v>38</v>
      </c>
    </row>
    <row r="26" spans="1:20" ht="76.5" x14ac:dyDescent="0.25">
      <c r="A26" t="s">
        <v>912</v>
      </c>
      <c r="B26" s="2" t="s">
        <v>163</v>
      </c>
      <c r="C26" s="2" t="s">
        <v>20</v>
      </c>
      <c r="D26" s="2" t="s">
        <v>164</v>
      </c>
      <c r="E26" s="2" t="s">
        <v>165</v>
      </c>
      <c r="F26" s="2" t="str">
        <f>HYPERLINK("http://newyorker.com/")</f>
        <v>http://newyorker.com/</v>
      </c>
      <c r="G26" s="2" t="s">
        <v>166</v>
      </c>
      <c r="H26" s="2" t="str">
        <f>HYPERLINK("https://www.facebook.com/newyorker")</f>
        <v>https://www.facebook.com/newyorker</v>
      </c>
      <c r="I26" s="2" t="s">
        <v>167</v>
      </c>
      <c r="J26" s="2"/>
      <c r="K26" s="2" t="str">
        <f>HYPERLINK("https://www.linkedin.com/company/the-new-yorker")</f>
        <v>https://www.linkedin.com/company/the-new-yorker</v>
      </c>
      <c r="L26" s="2" t="str">
        <f>HYPERLINK("https://www.pinterest.com/thenewyorker/")</f>
        <v>https://www.pinterest.com/thenewyorker/</v>
      </c>
      <c r="M26" s="2"/>
      <c r="N26" s="2" t="s">
        <v>168</v>
      </c>
      <c r="O26" s="2" t="s">
        <v>26</v>
      </c>
      <c r="P26" s="2">
        <v>9281459</v>
      </c>
      <c r="Q26" s="2">
        <v>93</v>
      </c>
      <c r="R26" s="2" t="s">
        <v>36</v>
      </c>
      <c r="S26" s="2"/>
      <c r="T26" s="2" t="s">
        <v>38</v>
      </c>
    </row>
    <row r="27" spans="1:20" ht="76.5" x14ac:dyDescent="0.25">
      <c r="A27" t="s">
        <v>912</v>
      </c>
      <c r="B27" s="2" t="s">
        <v>169</v>
      </c>
      <c r="C27" s="2" t="s">
        <v>20</v>
      </c>
      <c r="D27" s="2" t="s">
        <v>170</v>
      </c>
      <c r="E27" s="2" t="s">
        <v>171</v>
      </c>
      <c r="F27" s="2" t="str">
        <f>HYPERLINK("http://economist.com")</f>
        <v>http://economist.com</v>
      </c>
      <c r="G27" s="2" t="s">
        <v>172</v>
      </c>
      <c r="H27" s="2" t="str">
        <f>HYPERLINK("https://www.facebook.com/TheEconomist")</f>
        <v>https://www.facebook.com/TheEconomist</v>
      </c>
      <c r="I27" s="2" t="s">
        <v>173</v>
      </c>
      <c r="J27" s="2"/>
      <c r="K27" s="2" t="str">
        <f>HYPERLINK("https://www.linkedin.com/company/the-economist/")</f>
        <v>https://www.linkedin.com/company/the-economist/</v>
      </c>
      <c r="L27" s="2" t="str">
        <f>HYPERLINK("https://www.pinterest.com/theeconomist")</f>
        <v>https://www.pinterest.com/theeconomist</v>
      </c>
      <c r="M27" s="2" t="str">
        <f>HYPERLINK("https://www.flickr.com/photos/91092048@N06")</f>
        <v>https://www.flickr.com/photos/91092048@N06</v>
      </c>
      <c r="N27" s="2" t="s">
        <v>174</v>
      </c>
      <c r="O27" s="2" t="s">
        <v>26</v>
      </c>
      <c r="P27" s="2">
        <v>7531300</v>
      </c>
      <c r="Q27" s="2">
        <v>93</v>
      </c>
      <c r="R27" s="2" t="s">
        <v>36</v>
      </c>
      <c r="S27" s="2" t="s">
        <v>103</v>
      </c>
      <c r="T27" s="2" t="s">
        <v>29</v>
      </c>
    </row>
    <row r="28" spans="1:20" ht="89.25" x14ac:dyDescent="0.25">
      <c r="A28" t="s">
        <v>913</v>
      </c>
      <c r="B28" s="2" t="s">
        <v>175</v>
      </c>
      <c r="C28" s="2" t="s">
        <v>20</v>
      </c>
      <c r="D28" s="2" t="s">
        <v>176</v>
      </c>
      <c r="E28" s="2" t="s">
        <v>177</v>
      </c>
      <c r="F28" s="2" t="str">
        <f>HYPERLINK("http://motherjones.com/")</f>
        <v>http://motherjones.com/</v>
      </c>
      <c r="G28" s="2" t="s">
        <v>178</v>
      </c>
      <c r="H28" s="2" t="str">
        <f>HYPERLINK("https://www.facebook.com/motherjones")</f>
        <v>https://www.facebook.com/motherjones</v>
      </c>
      <c r="I28" s="2" t="s">
        <v>179</v>
      </c>
      <c r="J28" s="2"/>
      <c r="K28" s="2" t="str">
        <f>HYPERLINK("https://www.linkedin.com/company/mother-jones")</f>
        <v>https://www.linkedin.com/company/mother-jones</v>
      </c>
      <c r="L28" s="2" t="str">
        <f>HYPERLINK("https://www.pinterest.com/motherjonesmag")</f>
        <v>https://www.pinterest.com/motherjonesmag</v>
      </c>
      <c r="M28" s="2"/>
      <c r="N28" s="2"/>
      <c r="O28" s="2" t="s">
        <v>26</v>
      </c>
      <c r="P28" s="2">
        <v>1227710</v>
      </c>
      <c r="Q28" s="2">
        <v>88</v>
      </c>
      <c r="R28" s="2" t="s">
        <v>180</v>
      </c>
      <c r="S28" s="2"/>
      <c r="T28" s="2" t="s">
        <v>38</v>
      </c>
    </row>
    <row r="29" spans="1:20" ht="89.25" x14ac:dyDescent="0.25">
      <c r="A29" t="s">
        <v>912</v>
      </c>
      <c r="B29" s="2" t="s">
        <v>181</v>
      </c>
      <c r="C29" s="2" t="s">
        <v>40</v>
      </c>
      <c r="D29" s="2" t="s">
        <v>182</v>
      </c>
      <c r="E29" s="2" t="s">
        <v>183</v>
      </c>
      <c r="F29" s="2" t="str">
        <f>HYPERLINK("http://nymag.com")</f>
        <v>http://nymag.com</v>
      </c>
      <c r="G29" s="2" t="s">
        <v>184</v>
      </c>
      <c r="H29" s="2" t="str">
        <f>HYPERLINK("https://www.facebook.com/NewYorkMag")</f>
        <v>https://www.facebook.com/NewYorkMag</v>
      </c>
      <c r="I29" s="2" t="s">
        <v>185</v>
      </c>
      <c r="J29" s="2"/>
      <c r="K29" s="2" t="str">
        <f>HYPERLINK("https://www.linkedin.com/company/new-york-magazine")</f>
        <v>https://www.linkedin.com/company/new-york-magazine</v>
      </c>
      <c r="L29" s="2"/>
      <c r="M29" s="2"/>
      <c r="N29" s="2" t="s">
        <v>186</v>
      </c>
      <c r="O29" s="2" t="s">
        <v>26</v>
      </c>
      <c r="P29" s="2">
        <v>9793155</v>
      </c>
      <c r="Q29" s="2">
        <v>91</v>
      </c>
      <c r="R29" s="2" t="s">
        <v>129</v>
      </c>
      <c r="S29" s="2" t="s">
        <v>187</v>
      </c>
      <c r="T29" s="2" t="s">
        <v>38</v>
      </c>
    </row>
    <row r="30" spans="1:20" ht="114.75" x14ac:dyDescent="0.25">
      <c r="A30" t="s">
        <v>910</v>
      </c>
      <c r="B30" s="2" t="s">
        <v>188</v>
      </c>
      <c r="C30" s="2" t="s">
        <v>20</v>
      </c>
      <c r="D30" s="2" t="s">
        <v>189</v>
      </c>
      <c r="E30" s="2" t="s">
        <v>190</v>
      </c>
      <c r="F30" s="2" t="str">
        <f>HYPERLINK("http://theatlantic.com")</f>
        <v>http://theatlantic.com</v>
      </c>
      <c r="G30" s="2" t="s">
        <v>191</v>
      </c>
      <c r="H30" s="2" t="str">
        <f>HYPERLINK("https://www.facebook.com/TheAtlantic")</f>
        <v>https://www.facebook.com/TheAtlantic</v>
      </c>
      <c r="I30" s="2" t="s">
        <v>192</v>
      </c>
      <c r="J30" s="2"/>
      <c r="K30" s="2" t="str">
        <f>HYPERLINK("https://www.linkedin.com/company/the-atlantic")</f>
        <v>https://www.linkedin.com/company/the-atlantic</v>
      </c>
      <c r="L30" s="2" t="str">
        <f>HYPERLINK("https://www.pinterest.com/theatlantic/")</f>
        <v>https://www.pinterest.com/theatlantic/</v>
      </c>
      <c r="M30" s="2"/>
      <c r="N30" s="2" t="s">
        <v>193</v>
      </c>
      <c r="O30" s="2" t="s">
        <v>26</v>
      </c>
      <c r="P30" s="2">
        <v>16923812</v>
      </c>
      <c r="Q30" s="2">
        <v>93</v>
      </c>
      <c r="R30" s="2" t="s">
        <v>142</v>
      </c>
      <c r="S30" s="2"/>
      <c r="T30" s="2" t="s">
        <v>38</v>
      </c>
    </row>
    <row r="31" spans="1:20" ht="76.5" x14ac:dyDescent="0.25">
      <c r="A31" t="s">
        <v>912</v>
      </c>
      <c r="B31" s="2" t="s">
        <v>194</v>
      </c>
      <c r="C31" s="2" t="s">
        <v>20</v>
      </c>
      <c r="D31" s="2" t="s">
        <v>195</v>
      </c>
      <c r="E31" s="2" t="s">
        <v>196</v>
      </c>
      <c r="F31" s="2" t="str">
        <f>HYPERLINK("http://thenation.com/")</f>
        <v>http://thenation.com/</v>
      </c>
      <c r="G31" s="2" t="s">
        <v>197</v>
      </c>
      <c r="H31" s="2" t="str">
        <f>HYPERLINK("https://www.facebook.com/TheNationMagazine")</f>
        <v>https://www.facebook.com/TheNationMagazine</v>
      </c>
      <c r="I31" s="2" t="s">
        <v>198</v>
      </c>
      <c r="J31" s="2"/>
      <c r="K31" s="2" t="str">
        <f>HYPERLINK("https://www.linkedin.com/company/the-nation")</f>
        <v>https://www.linkedin.com/company/the-nation</v>
      </c>
      <c r="L31" s="2"/>
      <c r="M31" s="2"/>
      <c r="N31" s="2" t="s">
        <v>199</v>
      </c>
      <c r="O31" s="2" t="s">
        <v>26</v>
      </c>
      <c r="P31" s="2">
        <v>1322267</v>
      </c>
      <c r="Q31" s="2">
        <v>85</v>
      </c>
      <c r="R31" s="2" t="s">
        <v>142</v>
      </c>
      <c r="S31" s="2"/>
      <c r="T31" s="2" t="s">
        <v>38</v>
      </c>
    </row>
    <row r="32" spans="1:20" ht="89.25" x14ac:dyDescent="0.25">
      <c r="A32" t="s">
        <v>912</v>
      </c>
      <c r="B32" s="2" t="s">
        <v>200</v>
      </c>
      <c r="C32" s="2" t="s">
        <v>20</v>
      </c>
      <c r="D32" s="2" t="s">
        <v>201</v>
      </c>
      <c r="E32" s="2" t="s">
        <v>165</v>
      </c>
      <c r="F32" s="2" t="str">
        <f>HYPERLINK("http://vanityfair.com/")</f>
        <v>http://vanityfair.com/</v>
      </c>
      <c r="G32" s="2" t="s">
        <v>202</v>
      </c>
      <c r="H32" s="2" t="str">
        <f>HYPERLINK("https://www.facebook.com/vanityfairmagazine")</f>
        <v>https://www.facebook.com/vanityfairmagazine</v>
      </c>
      <c r="I32" s="2" t="s">
        <v>203</v>
      </c>
      <c r="J32" s="2"/>
      <c r="K32" s="2" t="str">
        <f>HYPERLINK("https://www.linkedin.com/company/vanity-affairs")</f>
        <v>https://www.linkedin.com/company/vanity-affairs</v>
      </c>
      <c r="L32" s="2" t="str">
        <f>HYPERLINK("https://www.pinterest.com/VanityFair/")</f>
        <v>https://www.pinterest.com/VanityFair/</v>
      </c>
      <c r="M32" s="2"/>
      <c r="N32" s="2" t="s">
        <v>204</v>
      </c>
      <c r="O32" s="2" t="s">
        <v>26</v>
      </c>
      <c r="P32" s="2">
        <v>9160821</v>
      </c>
      <c r="Q32" s="2">
        <v>90</v>
      </c>
      <c r="R32" s="2" t="s">
        <v>142</v>
      </c>
      <c r="S32" s="2"/>
      <c r="T32" s="2" t="s">
        <v>38</v>
      </c>
    </row>
    <row r="33" spans="1:20" ht="76.5" x14ac:dyDescent="0.25">
      <c r="A33" t="s">
        <v>912</v>
      </c>
      <c r="B33" s="2" t="s">
        <v>205</v>
      </c>
      <c r="C33" s="2" t="s">
        <v>20</v>
      </c>
      <c r="D33" s="2" t="s">
        <v>206</v>
      </c>
      <c r="E33" s="2" t="s">
        <v>207</v>
      </c>
      <c r="F33" s="2" t="str">
        <f>HYPERLINK("http://rollingstone.com/")</f>
        <v>http://rollingstone.com/</v>
      </c>
      <c r="G33" s="2" t="s">
        <v>208</v>
      </c>
      <c r="H33" s="2" t="str">
        <f>HYPERLINK("https://www.facebook.com/RollingStone")</f>
        <v>https://www.facebook.com/RollingStone</v>
      </c>
      <c r="I33" s="2" t="s">
        <v>209</v>
      </c>
      <c r="J33" s="2"/>
      <c r="K33" s="2" t="str">
        <f>HYPERLINK("https://www.linkedin.com/company/spin-magazine/")</f>
        <v>https://www.linkedin.com/company/spin-magazine/</v>
      </c>
      <c r="L33" s="2" t="str">
        <f>HYPERLINK("http://www.pinterest.com/rollingstone/")</f>
        <v>http://www.pinterest.com/rollingstone/</v>
      </c>
      <c r="M33" s="2"/>
      <c r="N33" s="2" t="s">
        <v>210</v>
      </c>
      <c r="O33" s="2" t="s">
        <v>114</v>
      </c>
      <c r="P33" s="2">
        <v>15667110</v>
      </c>
      <c r="Q33" s="2">
        <v>92</v>
      </c>
      <c r="R33" s="2" t="s">
        <v>142</v>
      </c>
      <c r="S33" s="2"/>
      <c r="T33" s="2" t="s">
        <v>38</v>
      </c>
    </row>
    <row r="34" spans="1:20" ht="76.5" x14ac:dyDescent="0.25">
      <c r="A34" t="s">
        <v>910</v>
      </c>
      <c r="B34" s="2" t="s">
        <v>211</v>
      </c>
      <c r="C34" s="2" t="s">
        <v>20</v>
      </c>
      <c r="D34" s="2" t="s">
        <v>212</v>
      </c>
      <c r="E34" s="2" t="s">
        <v>213</v>
      </c>
      <c r="F34" s="2" t="str">
        <f>HYPERLINK("http://fortune.com")</f>
        <v>http://fortune.com</v>
      </c>
      <c r="G34" s="2" t="s">
        <v>214</v>
      </c>
      <c r="H34" s="2" t="str">
        <f>HYPERLINK("https://www.facebook.com/FortuneMagazine")</f>
        <v>https://www.facebook.com/FortuneMagazine</v>
      </c>
      <c r="I34" s="2" t="s">
        <v>215</v>
      </c>
      <c r="J34" s="2"/>
      <c r="K34" s="2" t="str">
        <f>HYPERLINK("https://www.linkedin.com/company/fortune-magazine")</f>
        <v>https://www.linkedin.com/company/fortune-magazine</v>
      </c>
      <c r="L34" s="2"/>
      <c r="M34" s="2"/>
      <c r="N34" s="2" t="s">
        <v>216</v>
      </c>
      <c r="O34" s="2" t="s">
        <v>26</v>
      </c>
      <c r="P34" s="2">
        <v>18040405</v>
      </c>
      <c r="Q34" s="2">
        <v>92</v>
      </c>
      <c r="R34" s="2" t="s">
        <v>217</v>
      </c>
      <c r="S34" s="2"/>
      <c r="T34" s="2" t="s">
        <v>38</v>
      </c>
    </row>
    <row r="35" spans="1:20" ht="89.25" x14ac:dyDescent="0.25">
      <c r="A35" t="s">
        <v>912</v>
      </c>
      <c r="B35" s="2" t="s">
        <v>218</v>
      </c>
      <c r="C35" s="2" t="s">
        <v>20</v>
      </c>
      <c r="D35" s="2" t="s">
        <v>219</v>
      </c>
      <c r="E35" s="2" t="s">
        <v>220</v>
      </c>
      <c r="F35" s="2" t="str">
        <f>HYPERLINK("http://slate.com/")</f>
        <v>http://slate.com/</v>
      </c>
      <c r="G35" s="2" t="s">
        <v>221</v>
      </c>
      <c r="H35" s="2" t="str">
        <f>HYPERLINK("https://web.facebook.com/Slate?_rdr")</f>
        <v>https://web.facebook.com/Slate?_rdr</v>
      </c>
      <c r="I35" s="2" t="s">
        <v>218</v>
      </c>
      <c r="J35" s="2"/>
      <c r="K35" s="2" t="str">
        <f>HYPERLINK("https://www.linkedin.com/company/slate-magazine")</f>
        <v>https://www.linkedin.com/company/slate-magazine</v>
      </c>
      <c r="L35" s="2" t="str">
        <f>HYPERLINK("https://www.pinterest.com/slatemagazine")</f>
        <v>https://www.pinterest.com/slatemagazine</v>
      </c>
      <c r="M35" s="2"/>
      <c r="N35" s="2"/>
      <c r="O35" s="2" t="s">
        <v>26</v>
      </c>
      <c r="P35" s="2">
        <v>8165834</v>
      </c>
      <c r="Q35" s="2">
        <v>92</v>
      </c>
      <c r="R35" s="2"/>
      <c r="S35" s="2"/>
      <c r="T35" s="2" t="s">
        <v>38</v>
      </c>
    </row>
    <row r="36" spans="1:20" ht="89.25" x14ac:dyDescent="0.25">
      <c r="A36" t="s">
        <v>912</v>
      </c>
      <c r="B36" s="2" t="s">
        <v>222</v>
      </c>
      <c r="C36" s="2" t="s">
        <v>20</v>
      </c>
      <c r="D36" s="2" t="s">
        <v>223</v>
      </c>
      <c r="E36" s="2" t="s">
        <v>224</v>
      </c>
      <c r="F36" s="2" t="str">
        <f>HYPERLINK("http://cnbc.com/")</f>
        <v>http://cnbc.com/</v>
      </c>
      <c r="G36" s="2" t="s">
        <v>225</v>
      </c>
      <c r="H36" s="2" t="str">
        <f>HYPERLINK("https://www.facebook.com/cnbc")</f>
        <v>https://www.facebook.com/cnbc</v>
      </c>
      <c r="I36" s="2" t="s">
        <v>226</v>
      </c>
      <c r="J36" s="2"/>
      <c r="K36" s="2" t="str">
        <f>HYPERLINK("https://www.linkedin.com/company/cnbc")</f>
        <v>https://www.linkedin.com/company/cnbc</v>
      </c>
      <c r="L36" s="2"/>
      <c r="M36" s="2"/>
      <c r="N36" s="2"/>
      <c r="O36" s="2" t="s">
        <v>26</v>
      </c>
      <c r="P36" s="2">
        <v>50328997</v>
      </c>
      <c r="Q36" s="2">
        <v>93</v>
      </c>
      <c r="R36" s="2" t="s">
        <v>27</v>
      </c>
      <c r="S36" s="2" t="s">
        <v>28</v>
      </c>
      <c r="T36" s="2" t="s">
        <v>38</v>
      </c>
    </row>
    <row r="37" spans="1:20" ht="89.25" x14ac:dyDescent="0.25">
      <c r="A37" t="s">
        <v>912</v>
      </c>
      <c r="B37" s="2" t="s">
        <v>227</v>
      </c>
      <c r="C37" s="2" t="s">
        <v>20</v>
      </c>
      <c r="D37" s="2" t="s">
        <v>228</v>
      </c>
      <c r="E37" s="2" t="s">
        <v>159</v>
      </c>
      <c r="F37" s="2" t="str">
        <f>HYPERLINK("https://www.inc.com/")</f>
        <v>https://www.inc.com/</v>
      </c>
      <c r="G37" s="2" t="s">
        <v>229</v>
      </c>
      <c r="H37" s="2" t="str">
        <f>HYPERLINK("https://www.facebook.com/Inc")</f>
        <v>https://www.facebook.com/Inc</v>
      </c>
      <c r="I37" s="2" t="s">
        <v>230</v>
      </c>
      <c r="J37" s="2"/>
      <c r="K37" s="2" t="str">
        <f>HYPERLINK("https://www.linkedin.com/company/incmagazine/")</f>
        <v>https://www.linkedin.com/company/incmagazine/</v>
      </c>
      <c r="L37" s="2" t="str">
        <f>HYPERLINK("https://www.pinterest.com/incmagazine/")</f>
        <v>https://www.pinterest.com/incmagazine/</v>
      </c>
      <c r="M37" s="2"/>
      <c r="N37" s="2" t="s">
        <v>231</v>
      </c>
      <c r="O37" s="2" t="s">
        <v>26</v>
      </c>
      <c r="P37" s="2">
        <v>5182569</v>
      </c>
      <c r="Q37" s="2">
        <v>92</v>
      </c>
      <c r="R37" s="2" t="s">
        <v>180</v>
      </c>
      <c r="S37" s="2"/>
      <c r="T37" s="2" t="s">
        <v>38</v>
      </c>
    </row>
    <row r="38" spans="1:20" ht="102" x14ac:dyDescent="0.25">
      <c r="A38" t="s">
        <v>912</v>
      </c>
      <c r="B38" s="2" t="s">
        <v>232</v>
      </c>
      <c r="C38" s="2" t="s">
        <v>20</v>
      </c>
      <c r="D38" s="2" t="s">
        <v>233</v>
      </c>
      <c r="E38" s="2" t="s">
        <v>234</v>
      </c>
      <c r="F38" s="2" t="str">
        <f>HYPERLINK("http://propublica.org/")</f>
        <v>http://propublica.org/</v>
      </c>
      <c r="G38" s="2" t="s">
        <v>235</v>
      </c>
      <c r="H38" s="2" t="str">
        <f>HYPERLINK("https://www.facebook.com/propublica")</f>
        <v>https://www.facebook.com/propublica</v>
      </c>
      <c r="I38" s="2" t="s">
        <v>232</v>
      </c>
      <c r="J38" s="2"/>
      <c r="K38" s="2" t="str">
        <f>HYPERLINK("https://www.linkedin.com/company/propublica")</f>
        <v>https://www.linkedin.com/company/propublica</v>
      </c>
      <c r="L38" s="2" t="str">
        <f>HYPERLINK("https://www.pinterest.com/propublica")</f>
        <v>https://www.pinterest.com/propublica</v>
      </c>
      <c r="M38" s="2" t="str">
        <f>HYPERLINK("https://www.flickr.com/photos/propublica")</f>
        <v>https://www.flickr.com/photos/propublica</v>
      </c>
      <c r="N38" s="2"/>
      <c r="O38" s="2" t="s">
        <v>26</v>
      </c>
      <c r="P38" s="2">
        <v>2266980</v>
      </c>
      <c r="Q38" s="2">
        <v>90</v>
      </c>
      <c r="R38" s="2"/>
      <c r="S38" s="2"/>
      <c r="T38" s="2" t="s">
        <v>38</v>
      </c>
    </row>
    <row r="39" spans="1:20" ht="89.25" x14ac:dyDescent="0.25">
      <c r="A39" t="s">
        <v>912</v>
      </c>
      <c r="B39" s="2" t="s">
        <v>236</v>
      </c>
      <c r="C39" s="2" t="s">
        <v>20</v>
      </c>
      <c r="D39" s="2" t="s">
        <v>237</v>
      </c>
      <c r="E39" s="2" t="s">
        <v>90</v>
      </c>
      <c r="F39" s="2" t="str">
        <f>HYPERLINK("https://barrons.com/")</f>
        <v>https://barrons.com/</v>
      </c>
      <c r="G39" s="2" t="s">
        <v>91</v>
      </c>
      <c r="H39" s="2" t="str">
        <f>HYPERLINK("https://www.facebook.com/barronsonline")</f>
        <v>https://www.facebook.com/barronsonline</v>
      </c>
      <c r="I39" s="2" t="s">
        <v>238</v>
      </c>
      <c r="J39" s="2"/>
      <c r="K39" s="2" t="str">
        <f>HYPERLINK("https://www.linkedin.com/company/barrons/")</f>
        <v>https://www.linkedin.com/company/barrons/</v>
      </c>
      <c r="L39" s="2"/>
      <c r="M39" s="2"/>
      <c r="N39" s="2" t="s">
        <v>239</v>
      </c>
      <c r="O39" s="2" t="s">
        <v>26</v>
      </c>
      <c r="P39" s="2">
        <v>6109511</v>
      </c>
      <c r="Q39" s="2">
        <v>88</v>
      </c>
      <c r="R39" s="2" t="s">
        <v>36</v>
      </c>
      <c r="S39" s="2"/>
      <c r="T39" s="2" t="s">
        <v>38</v>
      </c>
    </row>
    <row r="40" spans="1:20" ht="89.25" x14ac:dyDescent="0.25">
      <c r="A40" t="s">
        <v>913</v>
      </c>
      <c r="B40" s="2" t="s">
        <v>240</v>
      </c>
      <c r="C40" s="2" t="s">
        <v>241</v>
      </c>
      <c r="D40" s="2"/>
      <c r="E40" s="2" t="s">
        <v>242</v>
      </c>
      <c r="F40" s="2" t="str">
        <f>HYPERLINK("http://sfgate.com")</f>
        <v>http://sfgate.com</v>
      </c>
      <c r="G40" s="2" t="s">
        <v>243</v>
      </c>
      <c r="H40" s="2" t="str">
        <f>HYPERLINK("https://www.facebook.com/SFGate")</f>
        <v>https://www.facebook.com/SFGate</v>
      </c>
      <c r="I40" s="2" t="s">
        <v>240</v>
      </c>
      <c r="J40" s="2"/>
      <c r="K40" s="2" t="str">
        <f>HYPERLINK("https://www.linkedin.com/company/sfgate.com")</f>
        <v>https://www.linkedin.com/company/sfgate.com</v>
      </c>
      <c r="L40" s="2"/>
      <c r="M40" s="2"/>
      <c r="N40" s="2"/>
      <c r="O40" s="2" t="s">
        <v>114</v>
      </c>
      <c r="P40" s="2">
        <v>11440679</v>
      </c>
      <c r="Q40" s="2">
        <v>93</v>
      </c>
      <c r="R40" s="2"/>
      <c r="S40" s="2"/>
      <c r="T40" s="2" t="s">
        <v>38</v>
      </c>
    </row>
    <row r="41" spans="1:20" ht="89.25" x14ac:dyDescent="0.25">
      <c r="A41" t="s">
        <v>913</v>
      </c>
      <c r="B41" s="2" t="s">
        <v>244</v>
      </c>
      <c r="C41" s="2" t="s">
        <v>245</v>
      </c>
      <c r="D41" s="2" t="s">
        <v>246</v>
      </c>
      <c r="E41" s="2" t="s">
        <v>247</v>
      </c>
      <c r="F41" s="2" t="str">
        <f>HYPERLINK("http://miamiherald.com/")</f>
        <v>http://miamiherald.com/</v>
      </c>
      <c r="G41" s="2" t="s">
        <v>248</v>
      </c>
      <c r="H41" s="2" t="str">
        <f>HYPERLINK("https://www.facebook.com/miamiherald/")</f>
        <v>https://www.facebook.com/miamiherald/</v>
      </c>
      <c r="I41" s="2" t="s">
        <v>249</v>
      </c>
      <c r="J41" s="2"/>
      <c r="K41" s="2" t="str">
        <f>HYPERLINK("https://www.linkedin.com/company/the-miami-herald")</f>
        <v>https://www.linkedin.com/company/the-miami-herald</v>
      </c>
      <c r="L41" s="2" t="str">
        <f>HYPERLINK("https://www.pinterest.com/miamiherald")</f>
        <v>https://www.pinterest.com/miamiherald</v>
      </c>
      <c r="M41" s="2"/>
      <c r="N41" s="2" t="s">
        <v>250</v>
      </c>
      <c r="O41" s="2" t="s">
        <v>26</v>
      </c>
      <c r="P41" s="2">
        <v>5272893</v>
      </c>
      <c r="Q41" s="2">
        <v>90</v>
      </c>
      <c r="R41" s="2" t="s">
        <v>27</v>
      </c>
      <c r="S41" s="2" t="s">
        <v>28</v>
      </c>
      <c r="T41" s="2" t="s">
        <v>38</v>
      </c>
    </row>
    <row r="42" spans="1:20" ht="89.25" x14ac:dyDescent="0.25">
      <c r="A42" t="s">
        <v>913</v>
      </c>
      <c r="B42" s="2" t="s">
        <v>251</v>
      </c>
      <c r="C42" s="2" t="s">
        <v>252</v>
      </c>
      <c r="D42" s="2" t="s">
        <v>253</v>
      </c>
      <c r="E42" s="2" t="s">
        <v>254</v>
      </c>
      <c r="F42" s="2" t="str">
        <f>HYPERLINK("http://bostonglobe.com/")</f>
        <v>http://bostonglobe.com/</v>
      </c>
      <c r="G42" s="2" t="s">
        <v>255</v>
      </c>
      <c r="H42" s="2" t="str">
        <f>HYPERLINK("https://www.facebook.com/globe")</f>
        <v>https://www.facebook.com/globe</v>
      </c>
      <c r="I42" s="2" t="s">
        <v>256</v>
      </c>
      <c r="J42" s="2"/>
      <c r="K42" s="2" t="str">
        <f>HYPERLINK("https://www.linkedin.com/company/the-boston-globe")</f>
        <v>https://www.linkedin.com/company/the-boston-globe</v>
      </c>
      <c r="L42" s="2" t="str">
        <f>HYPERLINK("https://www.pinterest.com/bostonglobe/")</f>
        <v>https://www.pinterest.com/bostonglobe/</v>
      </c>
      <c r="M42" s="2"/>
      <c r="N42" s="2" t="s">
        <v>257</v>
      </c>
      <c r="O42" s="2" t="s">
        <v>26</v>
      </c>
      <c r="P42" s="2">
        <v>4018905</v>
      </c>
      <c r="Q42" s="2">
        <v>90</v>
      </c>
      <c r="R42" s="2" t="s">
        <v>27</v>
      </c>
      <c r="S42" s="2" t="s">
        <v>28</v>
      </c>
      <c r="T42" s="2" t="s">
        <v>38</v>
      </c>
    </row>
    <row r="43" spans="1:20" ht="114.75" x14ac:dyDescent="0.25">
      <c r="A43" t="s">
        <v>913</v>
      </c>
      <c r="B43" s="2" t="s">
        <v>258</v>
      </c>
      <c r="C43" s="2" t="s">
        <v>259</v>
      </c>
      <c r="D43" s="2" t="s">
        <v>260</v>
      </c>
      <c r="E43" s="2" t="s">
        <v>261</v>
      </c>
      <c r="F43" s="2" t="str">
        <f>HYPERLINK("https://www.inquirer.com/")</f>
        <v>https://www.inquirer.com/</v>
      </c>
      <c r="G43" s="2" t="s">
        <v>262</v>
      </c>
      <c r="H43" s="2" t="str">
        <f>HYPERLINK("https://www.facebook.com/phillydotcom")</f>
        <v>https://www.facebook.com/phillydotcom</v>
      </c>
      <c r="I43" s="2" t="s">
        <v>263</v>
      </c>
      <c r="J43" s="2"/>
      <c r="K43" s="2" t="str">
        <f>HYPERLINK("https://www.linkedin.com/company/philadelphia-inquirer")</f>
        <v>https://www.linkedin.com/company/philadelphia-inquirer</v>
      </c>
      <c r="L43" s="2" t="str">
        <f>HYPERLINK("https://www.pinterest.com/phillyinquirer")</f>
        <v>https://www.pinterest.com/phillyinquirer</v>
      </c>
      <c r="M43" s="2"/>
      <c r="N43" s="2" t="s">
        <v>264</v>
      </c>
      <c r="O43" s="2" t="s">
        <v>26</v>
      </c>
      <c r="P43" s="2">
        <v>5439098</v>
      </c>
      <c r="Q43" s="2">
        <v>89</v>
      </c>
      <c r="R43" s="2" t="s">
        <v>27</v>
      </c>
      <c r="S43" s="2"/>
      <c r="T43" s="2" t="s">
        <v>38</v>
      </c>
    </row>
    <row r="44" spans="1:20" ht="89.25" x14ac:dyDescent="0.25">
      <c r="A44" t="s">
        <v>913</v>
      </c>
      <c r="B44" s="2" t="s">
        <v>265</v>
      </c>
      <c r="C44" s="2" t="s">
        <v>266</v>
      </c>
      <c r="D44" s="2" t="s">
        <v>267</v>
      </c>
      <c r="E44" s="2" t="s">
        <v>268</v>
      </c>
      <c r="F44" s="2" t="str">
        <f>HYPERLINK("http://freep.com/")</f>
        <v>http://freep.com/</v>
      </c>
      <c r="G44" s="2" t="s">
        <v>269</v>
      </c>
      <c r="H44" s="2" t="str">
        <f>HYPERLINK("https://www.facebook.com/detroitfreepress")</f>
        <v>https://www.facebook.com/detroitfreepress</v>
      </c>
      <c r="I44" s="2" t="s">
        <v>270</v>
      </c>
      <c r="J44" s="2"/>
      <c r="K44" s="2" t="str">
        <f>HYPERLINK("https://www.linkedin.com/company/detroit-free-press")</f>
        <v>https://www.linkedin.com/company/detroit-free-press</v>
      </c>
      <c r="L44" s="2" t="str">
        <f>HYPERLINK("https://www.pinterest.com/freepress/")</f>
        <v>https://www.pinterest.com/freepress/</v>
      </c>
      <c r="M44" s="2"/>
      <c r="N44" s="2" t="s">
        <v>271</v>
      </c>
      <c r="O44" s="2" t="s">
        <v>26</v>
      </c>
      <c r="P44" s="2">
        <v>5901621</v>
      </c>
      <c r="Q44" s="2">
        <v>90</v>
      </c>
      <c r="R44" s="2" t="s">
        <v>27</v>
      </c>
      <c r="S44" s="2" t="s">
        <v>28</v>
      </c>
      <c r="T44" s="2" t="s">
        <v>38</v>
      </c>
    </row>
    <row r="45" spans="1:20" ht="89.25" x14ac:dyDescent="0.25">
      <c r="A45" t="s">
        <v>913</v>
      </c>
      <c r="B45" s="2" t="s">
        <v>272</v>
      </c>
      <c r="C45" s="2" t="s">
        <v>273</v>
      </c>
      <c r="D45" s="2" t="s">
        <v>274</v>
      </c>
      <c r="E45" s="2" t="s">
        <v>275</v>
      </c>
      <c r="F45" s="2" t="str">
        <f>HYPERLINK("http://baltimoresun.com/")</f>
        <v>http://baltimoresun.com/</v>
      </c>
      <c r="G45" s="2" t="s">
        <v>276</v>
      </c>
      <c r="H45" s="2" t="str">
        <f>HYPERLINK("https://www.facebook.com/baltimoresun")</f>
        <v>https://www.facebook.com/baltimoresun</v>
      </c>
      <c r="I45" s="2" t="s">
        <v>277</v>
      </c>
      <c r="J45" s="2"/>
      <c r="K45" s="2" t="str">
        <f>HYPERLINK("https://www.linkedin.com/company/the-baltimore-sun")</f>
        <v>https://www.linkedin.com/company/the-baltimore-sun</v>
      </c>
      <c r="L45" s="2" t="str">
        <f>HYPERLINK("https://www.pinterest.com/baltimoresun")</f>
        <v>https://www.pinterest.com/baltimoresun</v>
      </c>
      <c r="M45" s="2" t="str">
        <f>HYPERLINK("https://www.flickr.com/groups/baltimoresun")</f>
        <v>https://www.flickr.com/groups/baltimoresun</v>
      </c>
      <c r="N45" s="2" t="s">
        <v>278</v>
      </c>
      <c r="O45" s="2" t="s">
        <v>26</v>
      </c>
      <c r="P45" s="2">
        <v>2029462</v>
      </c>
      <c r="Q45" s="2">
        <v>90</v>
      </c>
      <c r="R45" s="2" t="s">
        <v>27</v>
      </c>
      <c r="S45" s="2" t="s">
        <v>28</v>
      </c>
      <c r="T45" s="2" t="s">
        <v>38</v>
      </c>
    </row>
    <row r="46" spans="1:20" ht="89.25" x14ac:dyDescent="0.25">
      <c r="A46" t="s">
        <v>913</v>
      </c>
      <c r="B46" s="2" t="s">
        <v>279</v>
      </c>
      <c r="C46" s="2" t="s">
        <v>280</v>
      </c>
      <c r="D46" s="2" t="s">
        <v>281</v>
      </c>
      <c r="E46" s="2" t="s">
        <v>282</v>
      </c>
      <c r="F46" s="2" t="str">
        <f>HYPERLINK("http://denverpost.com/")</f>
        <v>http://denverpost.com/</v>
      </c>
      <c r="G46" s="2" t="s">
        <v>283</v>
      </c>
      <c r="H46" s="2" t="str">
        <f>HYPERLINK("https://www.facebook.com/denverpost")</f>
        <v>https://www.facebook.com/denverpost</v>
      </c>
      <c r="I46" s="2" t="s">
        <v>284</v>
      </c>
      <c r="J46" s="2"/>
      <c r="K46" s="2" t="str">
        <f>HYPERLINK("https://www.linkedin.com/company/the-denver-post")</f>
        <v>https://www.linkedin.com/company/the-denver-post</v>
      </c>
      <c r="L46" s="2" t="str">
        <f>HYPERLINK("https://www.pinterest.com/denverpost")</f>
        <v>https://www.pinterest.com/denverpost</v>
      </c>
      <c r="M46" s="2"/>
      <c r="N46" s="2" t="s">
        <v>285</v>
      </c>
      <c r="O46" s="2" t="s">
        <v>26</v>
      </c>
      <c r="P46" s="2">
        <v>2876066</v>
      </c>
      <c r="Q46" s="2">
        <v>88</v>
      </c>
      <c r="R46" s="2" t="s">
        <v>27</v>
      </c>
      <c r="S46" s="2"/>
      <c r="T46" s="2" t="s">
        <v>38</v>
      </c>
    </row>
    <row r="47" spans="1:20" ht="89.25" x14ac:dyDescent="0.25">
      <c r="A47" t="s">
        <v>912</v>
      </c>
      <c r="B47" s="2" t="s">
        <v>286</v>
      </c>
      <c r="C47" s="2" t="s">
        <v>20</v>
      </c>
      <c r="D47" s="2" t="s">
        <v>287</v>
      </c>
      <c r="E47" s="2" t="s">
        <v>288</v>
      </c>
      <c r="F47" s="2" t="str">
        <f>HYPERLINK("https://www.businessinsider.com/")</f>
        <v>https://www.businessinsider.com/</v>
      </c>
      <c r="G47" s="2" t="s">
        <v>289</v>
      </c>
      <c r="H47" s="2" t="str">
        <f>HYPERLINK("https://www.facebook.com/businessinsider")</f>
        <v>https://www.facebook.com/businessinsider</v>
      </c>
      <c r="I47" s="2" t="s">
        <v>290</v>
      </c>
      <c r="J47" s="2"/>
      <c r="K47" s="2" t="str">
        <f>HYPERLINK("https://www.linkedin.com/company/insiderbusiness/")</f>
        <v>https://www.linkedin.com/company/insiderbusiness/</v>
      </c>
      <c r="L47" s="2" t="str">
        <f>HYPERLINK("https://www.pinterest.com/businessinsider")</f>
        <v>https://www.pinterest.com/businessinsider</v>
      </c>
      <c r="M47" s="2"/>
      <c r="N47" s="2"/>
      <c r="O47" s="2" t="s">
        <v>26</v>
      </c>
      <c r="P47" s="2">
        <v>40406197</v>
      </c>
      <c r="Q47" s="2">
        <v>94</v>
      </c>
      <c r="R47" s="2"/>
      <c r="S47" s="2"/>
      <c r="T47" s="2" t="s">
        <v>38</v>
      </c>
    </row>
    <row r="48" spans="1:20" ht="89.25" x14ac:dyDescent="0.25">
      <c r="A48" t="s">
        <v>913</v>
      </c>
      <c r="B48" s="2" t="s">
        <v>291</v>
      </c>
      <c r="C48" s="2" t="s">
        <v>292</v>
      </c>
      <c r="D48" s="2" t="s">
        <v>293</v>
      </c>
      <c r="E48" s="2" t="s">
        <v>294</v>
      </c>
      <c r="F48" s="2" t="str">
        <f>HYPERLINK("https://www.ajc.com/")</f>
        <v>https://www.ajc.com/</v>
      </c>
      <c r="G48" s="2" t="s">
        <v>295</v>
      </c>
      <c r="H48" s="2" t="str">
        <f>HYPERLINK("https://www.facebook.com/ajc")</f>
        <v>https://www.facebook.com/ajc</v>
      </c>
      <c r="I48" s="2" t="s">
        <v>296</v>
      </c>
      <c r="J48" s="2"/>
      <c r="K48" s="2" t="str">
        <f>HYPERLINK("https://www.linkedin.com/company/162575?trk=prof-exp-company-name")</f>
        <v>https://www.linkedin.com/company/162575?trk=prof-exp-company-name</v>
      </c>
      <c r="L48" s="2" t="str">
        <f>HYPERLINK("https://www.pinterest.com/AJCNews/")</f>
        <v>https://www.pinterest.com/AJCNews/</v>
      </c>
      <c r="M48" s="2"/>
      <c r="N48" s="2" t="s">
        <v>297</v>
      </c>
      <c r="O48" s="2" t="s">
        <v>26</v>
      </c>
      <c r="P48" s="2">
        <v>3347644</v>
      </c>
      <c r="Q48" s="2">
        <v>88</v>
      </c>
      <c r="R48" s="2" t="s">
        <v>27</v>
      </c>
      <c r="S48" s="2" t="s">
        <v>28</v>
      </c>
      <c r="T48" s="2" t="s">
        <v>38</v>
      </c>
    </row>
    <row r="49" spans="1:20" ht="89.25" x14ac:dyDescent="0.25">
      <c r="A49" t="s">
        <v>913</v>
      </c>
      <c r="B49" s="2" t="s">
        <v>298</v>
      </c>
      <c r="C49" s="2" t="s">
        <v>299</v>
      </c>
      <c r="D49" s="2" t="s">
        <v>300</v>
      </c>
      <c r="E49" s="2" t="s">
        <v>301</v>
      </c>
      <c r="F49" s="2" t="str">
        <f>HYPERLINK("http://sacbee.com")</f>
        <v>http://sacbee.com</v>
      </c>
      <c r="G49" s="2" t="s">
        <v>302</v>
      </c>
      <c r="H49" s="2" t="str">
        <f>HYPERLINK("https://www.facebook.com/sacramentobee")</f>
        <v>https://www.facebook.com/sacramentobee</v>
      </c>
      <c r="I49" s="2" t="s">
        <v>303</v>
      </c>
      <c r="J49" s="2"/>
      <c r="K49" s="2" t="str">
        <f>HYPERLINK("https://www.linkedin.com/company/the-sacramento-bee")</f>
        <v>https://www.linkedin.com/company/the-sacramento-bee</v>
      </c>
      <c r="L49" s="2" t="str">
        <f>HYPERLINK("https://www.pinterest.com/sacramentobee")</f>
        <v>https://www.pinterest.com/sacramentobee</v>
      </c>
      <c r="M49" s="2" t="str">
        <f>HYPERLINK("https://www.flickr.com/photos/34371283@N07")</f>
        <v>https://www.flickr.com/photos/34371283@N07</v>
      </c>
      <c r="N49" s="2" t="s">
        <v>304</v>
      </c>
      <c r="O49" s="2" t="s">
        <v>26</v>
      </c>
      <c r="P49" s="2">
        <v>2856986</v>
      </c>
      <c r="Q49" s="2">
        <v>85</v>
      </c>
      <c r="R49" s="2" t="s">
        <v>27</v>
      </c>
      <c r="S49" s="2" t="s">
        <v>28</v>
      </c>
      <c r="T49" s="2" t="s">
        <v>38</v>
      </c>
    </row>
    <row r="50" spans="1:20" ht="76.5" x14ac:dyDescent="0.25">
      <c r="A50" t="s">
        <v>910</v>
      </c>
      <c r="B50" s="2" t="s">
        <v>305</v>
      </c>
      <c r="C50" s="2" t="s">
        <v>20</v>
      </c>
      <c r="D50" s="2" t="s">
        <v>306</v>
      </c>
      <c r="E50" s="2" t="s">
        <v>307</v>
      </c>
      <c r="F50" s="2" t="str">
        <f>HYPERLINK("http://politico.com/")</f>
        <v>http://politico.com/</v>
      </c>
      <c r="G50" s="2" t="s">
        <v>308</v>
      </c>
      <c r="H50" s="2" t="str">
        <f>HYPERLINK("https://www.facebook.com/politico")</f>
        <v>https://www.facebook.com/politico</v>
      </c>
      <c r="I50" s="2" t="s">
        <v>309</v>
      </c>
      <c r="J50" s="2"/>
      <c r="K50" s="2" t="str">
        <f>HYPERLINK("https://www.linkedin.com/company/politico")</f>
        <v>https://www.linkedin.com/company/politico</v>
      </c>
      <c r="L50" s="2" t="str">
        <f>HYPERLINK("https://www.pinterest.com/pin/530439662337336140/")</f>
        <v>https://www.pinterest.com/pin/530439662337336140/</v>
      </c>
      <c r="M50" s="2"/>
      <c r="N50" s="2"/>
      <c r="O50" s="2" t="s">
        <v>26</v>
      </c>
      <c r="P50" s="2">
        <v>20394369</v>
      </c>
      <c r="Q50" s="2">
        <v>92</v>
      </c>
      <c r="R50" s="2"/>
      <c r="S50" s="2"/>
      <c r="T50" s="2" t="s">
        <v>38</v>
      </c>
    </row>
    <row r="51" spans="1:20" ht="89.25" x14ac:dyDescent="0.25">
      <c r="A51" t="s">
        <v>913</v>
      </c>
      <c r="B51" s="2" t="s">
        <v>310</v>
      </c>
      <c r="C51" s="2" t="s">
        <v>311</v>
      </c>
      <c r="D51" s="2" t="s">
        <v>312</v>
      </c>
      <c r="E51" s="2" t="s">
        <v>313</v>
      </c>
      <c r="F51" s="2" t="str">
        <f>HYPERLINK("http://azcentral.com/")</f>
        <v>http://azcentral.com/</v>
      </c>
      <c r="G51" s="2" t="s">
        <v>314</v>
      </c>
      <c r="H51" s="2" t="str">
        <f>HYPERLINK("https://www.facebook.com/azcentral")</f>
        <v>https://www.facebook.com/azcentral</v>
      </c>
      <c r="I51" s="2" t="s">
        <v>315</v>
      </c>
      <c r="J51" s="2"/>
      <c r="K51" s="2" t="str">
        <f>HYPERLINK("https://www.linkedin.com/company/7559")</f>
        <v>https://www.linkedin.com/company/7559</v>
      </c>
      <c r="L51" s="2"/>
      <c r="M51" s="2" t="str">
        <f>HYPERLINK("https://www.flickr.com/photos/arizonarepublic")</f>
        <v>https://www.flickr.com/photos/arizonarepublic</v>
      </c>
      <c r="N51" s="2" t="s">
        <v>316</v>
      </c>
      <c r="O51" s="2" t="s">
        <v>114</v>
      </c>
      <c r="P51" s="2">
        <v>4664042</v>
      </c>
      <c r="Q51" s="2">
        <v>90</v>
      </c>
      <c r="R51" s="2" t="s">
        <v>27</v>
      </c>
      <c r="S51" s="2" t="s">
        <v>28</v>
      </c>
      <c r="T51" s="2" t="s">
        <v>38</v>
      </c>
    </row>
    <row r="52" spans="1:20" ht="89.25" x14ac:dyDescent="0.25">
      <c r="A52" t="s">
        <v>913</v>
      </c>
      <c r="B52" s="2" t="s">
        <v>317</v>
      </c>
      <c r="C52" s="2" t="s">
        <v>318</v>
      </c>
      <c r="D52" s="2" t="s">
        <v>319</v>
      </c>
      <c r="E52" s="2" t="s">
        <v>320</v>
      </c>
      <c r="F52" s="2" t="str">
        <f>HYPERLINK("http://seattletimes.com/")</f>
        <v>http://seattletimes.com/</v>
      </c>
      <c r="G52" s="2" t="s">
        <v>321</v>
      </c>
      <c r="H52" s="2" t="str">
        <f>HYPERLINK("https://www.facebook.com/seattletimes")</f>
        <v>https://www.facebook.com/seattletimes</v>
      </c>
      <c r="I52" s="2" t="s">
        <v>322</v>
      </c>
      <c r="J52" s="2"/>
      <c r="K52" s="2" t="str">
        <f>HYPERLINK("https://www.linkedin.com/company/the-seattle-times")</f>
        <v>https://www.linkedin.com/company/the-seattle-times</v>
      </c>
      <c r="L52" s="2" t="str">
        <f>HYPERLINK("https://www.pinterest.com/seattletimes")</f>
        <v>https://www.pinterest.com/seattletimes</v>
      </c>
      <c r="M52" s="2" t="str">
        <f>HYPERLINK("https://www.flickr.com/photos/seattletimes")</f>
        <v>https://www.flickr.com/photos/seattletimes</v>
      </c>
      <c r="N52" s="2" t="s">
        <v>323</v>
      </c>
      <c r="O52" s="2" t="s">
        <v>26</v>
      </c>
      <c r="P52" s="2">
        <v>5786219</v>
      </c>
      <c r="Q52" s="2">
        <v>91</v>
      </c>
      <c r="R52" s="2" t="s">
        <v>27</v>
      </c>
      <c r="S52" s="2" t="s">
        <v>28</v>
      </c>
      <c r="T52" s="2" t="s">
        <v>38</v>
      </c>
    </row>
    <row r="53" spans="1:20" ht="89.25" x14ac:dyDescent="0.25">
      <c r="A53" t="s">
        <v>913</v>
      </c>
      <c r="B53" s="2" t="s">
        <v>324</v>
      </c>
      <c r="C53" s="2" t="s">
        <v>325</v>
      </c>
      <c r="D53" s="2" t="s">
        <v>326</v>
      </c>
      <c r="E53" s="2" t="s">
        <v>327</v>
      </c>
      <c r="F53" s="2" t="str">
        <f>HYPERLINK("http://www.startribune.com/")</f>
        <v>http://www.startribune.com/</v>
      </c>
      <c r="G53" s="2" t="s">
        <v>328</v>
      </c>
      <c r="H53" s="2" t="str">
        <f>HYPERLINK("https://www.facebook.com/startribune")</f>
        <v>https://www.facebook.com/startribune</v>
      </c>
      <c r="I53" s="2" t="s">
        <v>329</v>
      </c>
      <c r="J53" s="2"/>
      <c r="K53" s="2" t="str">
        <f>HYPERLINK("https://www.linkedin.com/company/star-tribune")</f>
        <v>https://www.linkedin.com/company/star-tribune</v>
      </c>
      <c r="L53" s="2" t="str">
        <f>HYPERLINK("https://www.pinterest.com/startribune")</f>
        <v>https://www.pinterest.com/startribune</v>
      </c>
      <c r="M53" s="2"/>
      <c r="N53" s="2" t="s">
        <v>330</v>
      </c>
      <c r="O53" s="2" t="s">
        <v>26</v>
      </c>
      <c r="P53" s="2">
        <v>3650694</v>
      </c>
      <c r="Q53" s="2">
        <v>91</v>
      </c>
      <c r="R53" s="2" t="s">
        <v>27</v>
      </c>
      <c r="S53" s="2" t="s">
        <v>28</v>
      </c>
      <c r="T53" s="2" t="s">
        <v>38</v>
      </c>
    </row>
    <row r="54" spans="1:20" ht="102" x14ac:dyDescent="0.25">
      <c r="A54" t="s">
        <v>913</v>
      </c>
      <c r="B54" s="2" t="s">
        <v>331</v>
      </c>
      <c r="C54" s="2" t="s">
        <v>20</v>
      </c>
      <c r="D54" s="2" t="s">
        <v>332</v>
      </c>
      <c r="E54" s="2" t="s">
        <v>333</v>
      </c>
      <c r="F54" s="2" t="str">
        <f>HYPERLINK("http://gizmodo.com/")</f>
        <v>http://gizmodo.com/</v>
      </c>
      <c r="G54" s="2" t="s">
        <v>334</v>
      </c>
      <c r="H54" s="2" t="str">
        <f>HYPERLINK("https://www.facebook.com/gizmodo?ref=ts")</f>
        <v>https://www.facebook.com/gizmodo?ref=ts</v>
      </c>
      <c r="I54" s="2" t="s">
        <v>331</v>
      </c>
      <c r="J54" s="2"/>
      <c r="K54" s="2" t="str">
        <f>HYPERLINK("https://www.linkedin.com/company/gizmodo-com")</f>
        <v>https://www.linkedin.com/company/gizmodo-com</v>
      </c>
      <c r="L54" s="2" t="str">
        <f>HYPERLINK("https://www.pinterest.com/gizmodo")</f>
        <v>https://www.pinterest.com/gizmodo</v>
      </c>
      <c r="M54" s="2"/>
      <c r="N54" s="2"/>
      <c r="O54" s="2" t="s">
        <v>26</v>
      </c>
      <c r="P54" s="2">
        <v>8744994</v>
      </c>
      <c r="Q54" s="2">
        <v>93</v>
      </c>
      <c r="R54" s="2"/>
      <c r="S54" s="2"/>
      <c r="T54" s="2" t="s">
        <v>38</v>
      </c>
    </row>
    <row r="55" spans="1:20" ht="89.25" x14ac:dyDescent="0.25">
      <c r="A55" t="s">
        <v>913</v>
      </c>
      <c r="B55" s="2" t="s">
        <v>335</v>
      </c>
      <c r="C55" s="2" t="s">
        <v>336</v>
      </c>
      <c r="D55" s="2" t="s">
        <v>337</v>
      </c>
      <c r="E55" s="2" t="s">
        <v>338</v>
      </c>
      <c r="F55" s="2" t="str">
        <f>HYPERLINK("https://dallasnews.com/")</f>
        <v>https://dallasnews.com/</v>
      </c>
      <c r="G55" s="2" t="s">
        <v>339</v>
      </c>
      <c r="H55" s="2" t="str">
        <f>HYPERLINK("https://www.facebook.com/dallasmorningnews")</f>
        <v>https://www.facebook.com/dallasmorningnews</v>
      </c>
      <c r="I55" s="2" t="s">
        <v>340</v>
      </c>
      <c r="J55" s="2"/>
      <c r="K55" s="2" t="str">
        <f>HYPERLINK("https://www.linkedin.com/company/the-dallas-morning-news")</f>
        <v>https://www.linkedin.com/company/the-dallas-morning-news</v>
      </c>
      <c r="L55" s="2" t="str">
        <f>HYPERLINK("https://www.pinterest.com/dallasnews")</f>
        <v>https://www.pinterest.com/dallasnews</v>
      </c>
      <c r="M55" s="2"/>
      <c r="N55" s="2" t="s">
        <v>341</v>
      </c>
      <c r="O55" s="2" t="s">
        <v>114</v>
      </c>
      <c r="P55" s="2">
        <v>5689832</v>
      </c>
      <c r="Q55" s="2">
        <v>89</v>
      </c>
      <c r="R55" s="2" t="s">
        <v>27</v>
      </c>
      <c r="S55" s="2" t="s">
        <v>28</v>
      </c>
      <c r="T55" s="2" t="s">
        <v>38</v>
      </c>
    </row>
    <row r="56" spans="1:20" ht="89.25" x14ac:dyDescent="0.25">
      <c r="A56" t="s">
        <v>913</v>
      </c>
      <c r="B56" s="2" t="s">
        <v>342</v>
      </c>
      <c r="C56" s="2" t="s">
        <v>76</v>
      </c>
      <c r="D56" s="2" t="s">
        <v>343</v>
      </c>
      <c r="E56" s="2" t="s">
        <v>344</v>
      </c>
      <c r="F56" s="2" t="str">
        <f>HYPERLINK("http://ocregister.com")</f>
        <v>http://ocregister.com</v>
      </c>
      <c r="G56" s="2" t="s">
        <v>345</v>
      </c>
      <c r="H56" s="2" t="str">
        <f>HYPERLINK("https://www.facebook.com/ocregister")</f>
        <v>https://www.facebook.com/ocregister</v>
      </c>
      <c r="I56" s="2" t="s">
        <v>346</v>
      </c>
      <c r="J56" s="2"/>
      <c r="K56" s="2" t="str">
        <f>HYPERLINK("http://www.linkedin.com/company/the-orange-county-register/")</f>
        <v>http://www.linkedin.com/company/the-orange-county-register/</v>
      </c>
      <c r="L56" s="2" t="str">
        <f>HYPERLINK("https://www.pinterest.com/ocregister/")</f>
        <v>https://www.pinterest.com/ocregister/</v>
      </c>
      <c r="M56" s="2"/>
      <c r="N56" s="2" t="s">
        <v>347</v>
      </c>
      <c r="O56" s="2" t="s">
        <v>26</v>
      </c>
      <c r="P56" s="2">
        <v>1907232</v>
      </c>
      <c r="Q56" s="2">
        <v>89</v>
      </c>
      <c r="R56" s="2" t="s">
        <v>27</v>
      </c>
      <c r="S56" s="2" t="s">
        <v>28</v>
      </c>
      <c r="T56" s="2" t="s">
        <v>38</v>
      </c>
    </row>
    <row r="57" spans="1:20" ht="89.25" x14ac:dyDescent="0.25">
      <c r="A57" t="s">
        <v>912</v>
      </c>
      <c r="B57" s="2" t="s">
        <v>348</v>
      </c>
      <c r="C57" s="2" t="s">
        <v>20</v>
      </c>
      <c r="D57" s="2" t="s">
        <v>349</v>
      </c>
      <c r="E57" s="2" t="s">
        <v>350</v>
      </c>
      <c r="F57" s="2" t="str">
        <f>HYPERLINK("http://variety.com/")</f>
        <v>http://variety.com/</v>
      </c>
      <c r="G57" s="2" t="s">
        <v>351</v>
      </c>
      <c r="H57" s="2" t="str">
        <f>HYPERLINK("https://www.facebook.com/Variety")</f>
        <v>https://www.facebook.com/Variety</v>
      </c>
      <c r="I57" s="2" t="s">
        <v>352</v>
      </c>
      <c r="J57" s="2"/>
      <c r="K57" s="2" t="str">
        <f>HYPERLINK("https://www.linkedin.com/company/variety")</f>
        <v>https://www.linkedin.com/company/variety</v>
      </c>
      <c r="L57" s="2" t="str">
        <f>HYPERLINK("https://www.pinterest.com/variety")</f>
        <v>https://www.pinterest.com/variety</v>
      </c>
      <c r="M57" s="2"/>
      <c r="N57" s="2" t="s">
        <v>353</v>
      </c>
      <c r="O57" s="2" t="s">
        <v>26</v>
      </c>
      <c r="P57" s="2">
        <v>22437191</v>
      </c>
      <c r="Q57" s="2">
        <v>93</v>
      </c>
      <c r="R57" s="2" t="s">
        <v>36</v>
      </c>
      <c r="S57" s="2"/>
      <c r="T57" s="2" t="s">
        <v>38</v>
      </c>
    </row>
    <row r="58" spans="1:20" ht="76.5" x14ac:dyDescent="0.25">
      <c r="A58" t="s">
        <v>912</v>
      </c>
      <c r="B58" s="2" t="s">
        <v>354</v>
      </c>
      <c r="C58" s="2" t="s">
        <v>20</v>
      </c>
      <c r="D58" s="2" t="s">
        <v>355</v>
      </c>
      <c r="E58" s="2" t="s">
        <v>356</v>
      </c>
      <c r="F58" s="2" t="str">
        <f>HYPERLINK("http://thedailybeast.com/")</f>
        <v>http://thedailybeast.com/</v>
      </c>
      <c r="G58" s="2" t="s">
        <v>357</v>
      </c>
      <c r="H58" s="2" t="str">
        <f>HYPERLINK("https://www.facebook.com/thedailybeast")</f>
        <v>https://www.facebook.com/thedailybeast</v>
      </c>
      <c r="I58" s="2" t="s">
        <v>358</v>
      </c>
      <c r="J58" s="2"/>
      <c r="K58" s="2" t="str">
        <f>HYPERLINK("https://www.linkedin.com/company/newsweek-and-the-daily-beast")</f>
        <v>https://www.linkedin.com/company/newsweek-and-the-daily-beast</v>
      </c>
      <c r="L58" s="2" t="str">
        <f>HYPERLINK("https://www.pinterest.com/thedailybeast")</f>
        <v>https://www.pinterest.com/thedailybeast</v>
      </c>
      <c r="M58" s="2"/>
      <c r="N58" s="2"/>
      <c r="O58" s="2" t="s">
        <v>26</v>
      </c>
      <c r="P58" s="2">
        <v>13536501</v>
      </c>
      <c r="Q58" s="2">
        <v>92</v>
      </c>
      <c r="R58" s="2"/>
      <c r="S58" s="2"/>
      <c r="T58" s="2" t="s">
        <v>38</v>
      </c>
    </row>
    <row r="59" spans="1:20" ht="114.75" x14ac:dyDescent="0.25">
      <c r="A59" t="s">
        <v>912</v>
      </c>
      <c r="B59" s="2" t="s">
        <v>359</v>
      </c>
      <c r="C59" s="2" t="s">
        <v>20</v>
      </c>
      <c r="D59" s="2" t="s">
        <v>360</v>
      </c>
      <c r="E59" s="2" t="s">
        <v>361</v>
      </c>
      <c r="F59" s="2" t="str">
        <f>HYPERLINK("http://foxbusiness.com")</f>
        <v>http://foxbusiness.com</v>
      </c>
      <c r="G59" s="2" t="s">
        <v>362</v>
      </c>
      <c r="H59" s="2" t="str">
        <f>HYPERLINK("https://www.facebook.com/FoxBusiness")</f>
        <v>https://www.facebook.com/FoxBusiness</v>
      </c>
      <c r="I59" s="2" t="s">
        <v>363</v>
      </c>
      <c r="J59" s="2"/>
      <c r="K59" s="2" t="str">
        <f>HYPERLINK("https://www.linkedin.com/company/fox-business-network")</f>
        <v>https://www.linkedin.com/company/fox-business-network</v>
      </c>
      <c r="L59" s="2"/>
      <c r="M59" s="2"/>
      <c r="N59" s="2"/>
      <c r="O59" s="2" t="s">
        <v>26</v>
      </c>
      <c r="P59" s="2">
        <v>15498635</v>
      </c>
      <c r="Q59" s="2">
        <v>89</v>
      </c>
      <c r="R59" s="2"/>
      <c r="S59" s="2"/>
      <c r="T59" s="2" t="s">
        <v>38</v>
      </c>
    </row>
    <row r="60" spans="1:20" ht="89.25" x14ac:dyDescent="0.25">
      <c r="A60" t="s">
        <v>912</v>
      </c>
      <c r="B60" s="2" t="s">
        <v>364</v>
      </c>
      <c r="C60" s="2" t="s">
        <v>20</v>
      </c>
      <c r="D60" s="2" t="s">
        <v>365</v>
      </c>
      <c r="E60" s="2"/>
      <c r="F60" s="2" t="str">
        <f>HYPERLINK("http://techcrunch.com/")</f>
        <v>http://techcrunch.com/</v>
      </c>
      <c r="G60" s="2" t="s">
        <v>366</v>
      </c>
      <c r="H60" s="2" t="str">
        <f>HYPERLINK("https://www.facebook.com/techcrunch")</f>
        <v>https://www.facebook.com/techcrunch</v>
      </c>
      <c r="I60" s="2" t="s">
        <v>364</v>
      </c>
      <c r="J60" s="2"/>
      <c r="K60" s="2" t="str">
        <f>HYPERLINK("https://www.linkedin.com/company/techcrunch")</f>
        <v>https://www.linkedin.com/company/techcrunch</v>
      </c>
      <c r="L60" s="2"/>
      <c r="M60" s="2" t="str">
        <f>HYPERLINK("https://www.flickr.com/photos/techcrunch")</f>
        <v>https://www.flickr.com/photos/techcrunch</v>
      </c>
      <c r="N60" s="2"/>
      <c r="O60" s="2" t="s">
        <v>26</v>
      </c>
      <c r="P60" s="2">
        <v>6957901</v>
      </c>
      <c r="Q60" s="2">
        <v>93</v>
      </c>
      <c r="R60" s="2"/>
      <c r="S60" s="2"/>
      <c r="T60" s="2" t="s">
        <v>38</v>
      </c>
    </row>
    <row r="61" spans="1:20" ht="89.25" x14ac:dyDescent="0.25">
      <c r="A61" t="s">
        <v>913</v>
      </c>
      <c r="B61" s="2" t="s">
        <v>367</v>
      </c>
      <c r="C61" s="2" t="s">
        <v>368</v>
      </c>
      <c r="D61" s="2" t="s">
        <v>369</v>
      </c>
      <c r="E61" s="2" t="s">
        <v>370</v>
      </c>
      <c r="F61" s="2" t="str">
        <f>HYPERLINK("http://syracuse.com/poststandard/")</f>
        <v>http://syracuse.com/poststandard/</v>
      </c>
      <c r="G61" s="2" t="s">
        <v>371</v>
      </c>
      <c r="H61" s="2" t="str">
        <f>HYPERLINK("https://www.facebook.com/syracusecom")</f>
        <v>https://www.facebook.com/syracusecom</v>
      </c>
      <c r="I61" s="2" t="s">
        <v>372</v>
      </c>
      <c r="J61" s="2"/>
      <c r="K61" s="2" t="str">
        <f>HYPERLINK("https://www.linkedin.com/company/syracuse.com")</f>
        <v>https://www.linkedin.com/company/syracuse.com</v>
      </c>
      <c r="L61" s="2" t="str">
        <f>HYPERLINK("https://www.pinterest.com/pin/322992604496304490")</f>
        <v>https://www.pinterest.com/pin/322992604496304490</v>
      </c>
      <c r="M61" s="2" t="str">
        <f>HYPERLINK("https://www.flickr.com/people/post-standard")</f>
        <v>https://www.flickr.com/people/post-standard</v>
      </c>
      <c r="N61" s="2" t="s">
        <v>373</v>
      </c>
      <c r="O61" s="2" t="s">
        <v>26</v>
      </c>
      <c r="P61" s="2">
        <v>2393689</v>
      </c>
      <c r="Q61" s="2">
        <v>80</v>
      </c>
      <c r="R61" s="2" t="s">
        <v>217</v>
      </c>
      <c r="S61" s="2" t="s">
        <v>374</v>
      </c>
      <c r="T61" s="2" t="s">
        <v>38</v>
      </c>
    </row>
    <row r="62" spans="1:20" ht="89.25" x14ac:dyDescent="0.25">
      <c r="A62" t="s">
        <v>913</v>
      </c>
      <c r="B62" s="2" t="s">
        <v>375</v>
      </c>
      <c r="C62" s="2" t="s">
        <v>20</v>
      </c>
      <c r="D62" s="2"/>
      <c r="E62" s="2" t="s">
        <v>376</v>
      </c>
      <c r="F62" s="2" t="str">
        <f>HYPERLINK("https://www.thestreet.com/")</f>
        <v>https://www.thestreet.com/</v>
      </c>
      <c r="G62" s="2" t="s">
        <v>377</v>
      </c>
      <c r="H62" s="2" t="str">
        <f>HYPERLINK("https://www.facebook.com/TheStreet")</f>
        <v>https://www.facebook.com/TheStreet</v>
      </c>
      <c r="I62" s="2" t="s">
        <v>378</v>
      </c>
      <c r="J62" s="2"/>
      <c r="K62" s="2" t="str">
        <f>HYPERLINK("https://www.linkedin.com/company/thestreet")</f>
        <v>https://www.linkedin.com/company/thestreet</v>
      </c>
      <c r="L62" s="2"/>
      <c r="M62" s="2"/>
      <c r="N62" s="2"/>
      <c r="O62" s="2" t="s">
        <v>26</v>
      </c>
      <c r="P62" s="2">
        <v>19807194</v>
      </c>
      <c r="Q62" s="2">
        <v>88</v>
      </c>
      <c r="R62" s="2"/>
      <c r="S62" s="2"/>
      <c r="T62" s="2" t="s">
        <v>38</v>
      </c>
    </row>
    <row r="63" spans="1:20" ht="102" x14ac:dyDescent="0.25">
      <c r="A63" t="s">
        <v>912</v>
      </c>
      <c r="B63" s="2" t="s">
        <v>379</v>
      </c>
      <c r="C63" s="2" t="s">
        <v>20</v>
      </c>
      <c r="D63" s="2" t="s">
        <v>380</v>
      </c>
      <c r="E63" s="2" t="s">
        <v>381</v>
      </c>
      <c r="F63" s="2" t="str">
        <f>HYPERLINK("https://venturebeat.com/")</f>
        <v>https://venturebeat.com/</v>
      </c>
      <c r="G63" s="2" t="s">
        <v>382</v>
      </c>
      <c r="H63" s="2" t="str">
        <f>HYPERLINK("https://www.facebook.com/venturebeat")</f>
        <v>https://www.facebook.com/venturebeat</v>
      </c>
      <c r="I63" s="2" t="s">
        <v>383</v>
      </c>
      <c r="J63" s="2"/>
      <c r="K63" s="2" t="str">
        <f>HYPERLINK("https://www.linkedin.com/company/venturebeat")</f>
        <v>https://www.linkedin.com/company/venturebeat</v>
      </c>
      <c r="L63" s="2" t="str">
        <f>HYPERLINK("https://www.pinterest.com/venturebeat")</f>
        <v>https://www.pinterest.com/venturebeat</v>
      </c>
      <c r="M63" s="2" t="str">
        <f>HYPERLINK("https://www.flickr.com/photos/venturebeatpix")</f>
        <v>https://www.flickr.com/photos/venturebeatpix</v>
      </c>
      <c r="N63" s="2"/>
      <c r="O63" s="2" t="s">
        <v>26</v>
      </c>
      <c r="P63" s="2">
        <v>1064770</v>
      </c>
      <c r="Q63" s="2">
        <v>92</v>
      </c>
      <c r="R63" s="2"/>
      <c r="S63" s="2"/>
      <c r="T63" s="2" t="s">
        <v>38</v>
      </c>
    </row>
    <row r="64" spans="1:20" ht="89.25" x14ac:dyDescent="0.25">
      <c r="A64" t="s">
        <v>912</v>
      </c>
      <c r="B64" s="2" t="s">
        <v>384</v>
      </c>
      <c r="C64" s="2" t="s">
        <v>20</v>
      </c>
      <c r="D64" s="2" t="s">
        <v>385</v>
      </c>
      <c r="E64" s="2" t="s">
        <v>386</v>
      </c>
      <c r="F64" s="2" t="str">
        <f>HYPERLINK("http://hollywoodreporter.com/")</f>
        <v>http://hollywoodreporter.com/</v>
      </c>
      <c r="G64" s="2" t="s">
        <v>387</v>
      </c>
      <c r="H64" s="2" t="str">
        <f>HYPERLINK("https://www.facebook.com/HollywoodReporter")</f>
        <v>https://www.facebook.com/HollywoodReporter</v>
      </c>
      <c r="I64" s="2" t="s">
        <v>388</v>
      </c>
      <c r="J64" s="2"/>
      <c r="K64" s="2" t="str">
        <f>HYPERLINK("https://www.linkedin.com/company/the-hollywood-reporter")</f>
        <v>https://www.linkedin.com/company/the-hollywood-reporter</v>
      </c>
      <c r="L64" s="2" t="str">
        <f>HYPERLINK("https://www.pinterest.com/THRmag/")</f>
        <v>https://www.pinterest.com/THRmag/</v>
      </c>
      <c r="M64" s="2"/>
      <c r="N64" s="2" t="s">
        <v>389</v>
      </c>
      <c r="O64" s="2" t="s">
        <v>26</v>
      </c>
      <c r="P64" s="2">
        <v>12976520</v>
      </c>
      <c r="Q64" s="2">
        <v>93</v>
      </c>
      <c r="R64" s="2" t="s">
        <v>36</v>
      </c>
      <c r="S64" s="2"/>
      <c r="T64" s="2" t="s">
        <v>38</v>
      </c>
    </row>
    <row r="65" spans="1:20" ht="76.5" x14ac:dyDescent="0.25">
      <c r="A65" t="s">
        <v>912</v>
      </c>
      <c r="B65" s="2" t="s">
        <v>390</v>
      </c>
      <c r="C65" s="2" t="s">
        <v>20</v>
      </c>
      <c r="D65" s="2" t="s">
        <v>391</v>
      </c>
      <c r="E65" s="2"/>
      <c r="F65" s="2" t="str">
        <f>HYPERLINK("https://www.theverge.com/")</f>
        <v>https://www.theverge.com/</v>
      </c>
      <c r="G65" s="2" t="s">
        <v>392</v>
      </c>
      <c r="H65" s="2" t="str">
        <f>HYPERLINK("https://www.facebook.com/verge")</f>
        <v>https://www.facebook.com/verge</v>
      </c>
      <c r="I65" s="2" t="s">
        <v>393</v>
      </c>
      <c r="J65" s="2"/>
      <c r="K65" s="2" t="str">
        <f>HYPERLINK("https://www.linkedin.com/company/the-verge")</f>
        <v>https://www.linkedin.com/company/the-verge</v>
      </c>
      <c r="L65" s="2" t="str">
        <f>HYPERLINK("https://www.pinterest.com/theverge")</f>
        <v>https://www.pinterest.com/theverge</v>
      </c>
      <c r="M65" s="2" t="str">
        <f>HYPERLINK("https://plus.google.com/+TheVerge")</f>
        <v>https://plus.google.com/+TheVerge</v>
      </c>
      <c r="N65" s="2"/>
      <c r="O65" s="2" t="s">
        <v>26</v>
      </c>
      <c r="P65" s="2">
        <v>23552908</v>
      </c>
      <c r="Q65" s="2">
        <v>93</v>
      </c>
      <c r="R65" s="2"/>
      <c r="S65" s="2"/>
      <c r="T65" s="2" t="s">
        <v>38</v>
      </c>
    </row>
    <row r="66" spans="1:20" ht="89.25" x14ac:dyDescent="0.25">
      <c r="A66" t="s">
        <v>912</v>
      </c>
      <c r="B66" s="2" t="s">
        <v>394</v>
      </c>
      <c r="C66" s="2" t="s">
        <v>20</v>
      </c>
      <c r="D66" s="2" t="s">
        <v>395</v>
      </c>
      <c r="E66" s="2" t="s">
        <v>396</v>
      </c>
      <c r="F66" s="2" t="str">
        <f>HYPERLINK("http://adweek.com/")</f>
        <v>http://adweek.com/</v>
      </c>
      <c r="G66" s="2" t="s">
        <v>397</v>
      </c>
      <c r="H66" s="2" t="str">
        <f>HYPERLINK("https://www.facebook.com/Adweek")</f>
        <v>https://www.facebook.com/Adweek</v>
      </c>
      <c r="I66" s="2" t="s">
        <v>394</v>
      </c>
      <c r="J66" s="2"/>
      <c r="K66" s="2" t="str">
        <f>HYPERLINK("https://www.linkedin.com/company/adweek")</f>
        <v>https://www.linkedin.com/company/adweek</v>
      </c>
      <c r="L66" s="2" t="str">
        <f>HYPERLINK("https://www.pinterest.com/adweek")</f>
        <v>https://www.pinterest.com/adweek</v>
      </c>
      <c r="M66" s="2"/>
      <c r="N66" s="2" t="s">
        <v>398</v>
      </c>
      <c r="O66" s="2" t="s">
        <v>26</v>
      </c>
      <c r="P66" s="2">
        <v>906809</v>
      </c>
      <c r="Q66" s="2">
        <v>92</v>
      </c>
      <c r="R66" s="2" t="s">
        <v>36</v>
      </c>
      <c r="S66" s="2" t="s">
        <v>399</v>
      </c>
      <c r="T66" s="2" t="s">
        <v>38</v>
      </c>
    </row>
    <row r="67" spans="1:20" ht="89.25" x14ac:dyDescent="0.25">
      <c r="A67" t="s">
        <v>912</v>
      </c>
      <c r="B67" s="2" t="s">
        <v>400</v>
      </c>
      <c r="C67" s="2" t="s">
        <v>20</v>
      </c>
      <c r="D67" s="2" t="s">
        <v>401</v>
      </c>
      <c r="E67" s="2" t="s">
        <v>402</v>
      </c>
      <c r="F67" s="2" t="str">
        <f>HYPERLINK("http://nationalreview.com")</f>
        <v>http://nationalreview.com</v>
      </c>
      <c r="G67" s="2" t="s">
        <v>403</v>
      </c>
      <c r="H67" s="2" t="str">
        <f>HYPERLINK("https://www.facebook.com/nationalreview")</f>
        <v>https://www.facebook.com/nationalreview</v>
      </c>
      <c r="I67" s="2" t="s">
        <v>404</v>
      </c>
      <c r="J67" s="2"/>
      <c r="K67" s="2" t="str">
        <f>HYPERLINK("https://www.linkedin.com/company/national-review")</f>
        <v>https://www.linkedin.com/company/national-review</v>
      </c>
      <c r="L67" s="2" t="str">
        <f>HYPERLINK("https://www.pinterest.com/nationalreview/")</f>
        <v>https://www.pinterest.com/nationalreview/</v>
      </c>
      <c r="M67" s="2"/>
      <c r="N67" s="2" t="s">
        <v>405</v>
      </c>
      <c r="O67" s="2" t="s">
        <v>26</v>
      </c>
      <c r="P67" s="2">
        <v>2166042</v>
      </c>
      <c r="Q67" s="2">
        <v>89</v>
      </c>
      <c r="R67" s="2" t="s">
        <v>129</v>
      </c>
      <c r="S67" s="2" t="s">
        <v>406</v>
      </c>
      <c r="T67" s="2" t="s">
        <v>38</v>
      </c>
    </row>
    <row r="68" spans="1:20" ht="127.5" x14ac:dyDescent="0.25">
      <c r="A68" t="s">
        <v>910</v>
      </c>
      <c r="B68" s="2" t="s">
        <v>407</v>
      </c>
      <c r="C68" s="2" t="s">
        <v>20</v>
      </c>
      <c r="D68" s="2" t="s">
        <v>408</v>
      </c>
      <c r="E68" s="2" t="s">
        <v>409</v>
      </c>
      <c r="F68" s="2" t="str">
        <f>HYPERLINK("http://usnews.com")</f>
        <v>http://usnews.com</v>
      </c>
      <c r="G68" s="2" t="s">
        <v>410</v>
      </c>
      <c r="H68" s="2" t="str">
        <f>HYPERLINK("https://www.facebook.com/usnewsandworldreport")</f>
        <v>https://www.facebook.com/usnewsandworldreport</v>
      </c>
      <c r="I68" s="2" t="s">
        <v>411</v>
      </c>
      <c r="J68" s="2"/>
      <c r="K68" s="2" t="str">
        <f>HYPERLINK("https://www.linkedin.com/company/u.s.-news-&amp;-world-report")</f>
        <v>https://www.linkedin.com/company/u.s.-news-&amp;-world-report</v>
      </c>
      <c r="L68" s="2" t="str">
        <f>HYPERLINK("https://www.pinterest.com/usnewsrankings")</f>
        <v>https://www.pinterest.com/usnewsrankings</v>
      </c>
      <c r="M68" s="2"/>
      <c r="N68" s="2"/>
      <c r="O68" s="2" t="s">
        <v>26</v>
      </c>
      <c r="P68" s="2">
        <v>33204569</v>
      </c>
      <c r="Q68" s="2">
        <v>93</v>
      </c>
      <c r="R68" s="2"/>
      <c r="S68" s="2"/>
      <c r="T68" s="2" t="s">
        <v>38</v>
      </c>
    </row>
    <row r="69" spans="1:20" ht="102" x14ac:dyDescent="0.25">
      <c r="A69" t="s">
        <v>910</v>
      </c>
      <c r="B69" s="2" t="s">
        <v>412</v>
      </c>
      <c r="C69" s="2" t="s">
        <v>20</v>
      </c>
      <c r="D69" s="2" t="s">
        <v>413</v>
      </c>
      <c r="E69" s="2"/>
      <c r="F69" s="2" t="str">
        <f>HYPERLINK("http://gq.com/")</f>
        <v>http://gq.com/</v>
      </c>
      <c r="G69" s="2" t="s">
        <v>414</v>
      </c>
      <c r="H69" s="2" t="str">
        <f>HYPERLINK("https://www.facebook.com/gq")</f>
        <v>https://www.facebook.com/gq</v>
      </c>
      <c r="I69" s="2" t="s">
        <v>415</v>
      </c>
      <c r="J69" s="2"/>
      <c r="K69" s="2" t="str">
        <f>HYPERLINK("https://www.linkedin.com/company/gq-technology-inc")</f>
        <v>https://www.linkedin.com/company/gq-technology-inc</v>
      </c>
      <c r="L69" s="2" t="str">
        <f>HYPERLINK("https://www.pinterest.com/gqmagazine")</f>
        <v>https://www.pinterest.com/gqmagazine</v>
      </c>
      <c r="M69" s="2"/>
      <c r="N69" s="2" t="s">
        <v>416</v>
      </c>
      <c r="O69" s="2" t="s">
        <v>26</v>
      </c>
      <c r="P69" s="2">
        <v>7980394</v>
      </c>
      <c r="Q69" s="2">
        <v>89</v>
      </c>
      <c r="R69" s="2" t="s">
        <v>142</v>
      </c>
      <c r="S69" s="2"/>
      <c r="T69" s="2" t="s">
        <v>38</v>
      </c>
    </row>
    <row r="70" spans="1:20" ht="102" x14ac:dyDescent="0.25">
      <c r="A70" t="s">
        <v>912</v>
      </c>
      <c r="B70" s="2" t="s">
        <v>417</v>
      </c>
      <c r="C70" s="2" t="s">
        <v>20</v>
      </c>
      <c r="D70" s="2" t="s">
        <v>418</v>
      </c>
      <c r="E70" s="2" t="s">
        <v>165</v>
      </c>
      <c r="F70" s="2" t="str">
        <f>HYPERLINK("http://vogue.com/")</f>
        <v>http://vogue.com/</v>
      </c>
      <c r="G70" s="2" t="s">
        <v>419</v>
      </c>
      <c r="H70" s="2" t="str">
        <f>HYPERLINK("https://www.facebook.com/vogue")</f>
        <v>https://www.facebook.com/vogue</v>
      </c>
      <c r="I70" s="2" t="s">
        <v>420</v>
      </c>
      <c r="J70" s="2"/>
      <c r="K70" s="2" t="str">
        <f>HYPERLINK("https://www.linkedin.com/company/vogue")</f>
        <v>https://www.linkedin.com/company/vogue</v>
      </c>
      <c r="L70" s="2" t="str">
        <f>HYPERLINK("https://www.pinterest.com/voguemagazine/")</f>
        <v>https://www.pinterest.com/voguemagazine/</v>
      </c>
      <c r="M70" s="2"/>
      <c r="N70" s="2" t="s">
        <v>421</v>
      </c>
      <c r="O70" s="2" t="s">
        <v>26</v>
      </c>
      <c r="P70" s="2">
        <v>10858407</v>
      </c>
      <c r="Q70" s="2">
        <v>89</v>
      </c>
      <c r="R70" s="2" t="s">
        <v>217</v>
      </c>
      <c r="S70" s="2"/>
      <c r="T70" s="2" t="s">
        <v>38</v>
      </c>
    </row>
    <row r="71" spans="1:20" ht="89.25" x14ac:dyDescent="0.25">
      <c r="A71" t="s">
        <v>912</v>
      </c>
      <c r="B71" s="2" t="s">
        <v>422</v>
      </c>
      <c r="C71" s="2" t="s">
        <v>20</v>
      </c>
      <c r="D71" s="2" t="s">
        <v>423</v>
      </c>
      <c r="E71" s="2"/>
      <c r="F71" s="2" t="str">
        <f>HYPERLINK("http://qz.com/")</f>
        <v>http://qz.com/</v>
      </c>
      <c r="G71" s="2" t="s">
        <v>424</v>
      </c>
      <c r="H71" s="2" t="str">
        <f>HYPERLINK("https://www.facebook.com/quartznews")</f>
        <v>https://www.facebook.com/quartznews</v>
      </c>
      <c r="I71" s="2" t="s">
        <v>425</v>
      </c>
      <c r="J71" s="2"/>
      <c r="K71" s="2" t="str">
        <f>HYPERLINK("https://www.linkedin.com/company/quartz-an-atlantic-media-publica")</f>
        <v>https://www.linkedin.com/company/quartz-an-atlantic-media-publica</v>
      </c>
      <c r="L71" s="2"/>
      <c r="M71" s="2"/>
      <c r="N71" s="2"/>
      <c r="O71" s="2" t="s">
        <v>26</v>
      </c>
      <c r="P71" s="2">
        <v>2183738</v>
      </c>
      <c r="Q71" s="2">
        <v>92</v>
      </c>
      <c r="R71" s="2" t="s">
        <v>27</v>
      </c>
      <c r="S71" s="2" t="s">
        <v>28</v>
      </c>
      <c r="T71" s="2" t="s">
        <v>38</v>
      </c>
    </row>
    <row r="72" spans="1:20" ht="89.25" x14ac:dyDescent="0.25">
      <c r="A72" t="s">
        <v>912</v>
      </c>
      <c r="B72" s="2" t="s">
        <v>426</v>
      </c>
      <c r="C72" s="2" t="s">
        <v>20</v>
      </c>
      <c r="D72" s="2" t="s">
        <v>427</v>
      </c>
      <c r="E72" s="2" t="s">
        <v>428</v>
      </c>
      <c r="F72" s="2" t="str">
        <f>HYPERLINK("https://www.dailymail.co.uk/home/index.html")</f>
        <v>https://www.dailymail.co.uk/home/index.html</v>
      </c>
      <c r="G72" s="2" t="s">
        <v>429</v>
      </c>
      <c r="H72" s="2" t="str">
        <f>HYPERLINK("https://www.facebook.com/DailyMail")</f>
        <v>https://www.facebook.com/DailyMail</v>
      </c>
      <c r="I72" s="2" t="s">
        <v>430</v>
      </c>
      <c r="J72" s="2"/>
      <c r="K72" s="2" t="str">
        <f>HYPERLINK("https://www.linkedin.com/company/mailonline")</f>
        <v>https://www.linkedin.com/company/mailonline</v>
      </c>
      <c r="L72" s="2" t="str">
        <f>HYPERLINK("https://www.pinterest.com/dailymail")</f>
        <v>https://www.pinterest.com/dailymail</v>
      </c>
      <c r="M72" s="2"/>
      <c r="N72" s="2" t="s">
        <v>431</v>
      </c>
      <c r="O72" s="2" t="s">
        <v>432</v>
      </c>
      <c r="P72" s="2">
        <v>79279623</v>
      </c>
      <c r="Q72" s="2">
        <v>94</v>
      </c>
      <c r="R72" s="2" t="s">
        <v>27</v>
      </c>
      <c r="S72" s="2" t="s">
        <v>94</v>
      </c>
      <c r="T72" s="2" t="s">
        <v>29</v>
      </c>
    </row>
    <row r="73" spans="1:20" ht="89.25" x14ac:dyDescent="0.25">
      <c r="A73" t="s">
        <v>910</v>
      </c>
      <c r="B73" s="2" t="s">
        <v>433</v>
      </c>
      <c r="C73" s="2" t="s">
        <v>20</v>
      </c>
      <c r="D73" s="2" t="s">
        <v>434</v>
      </c>
      <c r="E73" s="2" t="s">
        <v>90</v>
      </c>
      <c r="F73" s="2" t="str">
        <f>HYPERLINK("http://dowjones.com")</f>
        <v>http://dowjones.com</v>
      </c>
      <c r="G73" s="2" t="s">
        <v>91</v>
      </c>
      <c r="H73" s="2" t="str">
        <f>HYPERLINK("https://www.facebook.com/dowjones")</f>
        <v>https://www.facebook.com/dowjones</v>
      </c>
      <c r="I73" s="2" t="s">
        <v>435</v>
      </c>
      <c r="J73" s="2"/>
      <c r="K73" s="2" t="str">
        <f>HYPERLINK("https://www.linkedin.com/company/2284")</f>
        <v>https://www.linkedin.com/company/2284</v>
      </c>
      <c r="L73" s="2"/>
      <c r="M73" s="2"/>
      <c r="N73" s="2"/>
      <c r="O73" s="2" t="s">
        <v>26</v>
      </c>
      <c r="P73" s="2">
        <v>2501005</v>
      </c>
      <c r="Q73" s="2">
        <v>76</v>
      </c>
      <c r="R73" s="2"/>
      <c r="S73" s="2"/>
      <c r="T73" s="2" t="s">
        <v>38</v>
      </c>
    </row>
    <row r="74" spans="1:20" ht="89.25" x14ac:dyDescent="0.25">
      <c r="A74" t="s">
        <v>912</v>
      </c>
      <c r="B74" s="2" t="s">
        <v>436</v>
      </c>
      <c r="C74" s="2" t="s">
        <v>20</v>
      </c>
      <c r="D74" s="2" t="s">
        <v>437</v>
      </c>
      <c r="E74" s="2" t="s">
        <v>90</v>
      </c>
      <c r="F74" s="2" t="str">
        <f>HYPERLINK("http://marketwatch.com")</f>
        <v>http://marketwatch.com</v>
      </c>
      <c r="G74" s="2" t="s">
        <v>91</v>
      </c>
      <c r="H74" s="2" t="str">
        <f>HYPERLINK("https://www.facebook.com/marketwatch")</f>
        <v>https://www.facebook.com/marketwatch</v>
      </c>
      <c r="I74" s="2" t="s">
        <v>436</v>
      </c>
      <c r="J74" s="2"/>
      <c r="K74" s="2" t="str">
        <f>HYPERLINK("https://www.linkedin.com/company/marketwatch")</f>
        <v>https://www.linkedin.com/company/marketwatch</v>
      </c>
      <c r="L74" s="2" t="str">
        <f>HYPERLINK("https://www.pinterest.com/marketwatch")</f>
        <v>https://www.pinterest.com/marketwatch</v>
      </c>
      <c r="M74" s="2"/>
      <c r="N74" s="2"/>
      <c r="O74" s="2" t="s">
        <v>26</v>
      </c>
      <c r="P74" s="2">
        <v>13518339</v>
      </c>
      <c r="Q74" s="2">
        <v>92</v>
      </c>
      <c r="R74" s="2"/>
      <c r="S74" s="2"/>
      <c r="T74" s="2" t="s">
        <v>38</v>
      </c>
    </row>
    <row r="75" spans="1:20" ht="229.5" x14ac:dyDescent="0.25">
      <c r="A75" t="s">
        <v>912</v>
      </c>
      <c r="B75" s="2" t="s">
        <v>438</v>
      </c>
      <c r="C75" s="2" t="s">
        <v>20</v>
      </c>
      <c r="D75" s="2" t="s">
        <v>439</v>
      </c>
      <c r="E75" s="2" t="s">
        <v>440</v>
      </c>
      <c r="F75" s="2" t="str">
        <f>HYPERLINK("http://vice.com/")</f>
        <v>http://vice.com/</v>
      </c>
      <c r="G75" s="2" t="s">
        <v>441</v>
      </c>
      <c r="H75" s="2" t="str">
        <f>HYPERLINK("https://www.facebook.com/VICE")</f>
        <v>https://www.facebook.com/VICE</v>
      </c>
      <c r="I75" s="2" t="s">
        <v>438</v>
      </c>
      <c r="J75" s="2"/>
      <c r="K75" s="2" t="str">
        <f>HYPERLINK("https://www.linkedin.com/company/vice-media")</f>
        <v>https://www.linkedin.com/company/vice-media</v>
      </c>
      <c r="L75" s="2" t="str">
        <f>HYPERLINK("https://www.pinterest.com/vicemag")</f>
        <v>https://www.pinterest.com/vicemag</v>
      </c>
      <c r="M75" s="2"/>
      <c r="N75" s="2" t="s">
        <v>442</v>
      </c>
      <c r="O75" s="2" t="s">
        <v>443</v>
      </c>
      <c r="P75" s="2">
        <v>13335347</v>
      </c>
      <c r="Q75" s="2">
        <v>93</v>
      </c>
      <c r="R75" s="2" t="s">
        <v>142</v>
      </c>
      <c r="S75" s="2"/>
      <c r="T75" s="2" t="s">
        <v>38</v>
      </c>
    </row>
    <row r="76" spans="1:20" ht="102" x14ac:dyDescent="0.25">
      <c r="A76" t="s">
        <v>912</v>
      </c>
      <c r="B76" s="2" t="s">
        <v>444</v>
      </c>
      <c r="C76" s="2" t="s">
        <v>20</v>
      </c>
      <c r="D76" s="2"/>
      <c r="E76" s="2" t="s">
        <v>445</v>
      </c>
      <c r="F76" s="2" t="str">
        <f>HYPERLINK("http://foxsports.com/")</f>
        <v>http://foxsports.com/</v>
      </c>
      <c r="G76" s="2" t="s">
        <v>446</v>
      </c>
      <c r="H76" s="2" t="str">
        <f>HYPERLINK("https://www.facebook.com/foxsports")</f>
        <v>https://www.facebook.com/foxsports</v>
      </c>
      <c r="I76" s="2" t="s">
        <v>447</v>
      </c>
      <c r="J76" s="2"/>
      <c r="K76" s="2" t="str">
        <f>HYPERLINK("https://www.linkedin.com/company/foxsports")</f>
        <v>https://www.linkedin.com/company/foxsports</v>
      </c>
      <c r="L76" s="2" t="str">
        <f>HYPERLINK("https://www.pinterest.com/foxsports")</f>
        <v>https://www.pinterest.com/foxsports</v>
      </c>
      <c r="M76" s="2"/>
      <c r="N76" s="2"/>
      <c r="O76" s="2" t="s">
        <v>26</v>
      </c>
      <c r="P76" s="2">
        <v>12971522</v>
      </c>
      <c r="Q76" s="2">
        <v>88</v>
      </c>
      <c r="R76" s="2"/>
      <c r="S76" s="2"/>
      <c r="T76" s="2" t="s">
        <v>38</v>
      </c>
    </row>
    <row r="77" spans="1:20" ht="102" x14ac:dyDescent="0.25">
      <c r="A77" t="s">
        <v>912</v>
      </c>
      <c r="B77" s="2" t="s">
        <v>448</v>
      </c>
      <c r="C77" s="2" t="s">
        <v>69</v>
      </c>
      <c r="D77" s="2" t="s">
        <v>449</v>
      </c>
      <c r="E77" s="2" t="s">
        <v>450</v>
      </c>
      <c r="F77" s="2" t="str">
        <f>HYPERLINK("http://thehill.com/")</f>
        <v>http://thehill.com/</v>
      </c>
      <c r="G77" s="2" t="s">
        <v>451</v>
      </c>
      <c r="H77" s="2" t="str">
        <f>HYPERLINK("https://www.facebook.com/TheHill")</f>
        <v>https://www.facebook.com/TheHill</v>
      </c>
      <c r="I77" s="2" t="s">
        <v>452</v>
      </c>
      <c r="J77" s="2"/>
      <c r="K77" s="2" t="str">
        <f>HYPERLINK("https://www.linkedin.com/company/the-hill")</f>
        <v>https://www.linkedin.com/company/the-hill</v>
      </c>
      <c r="L77" s="2" t="str">
        <f>HYPERLINK("https://www.pinterest.com/thehillnews")</f>
        <v>https://www.pinterest.com/thehillnews</v>
      </c>
      <c r="M77" s="2"/>
      <c r="N77" s="2" t="s">
        <v>453</v>
      </c>
      <c r="O77" s="2" t="s">
        <v>26</v>
      </c>
      <c r="P77" s="2">
        <v>19751930</v>
      </c>
      <c r="Q77" s="2">
        <v>92</v>
      </c>
      <c r="R77" s="2" t="s">
        <v>27</v>
      </c>
      <c r="S77" s="2"/>
      <c r="T77" s="2" t="s">
        <v>38</v>
      </c>
    </row>
    <row r="78" spans="1:20" ht="76.5" x14ac:dyDescent="0.25">
      <c r="A78" t="s">
        <v>912</v>
      </c>
      <c r="B78" s="2" t="s">
        <v>454</v>
      </c>
      <c r="C78" s="2" t="s">
        <v>20</v>
      </c>
      <c r="D78" s="2"/>
      <c r="E78" s="2" t="s">
        <v>455</v>
      </c>
      <c r="F78" s="2" t="str">
        <f>HYPERLINK("http://autonews.com/")</f>
        <v>http://autonews.com/</v>
      </c>
      <c r="G78" s="2" t="s">
        <v>456</v>
      </c>
      <c r="H78" s="2" t="str">
        <f>HYPERLINK("https://www.facebook.com/AutoNews")</f>
        <v>https://www.facebook.com/AutoNews</v>
      </c>
      <c r="I78" s="2" t="s">
        <v>457</v>
      </c>
      <c r="J78" s="2"/>
      <c r="K78" s="2" t="str">
        <f>HYPERLINK("https://www.linkedin.com/company/automotive-news")</f>
        <v>https://www.linkedin.com/company/automotive-news</v>
      </c>
      <c r="L78" s="2"/>
      <c r="M78" s="2"/>
      <c r="N78" s="2" t="s">
        <v>458</v>
      </c>
      <c r="O78" s="2" t="s">
        <v>26</v>
      </c>
      <c r="P78" s="2">
        <v>1009372</v>
      </c>
      <c r="Q78" s="2">
        <v>82</v>
      </c>
      <c r="R78" s="2" t="s">
        <v>36</v>
      </c>
      <c r="S78" s="2" t="s">
        <v>130</v>
      </c>
      <c r="T78" s="2" t="s">
        <v>38</v>
      </c>
    </row>
    <row r="79" spans="1:20" ht="76.5" x14ac:dyDescent="0.25">
      <c r="A79" t="s">
        <v>912</v>
      </c>
      <c r="B79" s="2" t="s">
        <v>459</v>
      </c>
      <c r="C79" s="2" t="s">
        <v>20</v>
      </c>
      <c r="D79" s="2" t="s">
        <v>460</v>
      </c>
      <c r="E79" s="2"/>
      <c r="F79" s="2" t="str">
        <f>HYPERLINK("https://www.vox.com/")</f>
        <v>https://www.vox.com/</v>
      </c>
      <c r="G79" s="2" t="s">
        <v>392</v>
      </c>
      <c r="H79" s="2" t="str">
        <f>HYPERLINK("https://www.facebook.com/Vox")</f>
        <v>https://www.facebook.com/Vox</v>
      </c>
      <c r="I79" s="2" t="s">
        <v>461</v>
      </c>
      <c r="J79" s="2"/>
      <c r="K79" s="2" t="str">
        <f>HYPERLINK("https://www.linkedin.com/company/vox-com")</f>
        <v>https://www.linkedin.com/company/vox-com</v>
      </c>
      <c r="L79" s="2"/>
      <c r="M79" s="2"/>
      <c r="N79" s="2"/>
      <c r="O79" s="2" t="s">
        <v>26</v>
      </c>
      <c r="P79" s="2">
        <v>10134858</v>
      </c>
      <c r="Q79" s="2">
        <v>92</v>
      </c>
      <c r="R79" s="2"/>
      <c r="S79" s="2"/>
      <c r="T79" s="2" t="s">
        <v>38</v>
      </c>
    </row>
    <row r="80" spans="1:20" ht="63.75" x14ac:dyDescent="0.25">
      <c r="A80" t="s">
        <v>912</v>
      </c>
      <c r="B80" s="2" t="s">
        <v>462</v>
      </c>
      <c r="C80" s="2" t="s">
        <v>20</v>
      </c>
      <c r="D80" s="2" t="s">
        <v>463</v>
      </c>
      <c r="E80" s="2" t="s">
        <v>464</v>
      </c>
      <c r="F80" s="2" t="str">
        <f>HYPERLINK("http://bnnbloomberg.ca")</f>
        <v>http://bnnbloomberg.ca</v>
      </c>
      <c r="G80" s="2" t="s">
        <v>465</v>
      </c>
      <c r="H80" s="2" t="str">
        <f>HYPERLINK("https://www.facebook.com/BNNTV")</f>
        <v>https://www.facebook.com/BNNTV</v>
      </c>
      <c r="I80" s="2" t="s">
        <v>466</v>
      </c>
      <c r="J80" s="2"/>
      <c r="K80" s="2" t="str">
        <f>HYPERLINK("https://www.linkedin.com/company/bnn-bloomberg/")</f>
        <v>https://www.linkedin.com/company/bnn-bloomberg/</v>
      </c>
      <c r="L80" s="2"/>
      <c r="M80" s="2"/>
      <c r="N80" s="2"/>
      <c r="O80" s="2" t="s">
        <v>26</v>
      </c>
      <c r="P80" s="2">
        <v>1941168</v>
      </c>
      <c r="Q80" s="2">
        <v>81</v>
      </c>
      <c r="R80" s="2"/>
      <c r="S80" s="2"/>
      <c r="T80" s="2" t="s">
        <v>467</v>
      </c>
    </row>
    <row r="81" spans="1:20" ht="102" x14ac:dyDescent="0.25">
      <c r="A81" t="s">
        <v>912</v>
      </c>
      <c r="B81" s="2" t="s">
        <v>468</v>
      </c>
      <c r="C81" s="2" t="s">
        <v>20</v>
      </c>
      <c r="D81" s="2" t="s">
        <v>469</v>
      </c>
      <c r="E81" s="2" t="s">
        <v>470</v>
      </c>
      <c r="F81" s="2" t="str">
        <f>HYPERLINK("http://edmunds.com/")</f>
        <v>http://edmunds.com/</v>
      </c>
      <c r="G81" s="2" t="s">
        <v>471</v>
      </c>
      <c r="H81" s="2" t="str">
        <f>HYPERLINK("https://www.facebook.com/edmunds")</f>
        <v>https://www.facebook.com/edmunds</v>
      </c>
      <c r="I81" s="2" t="s">
        <v>472</v>
      </c>
      <c r="J81" s="2"/>
      <c r="K81" s="2" t="str">
        <f>HYPERLINK("https://www.linkedin.com/company/edmunds.com")</f>
        <v>https://www.linkedin.com/company/edmunds.com</v>
      </c>
      <c r="L81" s="2" t="str">
        <f>HYPERLINK("https://www.pinterest.com/edmundsinc")</f>
        <v>https://www.pinterest.com/edmundsinc</v>
      </c>
      <c r="M81" s="2"/>
      <c r="N81" s="2"/>
      <c r="O81" s="2" t="s">
        <v>26</v>
      </c>
      <c r="P81" s="2">
        <v>10873366</v>
      </c>
      <c r="Q81" s="2">
        <v>83</v>
      </c>
      <c r="R81" s="2"/>
      <c r="S81" s="2"/>
      <c r="T81" s="2" t="s">
        <v>38</v>
      </c>
    </row>
    <row r="82" spans="1:20" ht="102" x14ac:dyDescent="0.25">
      <c r="A82" t="s">
        <v>912</v>
      </c>
      <c r="B82" s="2" t="s">
        <v>473</v>
      </c>
      <c r="C82" s="2" t="s">
        <v>20</v>
      </c>
      <c r="D82" s="2" t="s">
        <v>474</v>
      </c>
      <c r="E82" s="2" t="s">
        <v>475</v>
      </c>
      <c r="F82" s="2" t="str">
        <f>HYPERLINK("http://jalopnik.com/")</f>
        <v>http://jalopnik.com/</v>
      </c>
      <c r="G82" s="2" t="s">
        <v>334</v>
      </c>
      <c r="H82" s="2" t="str">
        <f>HYPERLINK("https://www.facebook.com/jalopnik")</f>
        <v>https://www.facebook.com/jalopnik</v>
      </c>
      <c r="I82" s="2" t="s">
        <v>473</v>
      </c>
      <c r="J82" s="2"/>
      <c r="K82" s="2" t="str">
        <f>HYPERLINK("https://www.linkedin.com/company/8825264")</f>
        <v>https://www.linkedin.com/company/8825264</v>
      </c>
      <c r="L82" s="2"/>
      <c r="M82" s="2" t="str">
        <f>HYPERLINK("https://www.flickr.com/photos/jalopnik")</f>
        <v>https://www.flickr.com/photos/jalopnik</v>
      </c>
      <c r="N82" s="2"/>
      <c r="O82" s="2" t="s">
        <v>26</v>
      </c>
      <c r="P82" s="2">
        <v>5225012</v>
      </c>
      <c r="Q82" s="2">
        <v>88</v>
      </c>
      <c r="R82" s="2"/>
      <c r="S82" s="2"/>
      <c r="T82" s="2" t="s">
        <v>38</v>
      </c>
    </row>
    <row r="83" spans="1:20" ht="76.5" x14ac:dyDescent="0.25">
      <c r="A83" t="s">
        <v>912</v>
      </c>
      <c r="B83" s="2" t="s">
        <v>476</v>
      </c>
      <c r="C83" s="2" t="s">
        <v>20</v>
      </c>
      <c r="D83" s="2"/>
      <c r="E83" s="2" t="s">
        <v>59</v>
      </c>
      <c r="F83" s="2" t="str">
        <f>HYPERLINK("https://cnn.com/business")</f>
        <v>https://cnn.com/business</v>
      </c>
      <c r="G83" s="2" t="s">
        <v>60</v>
      </c>
      <c r="H83" s="2" t="str">
        <f>HYPERLINK("https://www.facebook.com/cnnbusiness")</f>
        <v>https://www.facebook.com/cnnbusiness</v>
      </c>
      <c r="I83" s="2" t="s">
        <v>477</v>
      </c>
      <c r="J83" s="2"/>
      <c r="K83" s="2" t="str">
        <f>HYPERLINK("https://www.linkedin.com/company/cnn")</f>
        <v>https://www.linkedin.com/company/cnn</v>
      </c>
      <c r="L83" s="2" t="str">
        <f>HYPERLINK("https://www.pinterest.com/cnnmoney")</f>
        <v>https://www.pinterest.com/cnnmoney</v>
      </c>
      <c r="M83" s="2"/>
      <c r="N83" s="2"/>
      <c r="O83" s="2" t="s">
        <v>26</v>
      </c>
      <c r="P83" s="2">
        <v>162018974</v>
      </c>
      <c r="Q83" s="2">
        <v>95</v>
      </c>
      <c r="R83" s="2"/>
      <c r="S83" s="2"/>
      <c r="T83" s="2" t="s">
        <v>38</v>
      </c>
    </row>
    <row r="84" spans="1:20" ht="114.75" x14ac:dyDescent="0.25">
      <c r="A84" t="s">
        <v>912</v>
      </c>
      <c r="B84" s="2" t="s">
        <v>478</v>
      </c>
      <c r="C84" s="2" t="s">
        <v>20</v>
      </c>
      <c r="D84" s="2" t="s">
        <v>479</v>
      </c>
      <c r="E84" s="2" t="s">
        <v>480</v>
      </c>
      <c r="F84" s="2" t="str">
        <f>HYPERLINK("http://thewrap.com/")</f>
        <v>http://thewrap.com/</v>
      </c>
      <c r="G84" s="2" t="s">
        <v>481</v>
      </c>
      <c r="H84" s="2" t="str">
        <f>HYPERLINK("https://www.facebook.com/thewrap")</f>
        <v>https://www.facebook.com/thewrap</v>
      </c>
      <c r="I84" s="2" t="s">
        <v>482</v>
      </c>
      <c r="J84" s="2"/>
      <c r="K84" s="2" t="str">
        <f>HYPERLINK("https://www.linkedin.com/company/thewrap.com")</f>
        <v>https://www.linkedin.com/company/thewrap.com</v>
      </c>
      <c r="L84" s="2" t="str">
        <f>HYPERLINK("https://www.pinterest.com/thewrapnews")</f>
        <v>https://www.pinterest.com/thewrapnews</v>
      </c>
      <c r="M84" s="2"/>
      <c r="N84" s="2"/>
      <c r="O84" s="2" t="s">
        <v>26</v>
      </c>
      <c r="P84" s="2">
        <v>3280788</v>
      </c>
      <c r="Q84" s="2">
        <v>87</v>
      </c>
      <c r="R84" s="2"/>
      <c r="S84" s="2"/>
      <c r="T84" s="2" t="s">
        <v>38</v>
      </c>
    </row>
    <row r="85" spans="1:20" ht="89.25" x14ac:dyDescent="0.25">
      <c r="A85" t="s">
        <v>912</v>
      </c>
      <c r="B85" s="2" t="s">
        <v>483</v>
      </c>
      <c r="C85" s="2" t="s">
        <v>20</v>
      </c>
      <c r="D85" s="2" t="s">
        <v>484</v>
      </c>
      <c r="E85" s="2" t="s">
        <v>485</v>
      </c>
      <c r="F85" s="2" t="str">
        <f>HYPERLINK("http://law360.com")</f>
        <v>http://law360.com</v>
      </c>
      <c r="G85" s="2" t="s">
        <v>486</v>
      </c>
      <c r="H85" s="2" t="str">
        <f>HYPERLINK("https://www.facebook.com/Law360/")</f>
        <v>https://www.facebook.com/Law360/</v>
      </c>
      <c r="I85" s="2" t="s">
        <v>483</v>
      </c>
      <c r="J85" s="2"/>
      <c r="K85" s="2" t="str">
        <f>HYPERLINK("https://www.linkedin.com/company/law360")</f>
        <v>https://www.linkedin.com/company/law360</v>
      </c>
      <c r="L85" s="2"/>
      <c r="M85" s="2"/>
      <c r="N85" s="2"/>
      <c r="O85" s="2" t="s">
        <v>26</v>
      </c>
      <c r="P85" s="2">
        <v>450429</v>
      </c>
      <c r="Q85" s="2">
        <v>80</v>
      </c>
      <c r="R85" s="2" t="s">
        <v>217</v>
      </c>
      <c r="S85" s="2"/>
      <c r="T85" s="2" t="s">
        <v>38</v>
      </c>
    </row>
    <row r="86" spans="1:20" ht="114.75" x14ac:dyDescent="0.25">
      <c r="A86" t="s">
        <v>912</v>
      </c>
      <c r="B86" s="2" t="s">
        <v>487</v>
      </c>
      <c r="C86" s="2" t="s">
        <v>20</v>
      </c>
      <c r="D86" s="2" t="s">
        <v>488</v>
      </c>
      <c r="E86" s="2" t="s">
        <v>489</v>
      </c>
      <c r="F86" s="2" t="str">
        <f>HYPERLINK("http://deadline.com")</f>
        <v>http://deadline.com</v>
      </c>
      <c r="G86" s="2" t="s">
        <v>490</v>
      </c>
      <c r="H86" s="2" t="str">
        <f>HYPERLINK("https://www.facebook.com/deadlinehollywood")</f>
        <v>https://www.facebook.com/deadlinehollywood</v>
      </c>
      <c r="I86" s="2" t="s">
        <v>487</v>
      </c>
      <c r="J86" s="2"/>
      <c r="K86" s="2" t="str">
        <f>HYPERLINK("https://www.linkedin.com/company/deadline-com")</f>
        <v>https://www.linkedin.com/company/deadline-com</v>
      </c>
      <c r="L86" s="2" t="str">
        <f>HYPERLINK("https://www.pinterest.com/deadline")</f>
        <v>https://www.pinterest.com/deadline</v>
      </c>
      <c r="M86" s="2"/>
      <c r="N86" s="2"/>
      <c r="O86" s="2" t="s">
        <v>26</v>
      </c>
      <c r="P86" s="2">
        <v>12981895</v>
      </c>
      <c r="Q86" s="2">
        <v>91</v>
      </c>
      <c r="R86" s="2"/>
      <c r="S86" s="2"/>
      <c r="T86" s="2" t="s">
        <v>38</v>
      </c>
    </row>
    <row r="87" spans="1:20" ht="89.25" x14ac:dyDescent="0.25">
      <c r="A87" t="s">
        <v>912</v>
      </c>
      <c r="B87" s="2" t="s">
        <v>491</v>
      </c>
      <c r="C87" s="2" t="s">
        <v>20</v>
      </c>
      <c r="D87" s="2" t="s">
        <v>492</v>
      </c>
      <c r="E87" s="2" t="s">
        <v>493</v>
      </c>
      <c r="F87" s="2" t="str">
        <f>HYPERLINK("http://newrepublic.com")</f>
        <v>http://newrepublic.com</v>
      </c>
      <c r="G87" s="2" t="s">
        <v>494</v>
      </c>
      <c r="H87" s="2" t="str">
        <f>HYPERLINK("https://www.facebook.com/thenewrepublic/")</f>
        <v>https://www.facebook.com/thenewrepublic/</v>
      </c>
      <c r="I87" s="2" t="s">
        <v>495</v>
      </c>
      <c r="J87" s="2"/>
      <c r="K87" s="2" t="str">
        <f>HYPERLINK("https://www.linkedin.com/company/the-new-republic")</f>
        <v>https://www.linkedin.com/company/the-new-republic</v>
      </c>
      <c r="L87" s="2"/>
      <c r="M87" s="2"/>
      <c r="N87" s="2" t="s">
        <v>496</v>
      </c>
      <c r="O87" s="2" t="s">
        <v>26</v>
      </c>
      <c r="P87" s="2">
        <v>2150675</v>
      </c>
      <c r="Q87" s="2">
        <v>83</v>
      </c>
      <c r="R87" s="2" t="s">
        <v>142</v>
      </c>
      <c r="S87" s="2"/>
      <c r="T87" s="2" t="s">
        <v>38</v>
      </c>
    </row>
    <row r="88" spans="1:20" ht="127.5" x14ac:dyDescent="0.25">
      <c r="A88" t="s">
        <v>912</v>
      </c>
      <c r="B88" s="2" t="s">
        <v>497</v>
      </c>
      <c r="C88" s="2" t="s">
        <v>20</v>
      </c>
      <c r="D88" s="2" t="s">
        <v>498</v>
      </c>
      <c r="E88" s="2" t="s">
        <v>499</v>
      </c>
      <c r="F88" s="2" t="str">
        <f>HYPERLINK("http://dailycaller.com")</f>
        <v>http://dailycaller.com</v>
      </c>
      <c r="G88" s="2" t="s">
        <v>500</v>
      </c>
      <c r="H88" s="2" t="str">
        <f>HYPERLINK("https://www.facebook.com/DailyCaller/")</f>
        <v>https://www.facebook.com/DailyCaller/</v>
      </c>
      <c r="I88" s="2" t="s">
        <v>501</v>
      </c>
      <c r="J88" s="2"/>
      <c r="K88" s="2" t="str">
        <f>HYPERLINK("https://www.linkedin.com/company/the-daily-caller")</f>
        <v>https://www.linkedin.com/company/the-daily-caller</v>
      </c>
      <c r="L88" s="2"/>
      <c r="M88" s="2"/>
      <c r="N88" s="2"/>
      <c r="O88" s="2" t="s">
        <v>26</v>
      </c>
      <c r="P88" s="2">
        <v>1919039</v>
      </c>
      <c r="Q88" s="2">
        <v>88</v>
      </c>
      <c r="R88" s="2"/>
      <c r="S88" s="2"/>
      <c r="T88" s="2" t="s">
        <v>38</v>
      </c>
    </row>
    <row r="89" spans="1:20" ht="102" x14ac:dyDescent="0.25">
      <c r="A89" t="s">
        <v>912</v>
      </c>
      <c r="B89" s="2" t="s">
        <v>502</v>
      </c>
      <c r="C89" s="2" t="s">
        <v>20</v>
      </c>
      <c r="D89" s="2" t="s">
        <v>503</v>
      </c>
      <c r="E89" s="2" t="s">
        <v>489</v>
      </c>
      <c r="F89" s="2" t="str">
        <f>HYPERLINK("http://hollywoodlife.com")</f>
        <v>http://hollywoodlife.com</v>
      </c>
      <c r="G89" s="2" t="s">
        <v>504</v>
      </c>
      <c r="H89" s="2" t="str">
        <f>HYPERLINK("http://www.facebook.com/HollywoodLife")</f>
        <v>http://www.facebook.com/HollywoodLife</v>
      </c>
      <c r="I89" s="2" t="s">
        <v>505</v>
      </c>
      <c r="J89" s="2"/>
      <c r="K89" s="2" t="str">
        <f>HYPERLINK("https://www.linkedin.com/company/hollywood-life")</f>
        <v>https://www.linkedin.com/company/hollywood-life</v>
      </c>
      <c r="L89" s="2" t="str">
        <f>HYPERLINK("http://pinterest.com/hollywoodlife/")</f>
        <v>http://pinterest.com/hollywoodlife/</v>
      </c>
      <c r="M89" s="2"/>
      <c r="N89" s="2"/>
      <c r="O89" s="2" t="s">
        <v>26</v>
      </c>
      <c r="P89" s="2">
        <v>3812142</v>
      </c>
      <c r="Q89" s="2">
        <v>90</v>
      </c>
      <c r="R89" s="2"/>
      <c r="S89" s="2"/>
      <c r="T89" s="2" t="s">
        <v>38</v>
      </c>
    </row>
    <row r="90" spans="1:20" ht="76.5" x14ac:dyDescent="0.25">
      <c r="A90" t="s">
        <v>912</v>
      </c>
      <c r="B90" s="2" t="s">
        <v>506</v>
      </c>
      <c r="C90" s="2" t="s">
        <v>20</v>
      </c>
      <c r="D90" s="2"/>
      <c r="E90" s="2" t="s">
        <v>84</v>
      </c>
      <c r="F90" s="2" t="str">
        <f>HYPERLINK("http://cbs.com")</f>
        <v>http://cbs.com</v>
      </c>
      <c r="G90" s="2" t="s">
        <v>85</v>
      </c>
      <c r="H90" s="2" t="str">
        <f>HYPERLINK("https://www.facebook.com/CBS/")</f>
        <v>https://www.facebook.com/CBS/</v>
      </c>
      <c r="I90" s="2" t="s">
        <v>506</v>
      </c>
      <c r="J90" s="2"/>
      <c r="K90" s="2" t="str">
        <f>HYPERLINK("https://www.linkedin.com/company/cbs-interactive")</f>
        <v>https://www.linkedin.com/company/cbs-interactive</v>
      </c>
      <c r="L90" s="2"/>
      <c r="M90" s="2"/>
      <c r="N90" s="2"/>
      <c r="O90" s="2" t="s">
        <v>26</v>
      </c>
      <c r="P90" s="2">
        <v>3059186</v>
      </c>
      <c r="Q90" s="2">
        <v>89</v>
      </c>
      <c r="R90" s="2"/>
      <c r="S90" s="2"/>
      <c r="T90" s="2" t="s">
        <v>38</v>
      </c>
    </row>
    <row r="91" spans="1:20" ht="89.25" x14ac:dyDescent="0.25">
      <c r="A91" t="s">
        <v>913</v>
      </c>
      <c r="B91" s="2" t="s">
        <v>507</v>
      </c>
      <c r="C91" s="2" t="s">
        <v>508</v>
      </c>
      <c r="D91" s="2" t="s">
        <v>509</v>
      </c>
      <c r="E91" s="2" t="s">
        <v>510</v>
      </c>
      <c r="F91" s="2" t="str">
        <f>HYPERLINK("http://houstonchronicle.com")</f>
        <v>http://houstonchronicle.com</v>
      </c>
      <c r="G91" s="2" t="s">
        <v>511</v>
      </c>
      <c r="H91" s="2" t="str">
        <f>HYPERLINK("https://www.facebook.com/houstonchronicle")</f>
        <v>https://www.facebook.com/houstonchronicle</v>
      </c>
      <c r="I91" s="2" t="s">
        <v>512</v>
      </c>
      <c r="J91" s="2"/>
      <c r="K91" s="2" t="str">
        <f>HYPERLINK("https://www.linkedin.com/company/houston-chronicle/")</f>
        <v>https://www.linkedin.com/company/houston-chronicle/</v>
      </c>
      <c r="L91" s="2" t="str">
        <f>HYPERLINK("https://www.pinterest.com/houstonchron/")</f>
        <v>https://www.pinterest.com/houstonchron/</v>
      </c>
      <c r="M91" s="2"/>
      <c r="N91" s="2" t="s">
        <v>513</v>
      </c>
      <c r="O91" s="2" t="s">
        <v>114</v>
      </c>
      <c r="P91" s="2">
        <v>2906835</v>
      </c>
      <c r="Q91" s="2">
        <v>84</v>
      </c>
      <c r="R91" s="2" t="s">
        <v>27</v>
      </c>
      <c r="S91" s="2" t="s">
        <v>28</v>
      </c>
      <c r="T91" s="2" t="s">
        <v>38</v>
      </c>
    </row>
    <row r="92" spans="1:20" ht="89.25" x14ac:dyDescent="0.25">
      <c r="A92" t="s">
        <v>913</v>
      </c>
      <c r="B92" s="2" t="s">
        <v>514</v>
      </c>
      <c r="C92" s="2" t="s">
        <v>241</v>
      </c>
      <c r="D92" s="2" t="s">
        <v>515</v>
      </c>
      <c r="E92" s="2" t="s">
        <v>516</v>
      </c>
      <c r="F92" s="2" t="str">
        <f>HYPERLINK("http://sfchronicle.com")</f>
        <v>http://sfchronicle.com</v>
      </c>
      <c r="G92" s="2" t="s">
        <v>243</v>
      </c>
      <c r="H92" s="2" t="str">
        <f>HYPERLINK("https://www.facebook.com/sanfranciscochronicle")</f>
        <v>https://www.facebook.com/sanfranciscochronicle</v>
      </c>
      <c r="I92" s="2" t="s">
        <v>517</v>
      </c>
      <c r="J92" s="2"/>
      <c r="K92" s="2" t="str">
        <f>HYPERLINK("https://www.linkedin.com/company/sfchronicle")</f>
        <v>https://www.linkedin.com/company/sfchronicle</v>
      </c>
      <c r="L92" s="2" t="str">
        <f>HYPERLINK("https://www.pinterest.com/sfchronicle")</f>
        <v>https://www.pinterest.com/sfchronicle</v>
      </c>
      <c r="M92" s="2"/>
      <c r="N92" s="2" t="s">
        <v>518</v>
      </c>
      <c r="O92" s="2" t="s">
        <v>114</v>
      </c>
      <c r="P92" s="2">
        <v>5744927</v>
      </c>
      <c r="Q92" s="2">
        <v>87</v>
      </c>
      <c r="R92" s="2" t="s">
        <v>27</v>
      </c>
      <c r="S92" s="2" t="s">
        <v>28</v>
      </c>
      <c r="T92" s="2" t="s">
        <v>38</v>
      </c>
    </row>
    <row r="93" spans="1:20" ht="102" x14ac:dyDescent="0.25">
      <c r="A93" t="s">
        <v>913</v>
      </c>
      <c r="B93" s="2" t="s">
        <v>519</v>
      </c>
      <c r="C93" s="2" t="s">
        <v>20</v>
      </c>
      <c r="D93" s="2"/>
      <c r="E93" s="2" t="s">
        <v>520</v>
      </c>
      <c r="F93" s="2" t="str">
        <f>HYPERLINK("http://sportsbusinessjournal.com")</f>
        <v>http://sportsbusinessjournal.com</v>
      </c>
      <c r="G93" s="2" t="s">
        <v>521</v>
      </c>
      <c r="H93" s="2" t="str">
        <f>HYPERLINK("https://www.facebook.com/sportsbusinessjournal")</f>
        <v>https://www.facebook.com/sportsbusinessjournal</v>
      </c>
      <c r="I93" s="2" t="s">
        <v>522</v>
      </c>
      <c r="J93" s="2"/>
      <c r="K93" s="2" t="str">
        <f>HYPERLINK("https://www.linkedin.com/company/sports-business-journal/")</f>
        <v>https://www.linkedin.com/company/sports-business-journal/</v>
      </c>
      <c r="L93" s="2"/>
      <c r="M93" s="2"/>
      <c r="N93" s="2" t="s">
        <v>523</v>
      </c>
      <c r="O93" s="2" t="s">
        <v>26</v>
      </c>
      <c r="P93" s="2">
        <v>503025</v>
      </c>
      <c r="Q93" s="2">
        <v>76</v>
      </c>
      <c r="R93" s="2" t="s">
        <v>36</v>
      </c>
      <c r="S93" s="2"/>
      <c r="T93" s="2" t="s">
        <v>38</v>
      </c>
    </row>
    <row r="94" spans="1:20" ht="89.25" x14ac:dyDescent="0.25">
      <c r="A94" t="s">
        <v>913</v>
      </c>
      <c r="B94" s="2" t="s">
        <v>524</v>
      </c>
      <c r="C94" s="2" t="s">
        <v>20</v>
      </c>
      <c r="D94" s="2" t="s">
        <v>525</v>
      </c>
      <c r="E94" s="2"/>
      <c r="F94" s="2" t="str">
        <f>HYPERLINK("http://complex.com")</f>
        <v>http://complex.com</v>
      </c>
      <c r="G94" s="2" t="s">
        <v>526</v>
      </c>
      <c r="H94" s="2" t="str">
        <f>HYPERLINK("https://www.facebook.com/complex")</f>
        <v>https://www.facebook.com/complex</v>
      </c>
      <c r="I94" s="2" t="s">
        <v>524</v>
      </c>
      <c r="J94" s="2"/>
      <c r="K94" s="2"/>
      <c r="L94" s="2" t="str">
        <f>HYPERLINK("https://www.pinterest.com/complexmag")</f>
        <v>https://www.pinterest.com/complexmag</v>
      </c>
      <c r="M94" s="2"/>
      <c r="N94" s="2"/>
      <c r="O94" s="2" t="s">
        <v>26</v>
      </c>
      <c r="P94" s="2">
        <v>4593341</v>
      </c>
      <c r="Q94" s="2">
        <v>89</v>
      </c>
      <c r="R94" s="2"/>
      <c r="S94" s="2"/>
      <c r="T94" s="2" t="s">
        <v>38</v>
      </c>
    </row>
    <row r="95" spans="1:20" ht="89.25" x14ac:dyDescent="0.25">
      <c r="A95" t="s">
        <v>910</v>
      </c>
      <c r="B95" s="2" t="s">
        <v>527</v>
      </c>
      <c r="C95" s="2" t="s">
        <v>20</v>
      </c>
      <c r="D95" s="2" t="s">
        <v>528</v>
      </c>
      <c r="E95" s="2" t="s">
        <v>54</v>
      </c>
      <c r="F95" s="2" t="str">
        <f>HYPERLINK("http://fivethirtyeight.com")</f>
        <v>http://fivethirtyeight.com</v>
      </c>
      <c r="G95" s="2" t="s">
        <v>529</v>
      </c>
      <c r="H95" s="2" t="str">
        <f>HYPERLINK("https://facebook.com/fivethirtyeight")</f>
        <v>https://facebook.com/fivethirtyeight</v>
      </c>
      <c r="I95" s="2" t="s">
        <v>530</v>
      </c>
      <c r="J95" s="2"/>
      <c r="K95" s="2" t="str">
        <f>HYPERLINK("https://www.linkedin.com/company/1714")</f>
        <v>https://www.linkedin.com/company/1714</v>
      </c>
      <c r="L95" s="2"/>
      <c r="M95" s="2"/>
      <c r="N95" s="2"/>
      <c r="O95" s="2" t="s">
        <v>26</v>
      </c>
      <c r="P95" s="2"/>
      <c r="Q95" s="2">
        <v>89</v>
      </c>
      <c r="R95" s="2"/>
      <c r="S95" s="2"/>
      <c r="T95" s="2" t="s">
        <v>38</v>
      </c>
    </row>
    <row r="96" spans="1:20" ht="102" x14ac:dyDescent="0.25">
      <c r="A96" t="s">
        <v>912</v>
      </c>
      <c r="B96" s="2" t="s">
        <v>531</v>
      </c>
      <c r="C96" s="2" t="s">
        <v>20</v>
      </c>
      <c r="D96" s="2" t="s">
        <v>532</v>
      </c>
      <c r="E96" s="2"/>
      <c r="F96" s="2" t="str">
        <f>HYPERLINK("http://theinformation.com")</f>
        <v>http://theinformation.com</v>
      </c>
      <c r="G96" s="2" t="s">
        <v>533</v>
      </c>
      <c r="H96" s="2" t="str">
        <f>HYPERLINK("https://www.facebook.com/gettheinformation/")</f>
        <v>https://www.facebook.com/gettheinformation/</v>
      </c>
      <c r="I96" s="2" t="s">
        <v>534</v>
      </c>
      <c r="J96" s="2"/>
      <c r="K96" s="2" t="str">
        <f>HYPERLINK("https://www.linkedin.com/company/3550868")</f>
        <v>https://www.linkedin.com/company/3550868</v>
      </c>
      <c r="L96" s="2"/>
      <c r="M96" s="2"/>
      <c r="N96" s="2"/>
      <c r="O96" s="2" t="s">
        <v>26</v>
      </c>
      <c r="P96" s="2">
        <v>1034796</v>
      </c>
      <c r="Q96" s="2">
        <v>82</v>
      </c>
      <c r="R96" s="2"/>
      <c r="S96" s="2"/>
      <c r="T96" s="2" t="s">
        <v>38</v>
      </c>
    </row>
    <row r="97" spans="1:20" ht="102" x14ac:dyDescent="0.25">
      <c r="A97" t="s">
        <v>913</v>
      </c>
      <c r="B97" s="2" t="s">
        <v>535</v>
      </c>
      <c r="C97" s="2" t="s">
        <v>20</v>
      </c>
      <c r="D97" s="2" t="s">
        <v>536</v>
      </c>
      <c r="E97" s="2"/>
      <c r="F97" s="2" t="str">
        <f>HYPERLINK("http://pajiba.com")</f>
        <v>http://pajiba.com</v>
      </c>
      <c r="G97" s="2" t="s">
        <v>537</v>
      </c>
      <c r="H97" s="2" t="str">
        <f>HYPERLINK("https://www.facebook.com/Pajiba-250548979637/")</f>
        <v>https://www.facebook.com/Pajiba-250548979637/</v>
      </c>
      <c r="I97" s="2" t="s">
        <v>538</v>
      </c>
      <c r="J97" s="2"/>
      <c r="K97" s="2" t="str">
        <f>HYPERLINK("https://www.linkedin.com/company/pajba/about/")</f>
        <v>https://www.linkedin.com/company/pajba/about/</v>
      </c>
      <c r="L97" s="2"/>
      <c r="M97" s="2"/>
      <c r="N97" s="2"/>
      <c r="O97" s="2" t="s">
        <v>26</v>
      </c>
      <c r="P97" s="2">
        <v>558081</v>
      </c>
      <c r="Q97" s="2">
        <v>77</v>
      </c>
      <c r="R97" s="2"/>
      <c r="S97" s="2"/>
      <c r="T97" s="2" t="s">
        <v>38</v>
      </c>
    </row>
    <row r="98" spans="1:20" ht="89.25" x14ac:dyDescent="0.25">
      <c r="A98" t="s">
        <v>913</v>
      </c>
      <c r="B98" s="2" t="s">
        <v>539</v>
      </c>
      <c r="C98" s="2" t="s">
        <v>20</v>
      </c>
      <c r="D98" s="2" t="s">
        <v>540</v>
      </c>
      <c r="E98" s="2" t="s">
        <v>541</v>
      </c>
      <c r="F98" s="2" t="str">
        <f>HYPERLINK("http://lemonde.fr")</f>
        <v>http://lemonde.fr</v>
      </c>
      <c r="G98" s="2" t="s">
        <v>542</v>
      </c>
      <c r="H98" s="2" t="str">
        <f>HYPERLINK("https://www.facebook.com/lemonde.fr")</f>
        <v>https://www.facebook.com/lemonde.fr</v>
      </c>
      <c r="I98" s="2" t="s">
        <v>543</v>
      </c>
      <c r="J98" s="2"/>
      <c r="K98" s="2" t="str">
        <f>HYPERLINK("https://www.linkedin.com/company/le-monde")</f>
        <v>https://www.linkedin.com/company/le-monde</v>
      </c>
      <c r="L98" s="2" t="str">
        <f>HYPERLINK("https://www.pinterest.com/lemondefr")</f>
        <v>https://www.pinterest.com/lemondefr</v>
      </c>
      <c r="M98" s="2" t="str">
        <f>HYPERLINK("https://www.flickr.com/groups/lemondefr")</f>
        <v>https://www.flickr.com/groups/lemondefr</v>
      </c>
      <c r="N98" s="2" t="s">
        <v>544</v>
      </c>
      <c r="O98" s="2" t="s">
        <v>545</v>
      </c>
      <c r="P98" s="2">
        <v>28004179</v>
      </c>
      <c r="Q98" s="2">
        <v>93</v>
      </c>
      <c r="R98" s="2" t="s">
        <v>27</v>
      </c>
      <c r="S98" s="2" t="s">
        <v>28</v>
      </c>
      <c r="T98" s="2" t="s">
        <v>546</v>
      </c>
    </row>
    <row r="99" spans="1:20" ht="127.5" x14ac:dyDescent="0.25">
      <c r="A99" t="s">
        <v>913</v>
      </c>
      <c r="B99" s="2" t="s">
        <v>547</v>
      </c>
      <c r="C99" s="2" t="s">
        <v>20</v>
      </c>
      <c r="D99" s="2" t="s">
        <v>548</v>
      </c>
      <c r="E99" s="2"/>
      <c r="F99" s="2" t="str">
        <f>HYPERLINK("http://coindesk.com")</f>
        <v>http://coindesk.com</v>
      </c>
      <c r="G99" s="2" t="s">
        <v>549</v>
      </c>
      <c r="H99" s="2" t="str">
        <f>HYPERLINK("https://www.facebook.com/coindesk")</f>
        <v>https://www.facebook.com/coindesk</v>
      </c>
      <c r="I99" s="2" t="s">
        <v>550</v>
      </c>
      <c r="J99" s="2"/>
      <c r="K99" s="2" t="str">
        <f>HYPERLINK("https://www.linkedin.com/company/coindesk")</f>
        <v>https://www.linkedin.com/company/coindesk</v>
      </c>
      <c r="L99" s="2"/>
      <c r="M99" s="2"/>
      <c r="N99" s="2"/>
      <c r="O99" s="2" t="s">
        <v>551</v>
      </c>
      <c r="P99" s="2">
        <v>3208613</v>
      </c>
      <c r="Q99" s="2">
        <v>91</v>
      </c>
      <c r="R99" s="2"/>
      <c r="S99" s="2"/>
      <c r="T99" s="2" t="s">
        <v>38</v>
      </c>
    </row>
    <row r="100" spans="1:20" ht="76.5" x14ac:dyDescent="0.25">
      <c r="A100" t="s">
        <v>913</v>
      </c>
      <c r="B100" s="2" t="s">
        <v>552</v>
      </c>
      <c r="C100" s="2" t="s">
        <v>20</v>
      </c>
      <c r="D100" s="2"/>
      <c r="E100" s="2" t="s">
        <v>553</v>
      </c>
      <c r="F100" s="2" t="str">
        <f>HYPERLINK("http://tvline.com")</f>
        <v>http://tvline.com</v>
      </c>
      <c r="G100" s="2" t="s">
        <v>554</v>
      </c>
      <c r="H100" s="2" t="str">
        <f>HYPERLINK("https://www.facebook.com/tvline/")</f>
        <v>https://www.facebook.com/tvline/</v>
      </c>
      <c r="I100" s="2" t="s">
        <v>552</v>
      </c>
      <c r="J100" s="2"/>
      <c r="K100" s="2"/>
      <c r="L100" s="2"/>
      <c r="M100" s="2"/>
      <c r="N100" s="2"/>
      <c r="O100" s="2" t="s">
        <v>26</v>
      </c>
      <c r="P100" s="2">
        <v>4099174</v>
      </c>
      <c r="Q100" s="2">
        <v>83</v>
      </c>
      <c r="R100" s="2"/>
      <c r="S100" s="2"/>
      <c r="T100" s="2" t="s">
        <v>38</v>
      </c>
    </row>
    <row r="101" spans="1:20" ht="51" x14ac:dyDescent="0.25">
      <c r="A101" t="s">
        <v>913</v>
      </c>
      <c r="B101" s="2" t="s">
        <v>555</v>
      </c>
      <c r="C101" s="2" t="s">
        <v>20</v>
      </c>
      <c r="D101" s="2" t="s">
        <v>556</v>
      </c>
      <c r="E101" s="2"/>
      <c r="F101" s="2" t="str">
        <f>HYPERLINK("http://tech.eu")</f>
        <v>http://tech.eu</v>
      </c>
      <c r="G101" s="2" t="s">
        <v>557</v>
      </c>
      <c r="H101" s="2" t="str">
        <f>HYPERLINK("https://www.facebook.com/tech.eu")</f>
        <v>https://www.facebook.com/tech.eu</v>
      </c>
      <c r="I101" s="2" t="s">
        <v>558</v>
      </c>
      <c r="J101" s="2"/>
      <c r="K101" s="2" t="str">
        <f>HYPERLINK("https://www.linkedin.com/company/tech-eu")</f>
        <v>https://www.linkedin.com/company/tech-eu</v>
      </c>
      <c r="L101" s="2"/>
      <c r="M101" s="2"/>
      <c r="N101" s="2"/>
      <c r="O101" s="2" t="s">
        <v>26</v>
      </c>
      <c r="P101" s="2">
        <v>181485</v>
      </c>
      <c r="Q101" s="2">
        <v>65</v>
      </c>
      <c r="R101" s="2"/>
      <c r="S101" s="2"/>
      <c r="T101" s="2" t="s">
        <v>29</v>
      </c>
    </row>
    <row r="102" spans="1:20" ht="102" x14ac:dyDescent="0.25">
      <c r="A102" t="s">
        <v>913</v>
      </c>
      <c r="B102" s="2" t="s">
        <v>559</v>
      </c>
      <c r="C102" s="2" t="s">
        <v>20</v>
      </c>
      <c r="D102" s="2" t="s">
        <v>560</v>
      </c>
      <c r="E102" s="2" t="s">
        <v>561</v>
      </c>
      <c r="F102" s="2" t="str">
        <f>HYPERLINK("http://pionline.com")</f>
        <v>http://pionline.com</v>
      </c>
      <c r="G102" s="2" t="s">
        <v>562</v>
      </c>
      <c r="H102" s="2" t="str">
        <f>HYPERLINK("https://www.facebook.com/pionlinenews/about/?ref=page_internal")</f>
        <v>https://www.facebook.com/pionlinenews/about/?ref=page_internal</v>
      </c>
      <c r="I102" s="2" t="s">
        <v>563</v>
      </c>
      <c r="J102" s="2"/>
      <c r="K102" s="2" t="str">
        <f>HYPERLINK("http://www.linkedin.com/groups?gid=1842989")</f>
        <v>http://www.linkedin.com/groups?gid=1842989</v>
      </c>
      <c r="L102" s="2"/>
      <c r="M102" s="2"/>
      <c r="N102" s="2" t="s">
        <v>564</v>
      </c>
      <c r="O102" s="2" t="s">
        <v>26</v>
      </c>
      <c r="P102" s="2">
        <v>89487</v>
      </c>
      <c r="Q102" s="2">
        <v>63</v>
      </c>
      <c r="R102" s="2" t="s">
        <v>129</v>
      </c>
      <c r="S102" s="2"/>
      <c r="T102" s="2" t="s">
        <v>38</v>
      </c>
    </row>
    <row r="103" spans="1:20" ht="102" x14ac:dyDescent="0.25">
      <c r="A103" t="s">
        <v>913</v>
      </c>
      <c r="B103" s="2" t="s">
        <v>565</v>
      </c>
      <c r="C103" s="2" t="s">
        <v>20</v>
      </c>
      <c r="D103" s="2" t="s">
        <v>566</v>
      </c>
      <c r="E103" s="2" t="s">
        <v>567</v>
      </c>
      <c r="F103" s="2" t="str">
        <f>HYPERLINK("http://caranddriver.com/")</f>
        <v>http://caranddriver.com/</v>
      </c>
      <c r="G103" s="2" t="s">
        <v>568</v>
      </c>
      <c r="H103" s="2" t="str">
        <f>HYPERLINK("https://www.facebook.com/caranddriver")</f>
        <v>https://www.facebook.com/caranddriver</v>
      </c>
      <c r="I103" s="2" t="s">
        <v>569</v>
      </c>
      <c r="J103" s="2"/>
      <c r="K103" s="2" t="str">
        <f>HYPERLINK("https://www.linkedin.com/company/car-and-driver")</f>
        <v>https://www.linkedin.com/company/car-and-driver</v>
      </c>
      <c r="L103" s="2" t="str">
        <f>HYPERLINK("https://www.pinterest.com/caranddrivermag/")</f>
        <v>https://www.pinterest.com/caranddrivermag/</v>
      </c>
      <c r="M103" s="2"/>
      <c r="N103" s="2" t="s">
        <v>570</v>
      </c>
      <c r="O103" s="2" t="s">
        <v>114</v>
      </c>
      <c r="P103" s="2">
        <v>16644165</v>
      </c>
      <c r="Q103" s="2">
        <v>84</v>
      </c>
      <c r="R103" s="2" t="s">
        <v>142</v>
      </c>
      <c r="S103" s="2"/>
      <c r="T103" s="2" t="s">
        <v>38</v>
      </c>
    </row>
    <row r="104" spans="1:20" ht="76.5" x14ac:dyDescent="0.25">
      <c r="A104" t="s">
        <v>913</v>
      </c>
      <c r="B104" s="2" t="s">
        <v>571</v>
      </c>
      <c r="C104" s="2" t="s">
        <v>20</v>
      </c>
      <c r="D104" s="2" t="s">
        <v>572</v>
      </c>
      <c r="E104" s="2" t="s">
        <v>573</v>
      </c>
      <c r="F104" s="2" t="str">
        <f>HYPERLINK("http://patch.com")</f>
        <v>http://patch.com</v>
      </c>
      <c r="G104" s="2" t="s">
        <v>574</v>
      </c>
      <c r="H104" s="2" t="str">
        <f>HYPERLINK("https://facebook.com/Patch")</f>
        <v>https://facebook.com/Patch</v>
      </c>
      <c r="I104" s="2" t="s">
        <v>575</v>
      </c>
      <c r="J104" s="2"/>
      <c r="K104" s="2" t="str">
        <f>HYPERLINK("https://www.linkedin.com/company/patch-com")</f>
        <v>https://www.linkedin.com/company/patch-com</v>
      </c>
      <c r="L104" s="2"/>
      <c r="M104" s="2"/>
      <c r="N104" s="2"/>
      <c r="O104" s="2" t="s">
        <v>26</v>
      </c>
      <c r="P104" s="2">
        <v>12246010</v>
      </c>
      <c r="Q104" s="2">
        <v>91</v>
      </c>
      <c r="R104" s="2"/>
      <c r="S104" s="2"/>
      <c r="T104" s="2" t="s">
        <v>38</v>
      </c>
    </row>
    <row r="105" spans="1:20" ht="102" x14ac:dyDescent="0.25">
      <c r="A105" t="s">
        <v>913</v>
      </c>
      <c r="B105" s="2" t="s">
        <v>576</v>
      </c>
      <c r="C105" s="2" t="s">
        <v>20</v>
      </c>
      <c r="D105" s="2"/>
      <c r="E105" s="2"/>
      <c r="F105" s="2" t="str">
        <f>HYPERLINK("http://autoblog.com")</f>
        <v>http://autoblog.com</v>
      </c>
      <c r="G105" s="2" t="s">
        <v>577</v>
      </c>
      <c r="H105" s="2" t="str">
        <f>HYPERLINK("https://www.facebook.com/Autoblog")</f>
        <v>https://www.facebook.com/Autoblog</v>
      </c>
      <c r="I105" s="2" t="s">
        <v>578</v>
      </c>
      <c r="J105" s="2"/>
      <c r="K105" s="2" t="str">
        <f>HYPERLINK("https://www.linkedin.com/company/aol")</f>
        <v>https://www.linkedin.com/company/aol</v>
      </c>
      <c r="L105" s="2" t="str">
        <f>HYPERLINK("https://www.pinterest.com/therealautoblog/")</f>
        <v>https://www.pinterest.com/therealautoblog/</v>
      </c>
      <c r="M105" s="2"/>
      <c r="N105" s="2"/>
      <c r="O105" s="2" t="s">
        <v>26</v>
      </c>
      <c r="P105" s="2">
        <v>3692416</v>
      </c>
      <c r="Q105" s="2">
        <v>89</v>
      </c>
      <c r="R105" s="2"/>
      <c r="S105" s="2"/>
      <c r="T105" s="2" t="s">
        <v>38</v>
      </c>
    </row>
    <row r="106" spans="1:20" ht="76.5" x14ac:dyDescent="0.25">
      <c r="A106" t="s">
        <v>910</v>
      </c>
      <c r="B106" s="2" t="s">
        <v>579</v>
      </c>
      <c r="C106" s="2" t="s">
        <v>20</v>
      </c>
      <c r="D106" s="2" t="s">
        <v>580</v>
      </c>
      <c r="E106" s="2" t="s">
        <v>581</v>
      </c>
      <c r="F106" s="2" t="str">
        <f>HYPERLINK("http://politicopro.com")</f>
        <v>http://politicopro.com</v>
      </c>
      <c r="G106" s="2" t="s">
        <v>308</v>
      </c>
      <c r="H106" s="2"/>
      <c r="I106" s="2" t="s">
        <v>582</v>
      </c>
      <c r="J106" s="2"/>
      <c r="K106" s="2" t="str">
        <f>HYPERLINK("https://www.linkedin.com/showcase/politico-pro/")</f>
        <v>https://www.linkedin.com/showcase/politico-pro/</v>
      </c>
      <c r="L106" s="2"/>
      <c r="M106" s="2"/>
      <c r="N106" s="2"/>
      <c r="O106" s="2" t="s">
        <v>26</v>
      </c>
      <c r="P106" s="2">
        <v>269790</v>
      </c>
      <c r="Q106" s="2">
        <v>71</v>
      </c>
      <c r="R106" s="2"/>
      <c r="S106" s="2"/>
      <c r="T106" s="2" t="s">
        <v>38</v>
      </c>
    </row>
    <row r="107" spans="1:20" ht="76.5" x14ac:dyDescent="0.25">
      <c r="A107" t="s">
        <v>912</v>
      </c>
      <c r="B107" s="2" t="s">
        <v>583</v>
      </c>
      <c r="C107" s="2" t="s">
        <v>20</v>
      </c>
      <c r="D107" s="2"/>
      <c r="E107" s="2" t="s">
        <v>584</v>
      </c>
      <c r="F107" s="2" t="str">
        <f>HYPERLINK("http://about.bgov.com")</f>
        <v>http://about.bgov.com</v>
      </c>
      <c r="G107" s="2" t="s">
        <v>585</v>
      </c>
      <c r="H107" s="2"/>
      <c r="I107" s="2" t="s">
        <v>586</v>
      </c>
      <c r="J107" s="2"/>
      <c r="K107" s="2" t="str">
        <f>HYPERLINK("https://www.linkedin.com/company/bloomberg-government")</f>
        <v>https://www.linkedin.com/company/bloomberg-government</v>
      </c>
      <c r="L107" s="2"/>
      <c r="M107" s="2"/>
      <c r="N107" s="2"/>
      <c r="O107" s="2" t="s">
        <v>26</v>
      </c>
      <c r="P107" s="2">
        <v>56460</v>
      </c>
      <c r="Q107" s="2">
        <v>64</v>
      </c>
      <c r="R107" s="2"/>
      <c r="S107" s="2"/>
      <c r="T107" s="2" t="s">
        <v>38</v>
      </c>
    </row>
    <row r="108" spans="1:20" ht="51" x14ac:dyDescent="0.25">
      <c r="A108" t="s">
        <v>913</v>
      </c>
      <c r="B108" s="2" t="s">
        <v>587</v>
      </c>
      <c r="C108" s="2" t="s">
        <v>20</v>
      </c>
      <c r="D108" s="2" t="s">
        <v>588</v>
      </c>
      <c r="E108" s="2" t="s">
        <v>589</v>
      </c>
      <c r="F108" s="2" t="str">
        <f>HYPERLINK("http://highsnobiety.com")</f>
        <v>http://highsnobiety.com</v>
      </c>
      <c r="G108" s="2" t="s">
        <v>590</v>
      </c>
      <c r="H108" s="2" t="str">
        <f>HYPERLINK("https://www.facebook.com/highsnobiety")</f>
        <v>https://www.facebook.com/highsnobiety</v>
      </c>
      <c r="I108" s="2" t="s">
        <v>591</v>
      </c>
      <c r="J108" s="2"/>
      <c r="K108" s="2" t="str">
        <f>HYPERLINK("https://www.linkedin.com/company/1491710")</f>
        <v>https://www.linkedin.com/company/1491710</v>
      </c>
      <c r="L108" s="2"/>
      <c r="M108" s="2"/>
      <c r="N108" s="2"/>
      <c r="O108" s="2" t="s">
        <v>26</v>
      </c>
      <c r="P108" s="2">
        <v>2914848</v>
      </c>
      <c r="Q108" s="2">
        <v>87</v>
      </c>
      <c r="R108" s="2"/>
      <c r="S108" s="2"/>
      <c r="T108" s="2" t="s">
        <v>592</v>
      </c>
    </row>
    <row r="109" spans="1:20" ht="89.25" x14ac:dyDescent="0.25">
      <c r="A109" t="s">
        <v>913</v>
      </c>
      <c r="B109" s="2" t="s">
        <v>593</v>
      </c>
      <c r="C109" s="2" t="s">
        <v>20</v>
      </c>
      <c r="D109" s="2"/>
      <c r="E109" s="2" t="s">
        <v>594</v>
      </c>
      <c r="F109" s="2" t="str">
        <f>HYPERLINK("http://collider.com")</f>
        <v>http://collider.com</v>
      </c>
      <c r="G109" s="2" t="s">
        <v>595</v>
      </c>
      <c r="H109" s="2" t="str">
        <f>HYPERLINK("http://www.facebook.com/colliderdotcom")</f>
        <v>http://www.facebook.com/colliderdotcom</v>
      </c>
      <c r="I109" s="2" t="s">
        <v>593</v>
      </c>
      <c r="J109" s="2"/>
      <c r="K109" s="2" t="str">
        <f>HYPERLINK("https://www.linkedin.com/company/collider")</f>
        <v>https://www.linkedin.com/company/collider</v>
      </c>
      <c r="L109" s="2"/>
      <c r="M109" s="2"/>
      <c r="N109" s="2"/>
      <c r="O109" s="2" t="s">
        <v>26</v>
      </c>
      <c r="P109" s="2">
        <v>22130166</v>
      </c>
      <c r="Q109" s="2">
        <v>88</v>
      </c>
      <c r="R109" s="2"/>
      <c r="S109" s="2"/>
      <c r="T109" s="2" t="s">
        <v>38</v>
      </c>
    </row>
    <row r="110" spans="1:20" ht="89.25" x14ac:dyDescent="0.25">
      <c r="A110" t="s">
        <v>912</v>
      </c>
      <c r="B110" s="2" t="s">
        <v>596</v>
      </c>
      <c r="C110" s="2" t="s">
        <v>20</v>
      </c>
      <c r="D110" s="2" t="s">
        <v>597</v>
      </c>
      <c r="E110" s="2"/>
      <c r="F110" s="2" t="str">
        <f>HYPERLINK("http://harpersbazaar.com")</f>
        <v>http://harpersbazaar.com</v>
      </c>
      <c r="G110" s="2" t="s">
        <v>598</v>
      </c>
      <c r="H110" s="2" t="str">
        <f>HYPERLINK("https://www.facebook.com/HarpersBazaar")</f>
        <v>https://www.facebook.com/HarpersBazaar</v>
      </c>
      <c r="I110" s="2" t="s">
        <v>599</v>
      </c>
      <c r="J110" s="2"/>
      <c r="K110" s="2" t="str">
        <f>HYPERLINK("https://www.linkedin.com/company/harper's-bazaar")</f>
        <v>https://www.linkedin.com/company/harper's-bazaar</v>
      </c>
      <c r="L110" s="2" t="str">
        <f>HYPERLINK("https://www.pinterest.com/harpersbazaar/")</f>
        <v>https://www.pinterest.com/harpersbazaar/</v>
      </c>
      <c r="M110" s="2"/>
      <c r="N110" s="2" t="s">
        <v>600</v>
      </c>
      <c r="O110" s="2" t="s">
        <v>601</v>
      </c>
      <c r="P110" s="2">
        <v>14701990</v>
      </c>
      <c r="Q110" s="2">
        <v>87</v>
      </c>
      <c r="R110" s="2" t="s">
        <v>142</v>
      </c>
      <c r="S110" s="2"/>
      <c r="T110" s="2" t="s">
        <v>38</v>
      </c>
    </row>
    <row r="111" spans="1:20" ht="89.25" x14ac:dyDescent="0.25">
      <c r="A111" t="s">
        <v>913</v>
      </c>
      <c r="B111" s="2" t="s">
        <v>602</v>
      </c>
      <c r="C111" s="2" t="s">
        <v>20</v>
      </c>
      <c r="D111" s="2" t="s">
        <v>603</v>
      </c>
      <c r="E111" s="2" t="s">
        <v>604</v>
      </c>
      <c r="F111" s="2" t="str">
        <f>HYPERLINK("http://themiddlemarket.com")</f>
        <v>http://themiddlemarket.com</v>
      </c>
      <c r="G111" s="2" t="s">
        <v>605</v>
      </c>
      <c r="H111" s="2" t="str">
        <f>HYPERLINK("https://www.facebook.com/themiddlemarket/")</f>
        <v>https://www.facebook.com/themiddlemarket/</v>
      </c>
      <c r="I111" s="2" t="s">
        <v>606</v>
      </c>
      <c r="J111" s="2"/>
      <c r="K111" s="2" t="str">
        <f>HYPERLINK("https://www.linkedin.com/company/mergers-and-acquisitions---themiddlemarket-com/")</f>
        <v>https://www.linkedin.com/company/mergers-and-acquisitions---themiddlemarket-com/</v>
      </c>
      <c r="L111" s="2"/>
      <c r="M111" s="2"/>
      <c r="N111" s="2"/>
      <c r="O111" s="2" t="s">
        <v>26</v>
      </c>
      <c r="P111" s="2">
        <v>28837</v>
      </c>
      <c r="Q111" s="2">
        <v>50</v>
      </c>
      <c r="R111" s="2" t="s">
        <v>142</v>
      </c>
      <c r="S111" s="2"/>
      <c r="T111" s="2" t="s">
        <v>38</v>
      </c>
    </row>
    <row r="112" spans="1:20" ht="293.25" x14ac:dyDescent="0.25">
      <c r="A112" t="s">
        <v>913</v>
      </c>
      <c r="B112" s="2" t="s">
        <v>607</v>
      </c>
      <c r="C112" s="2" t="s">
        <v>20</v>
      </c>
      <c r="D112" s="2" t="s">
        <v>608</v>
      </c>
      <c r="E112" s="2"/>
      <c r="F112" s="2" t="str">
        <f>HYPERLINK("http://cointelegraph.com/")</f>
        <v>http://cointelegraph.com/</v>
      </c>
      <c r="G112" s="2" t="s">
        <v>609</v>
      </c>
      <c r="H112" s="2" t="str">
        <f>HYPERLINK("https://www.facebook.com/cointelegraph")</f>
        <v>https://www.facebook.com/cointelegraph</v>
      </c>
      <c r="I112" s="2" t="s">
        <v>610</v>
      </c>
      <c r="J112" s="2"/>
      <c r="K112" s="2" t="str">
        <f>HYPERLINK("https://www.linkedin.com/company/cointelegraph")</f>
        <v>https://www.linkedin.com/company/cointelegraph</v>
      </c>
      <c r="L112" s="2"/>
      <c r="M112" s="2"/>
      <c r="N112" s="2"/>
      <c r="O112" s="2" t="s">
        <v>611</v>
      </c>
      <c r="P112" s="2">
        <v>3893784</v>
      </c>
      <c r="Q112" s="2">
        <v>90</v>
      </c>
      <c r="R112" s="2"/>
      <c r="S112" s="2"/>
      <c r="T112" s="2" t="s">
        <v>38</v>
      </c>
    </row>
    <row r="113" spans="1:20" ht="89.25" x14ac:dyDescent="0.25">
      <c r="A113" t="s">
        <v>913</v>
      </c>
      <c r="B113" s="2" t="s">
        <v>612</v>
      </c>
      <c r="C113" s="2" t="s">
        <v>613</v>
      </c>
      <c r="D113" s="2" t="s">
        <v>614</v>
      </c>
      <c r="E113" s="2" t="s">
        <v>615</v>
      </c>
      <c r="F113" s="2" t="str">
        <f>HYPERLINK("http://goerie.com")</f>
        <v>http://goerie.com</v>
      </c>
      <c r="G113" s="2" t="s">
        <v>616</v>
      </c>
      <c r="H113" s="2" t="str">
        <f>HYPERLINK("http://www.facebook.com/GoErie")</f>
        <v>http://www.facebook.com/GoErie</v>
      </c>
      <c r="I113" s="2" t="s">
        <v>617</v>
      </c>
      <c r="J113" s="2"/>
      <c r="K113" s="2" t="str">
        <f>HYPERLINK("https://www.linkedin.com/company/erie-times-news")</f>
        <v>https://www.linkedin.com/company/erie-times-news</v>
      </c>
      <c r="L113" s="2"/>
      <c r="M113" s="2"/>
      <c r="N113" s="2" t="s">
        <v>618</v>
      </c>
      <c r="O113" s="2" t="s">
        <v>26</v>
      </c>
      <c r="P113" s="2">
        <v>383305</v>
      </c>
      <c r="Q113" s="2">
        <v>77</v>
      </c>
      <c r="R113" s="2" t="s">
        <v>27</v>
      </c>
      <c r="S113" s="2" t="s">
        <v>28</v>
      </c>
      <c r="T113" s="2" t="s">
        <v>38</v>
      </c>
    </row>
    <row r="114" spans="1:20" ht="63.75" x14ac:dyDescent="0.25">
      <c r="A114" t="s">
        <v>913</v>
      </c>
      <c r="B114" s="2" t="s">
        <v>619</v>
      </c>
      <c r="C114" s="2" t="s">
        <v>20</v>
      </c>
      <c r="D114" s="2" t="s">
        <v>620</v>
      </c>
      <c r="E114" s="2"/>
      <c r="F114" s="2" t="str">
        <f>HYPERLINK("http://carscoops.com")</f>
        <v>http://carscoops.com</v>
      </c>
      <c r="G114" s="2" t="s">
        <v>621</v>
      </c>
      <c r="H114" s="2" t="str">
        <f>HYPERLINK("https://www.facebook.com/pages/CARSCOOP/49549908024")</f>
        <v>https://www.facebook.com/pages/CARSCOOP/49549908024</v>
      </c>
      <c r="I114" s="2" t="s">
        <v>622</v>
      </c>
      <c r="J114" s="2"/>
      <c r="K114" s="2"/>
      <c r="L114" s="2" t="str">
        <f>HYPERLINK("http://www.pinterest.com/carscoops/")</f>
        <v>http://www.pinterest.com/carscoops/</v>
      </c>
      <c r="M114" s="2"/>
      <c r="N114" s="2"/>
      <c r="O114" s="2" t="s">
        <v>26</v>
      </c>
      <c r="P114" s="2">
        <v>2810792</v>
      </c>
      <c r="Q114" s="2">
        <v>80</v>
      </c>
      <c r="R114" s="2"/>
      <c r="S114" s="2"/>
      <c r="T114" s="2" t="s">
        <v>623</v>
      </c>
    </row>
    <row r="115" spans="1:20" ht="102" x14ac:dyDescent="0.25">
      <c r="A115" t="s">
        <v>913</v>
      </c>
      <c r="B115" s="2" t="s">
        <v>624</v>
      </c>
      <c r="C115" s="2" t="s">
        <v>20</v>
      </c>
      <c r="D115" s="2" t="s">
        <v>625</v>
      </c>
      <c r="E115" s="2" t="s">
        <v>626</v>
      </c>
      <c r="F115" s="2" t="str">
        <f>HYPERLINK("http://motortrend.com/")</f>
        <v>http://motortrend.com/</v>
      </c>
      <c r="G115" s="2" t="s">
        <v>627</v>
      </c>
      <c r="H115" s="2" t="str">
        <f>HYPERLINK("https://www.facebook.com/motortrend")</f>
        <v>https://www.facebook.com/motortrend</v>
      </c>
      <c r="I115" s="2" t="s">
        <v>628</v>
      </c>
      <c r="J115" s="2"/>
      <c r="K115" s="2" t="str">
        <f>HYPERLINK("https://www.linkedin.com/company/motor-trend-group/")</f>
        <v>https://www.linkedin.com/company/motor-trend-group/</v>
      </c>
      <c r="L115" s="2" t="str">
        <f>HYPERLINK("https://www.pinterest.com/motortrend/")</f>
        <v>https://www.pinterest.com/motortrend/</v>
      </c>
      <c r="M115" s="2"/>
      <c r="N115" s="2" t="s">
        <v>629</v>
      </c>
      <c r="O115" s="2" t="s">
        <v>26</v>
      </c>
      <c r="P115" s="2">
        <v>8498045</v>
      </c>
      <c r="Q115" s="2">
        <v>89</v>
      </c>
      <c r="R115" s="2" t="s">
        <v>142</v>
      </c>
      <c r="S115" s="2"/>
      <c r="T115" s="2" t="s">
        <v>38</v>
      </c>
    </row>
    <row r="116" spans="1:20" ht="140.25" x14ac:dyDescent="0.25">
      <c r="A116" t="s">
        <v>913</v>
      </c>
      <c r="B116" s="2" t="s">
        <v>630</v>
      </c>
      <c r="C116" s="2" t="s">
        <v>20</v>
      </c>
      <c r="D116" s="2" t="s">
        <v>631</v>
      </c>
      <c r="E116" s="2" t="s">
        <v>632</v>
      </c>
      <c r="F116" s="2" t="str">
        <f>HYPERLINK("http://hypebeast.com")</f>
        <v>http://hypebeast.com</v>
      </c>
      <c r="G116" s="2" t="s">
        <v>633</v>
      </c>
      <c r="H116" s="2" t="str">
        <f>HYPERLINK("https://www.facebook.com/hypebeast")</f>
        <v>https://www.facebook.com/hypebeast</v>
      </c>
      <c r="I116" s="2" t="s">
        <v>630</v>
      </c>
      <c r="J116" s="2"/>
      <c r="K116" s="2" t="str">
        <f>HYPERLINK("https://www.linkedin.com/company/hypebeast")</f>
        <v>https://www.linkedin.com/company/hypebeast</v>
      </c>
      <c r="L116" s="2" t="str">
        <f>HYPERLINK("https://www.pinterest.com/hypebeast/")</f>
        <v>https://www.pinterest.com/hypebeast/</v>
      </c>
      <c r="M116" s="2" t="str">
        <f>HYPERLINK("https://www.flickr.com/photos/tags/hypebeast")</f>
        <v>https://www.flickr.com/photos/tags/hypebeast</v>
      </c>
      <c r="N116" s="2"/>
      <c r="O116" s="2" t="s">
        <v>634</v>
      </c>
      <c r="P116" s="2">
        <v>5516422</v>
      </c>
      <c r="Q116" s="2">
        <v>89</v>
      </c>
      <c r="R116" s="2"/>
      <c r="S116" s="2"/>
      <c r="T116" s="2" t="s">
        <v>635</v>
      </c>
    </row>
    <row r="117" spans="1:20" ht="89.25" x14ac:dyDescent="0.25">
      <c r="A117" t="s">
        <v>913</v>
      </c>
      <c r="B117" s="2" t="s">
        <v>636</v>
      </c>
      <c r="C117" s="2" t="s">
        <v>76</v>
      </c>
      <c r="D117" s="2" t="s">
        <v>637</v>
      </c>
      <c r="E117" s="2" t="s">
        <v>638</v>
      </c>
      <c r="F117" s="2" t="str">
        <f>HYPERLINK("http://whittierdailynews.com")</f>
        <v>http://whittierdailynews.com</v>
      </c>
      <c r="G117" s="2" t="s">
        <v>639</v>
      </c>
      <c r="H117" s="2" t="str">
        <f>HYPERLINK("https://www.facebook.com/whittierdailynews")</f>
        <v>https://www.facebook.com/whittierdailynews</v>
      </c>
      <c r="I117" s="2" t="s">
        <v>640</v>
      </c>
      <c r="J117" s="2"/>
      <c r="K117" s="2" t="str">
        <f>HYPERLINK("https://www.linkedin.com/company/whittier-daily-news")</f>
        <v>https://www.linkedin.com/company/whittier-daily-news</v>
      </c>
      <c r="L117" s="2"/>
      <c r="M117" s="2"/>
      <c r="N117" s="2" t="s">
        <v>641</v>
      </c>
      <c r="O117" s="2" t="s">
        <v>26</v>
      </c>
      <c r="P117" s="2">
        <v>45406</v>
      </c>
      <c r="Q117" s="2">
        <v>70</v>
      </c>
      <c r="R117" s="2" t="s">
        <v>27</v>
      </c>
      <c r="S117" s="2" t="s">
        <v>28</v>
      </c>
      <c r="T117" s="2" t="s">
        <v>38</v>
      </c>
    </row>
    <row r="118" spans="1:20" ht="114.75" x14ac:dyDescent="0.25">
      <c r="A118" t="s">
        <v>912</v>
      </c>
      <c r="B118" s="2" t="s">
        <v>642</v>
      </c>
      <c r="C118" s="2" t="s">
        <v>20</v>
      </c>
      <c r="D118" s="2" t="s">
        <v>643</v>
      </c>
      <c r="E118" s="2" t="s">
        <v>644</v>
      </c>
      <c r="F118" s="2" t="str">
        <f>HYPERLINK("http://penews.com")</f>
        <v>http://penews.com</v>
      </c>
      <c r="G118" s="2" t="s">
        <v>645</v>
      </c>
      <c r="H118" s="2"/>
      <c r="I118" s="2" t="s">
        <v>646</v>
      </c>
      <c r="J118" s="2"/>
      <c r="K118" s="2"/>
      <c r="L118" s="2"/>
      <c r="M118" s="2"/>
      <c r="N118" s="2"/>
      <c r="O118" s="2" t="s">
        <v>26</v>
      </c>
      <c r="P118" s="2">
        <v>23151</v>
      </c>
      <c r="Q118" s="2">
        <v>45</v>
      </c>
      <c r="R118" s="2"/>
      <c r="S118" s="2"/>
      <c r="T118" s="2" t="s">
        <v>29</v>
      </c>
    </row>
    <row r="119" spans="1:20" ht="89.25" x14ac:dyDescent="0.25">
      <c r="A119" t="s">
        <v>913</v>
      </c>
      <c r="B119" s="2" t="s">
        <v>647</v>
      </c>
      <c r="C119" s="2" t="s">
        <v>20</v>
      </c>
      <c r="D119" s="2" t="s">
        <v>648</v>
      </c>
      <c r="E119" s="2" t="s">
        <v>649</v>
      </c>
      <c r="F119" s="2" t="str">
        <f>HYPERLINK("http://kbb.com")</f>
        <v>http://kbb.com</v>
      </c>
      <c r="G119" s="2" t="s">
        <v>650</v>
      </c>
      <c r="H119" s="2" t="str">
        <f>HYPERLINK("https://www.facebook.com/kbb")</f>
        <v>https://www.facebook.com/kbb</v>
      </c>
      <c r="I119" s="2" t="s">
        <v>651</v>
      </c>
      <c r="J119" s="2"/>
      <c r="K119" s="2" t="str">
        <f>HYPERLINK("https://www.linkedin.com/company-beta/8744/")</f>
        <v>https://www.linkedin.com/company-beta/8744/</v>
      </c>
      <c r="L119" s="2" t="str">
        <f>HYPERLINK("https://www.pinterest.com/kelleybluebook/")</f>
        <v>https://www.pinterest.com/kelleybluebook/</v>
      </c>
      <c r="M119" s="2"/>
      <c r="N119" s="2"/>
      <c r="O119" s="2" t="s">
        <v>26</v>
      </c>
      <c r="P119" s="2">
        <v>14408858</v>
      </c>
      <c r="Q119" s="2">
        <v>75</v>
      </c>
      <c r="R119" s="2"/>
      <c r="S119" s="2"/>
      <c r="T119" s="2" t="s">
        <v>38</v>
      </c>
    </row>
    <row r="120" spans="1:20" ht="89.25" x14ac:dyDescent="0.25">
      <c r="A120" t="s">
        <v>910</v>
      </c>
      <c r="B120" s="2" t="s">
        <v>652</v>
      </c>
      <c r="C120" s="2" t="s">
        <v>20</v>
      </c>
      <c r="D120" s="2"/>
      <c r="E120" s="2" t="s">
        <v>653</v>
      </c>
      <c r="F120" s="2" t="str">
        <f>HYPERLINK("http://fox.com")</f>
        <v>http://fox.com</v>
      </c>
      <c r="G120" s="2" t="s">
        <v>91</v>
      </c>
      <c r="H120" s="2" t="str">
        <f>HYPERLINK("https://www.facebook.com/FOXTV")</f>
        <v>https://www.facebook.com/FOXTV</v>
      </c>
      <c r="I120" s="2" t="s">
        <v>654</v>
      </c>
      <c r="J120" s="2"/>
      <c r="K120" s="2" t="str">
        <f>HYPERLINK("https://www.linkedin.com/company/fox-corporation")</f>
        <v>https://www.linkedin.com/company/fox-corporation</v>
      </c>
      <c r="L120" s="2"/>
      <c r="M120" s="2"/>
      <c r="N120" s="2"/>
      <c r="O120" s="2" t="s">
        <v>26</v>
      </c>
      <c r="P120" s="2">
        <v>1269557</v>
      </c>
      <c r="Q120" s="2">
        <v>88</v>
      </c>
      <c r="R120" s="2"/>
      <c r="S120" s="2"/>
      <c r="T120" s="2" t="s">
        <v>38</v>
      </c>
    </row>
    <row r="121" spans="1:20" ht="102" x14ac:dyDescent="0.25">
      <c r="A121" t="s">
        <v>913</v>
      </c>
      <c r="B121" s="2" t="s">
        <v>655</v>
      </c>
      <c r="C121" s="2" t="s">
        <v>20</v>
      </c>
      <c r="D121" s="2" t="s">
        <v>656</v>
      </c>
      <c r="E121" s="2" t="s">
        <v>657</v>
      </c>
      <c r="F121" s="2" t="str">
        <f>HYPERLINK("http://vault.com")</f>
        <v>http://vault.com</v>
      </c>
      <c r="G121" s="2" t="s">
        <v>658</v>
      </c>
      <c r="H121" s="2" t="str">
        <f>HYPERLINK("https://www.facebook.com/Vault/")</f>
        <v>https://www.facebook.com/Vault/</v>
      </c>
      <c r="I121" s="2" t="s">
        <v>659</v>
      </c>
      <c r="J121" s="2"/>
      <c r="K121" s="2"/>
      <c r="L121" s="2"/>
      <c r="M121" s="2"/>
      <c r="N121" s="2"/>
      <c r="O121" s="2" t="s">
        <v>26</v>
      </c>
      <c r="P121" s="2">
        <v>244670</v>
      </c>
      <c r="Q121" s="2">
        <v>64</v>
      </c>
      <c r="R121" s="2"/>
      <c r="S121" s="2"/>
      <c r="T121" s="2" t="s">
        <v>38</v>
      </c>
    </row>
    <row r="122" spans="1:20" ht="51" x14ac:dyDescent="0.25">
      <c r="A122" t="s">
        <v>912</v>
      </c>
      <c r="B122" s="2" t="s">
        <v>660</v>
      </c>
      <c r="C122" s="2" t="s">
        <v>20</v>
      </c>
      <c r="D122" s="2" t="s">
        <v>661</v>
      </c>
      <c r="E122" s="2"/>
      <c r="F122" s="2" t="str">
        <f>HYPERLINK("http://wsimag.com")</f>
        <v>http://wsimag.com</v>
      </c>
      <c r="G122" s="2"/>
      <c r="H122" s="2" t="str">
        <f>HYPERLINK("https://www.facebook.com/WSImagazine")</f>
        <v>https://www.facebook.com/WSImagazine</v>
      </c>
      <c r="I122" s="2" t="s">
        <v>662</v>
      </c>
      <c r="J122" s="2"/>
      <c r="K122" s="2"/>
      <c r="L122" s="2"/>
      <c r="M122" s="2"/>
      <c r="N122" s="2"/>
      <c r="O122" s="2" t="s">
        <v>663</v>
      </c>
      <c r="P122" s="2">
        <v>2316</v>
      </c>
      <c r="Q122" s="2">
        <v>65</v>
      </c>
      <c r="R122" s="2"/>
      <c r="S122" s="2"/>
      <c r="T122" s="2"/>
    </row>
    <row r="123" spans="1:20" ht="63.75" x14ac:dyDescent="0.25">
      <c r="A123" t="s">
        <v>912</v>
      </c>
      <c r="B123" s="2" t="s">
        <v>664</v>
      </c>
      <c r="C123" s="2" t="s">
        <v>20</v>
      </c>
      <c r="D123" s="2" t="s">
        <v>665</v>
      </c>
      <c r="E123" s="2" t="s">
        <v>666</v>
      </c>
      <c r="F123" s="2" t="str">
        <f>HYPERLINK("http://privateequityinternational.com")</f>
        <v>http://privateequityinternational.com</v>
      </c>
      <c r="G123" s="2" t="s">
        <v>667</v>
      </c>
      <c r="H123" s="2"/>
      <c r="I123" s="2" t="s">
        <v>668</v>
      </c>
      <c r="J123" s="2"/>
      <c r="K123" s="2" t="str">
        <f>HYPERLINK("https://www.linkedin.com/company/private-equity-international")</f>
        <v>https://www.linkedin.com/company/private-equity-international</v>
      </c>
      <c r="L123" s="2"/>
      <c r="M123" s="2"/>
      <c r="N123" s="2"/>
      <c r="O123" s="2" t="s">
        <v>26</v>
      </c>
      <c r="P123" s="2">
        <v>45702</v>
      </c>
      <c r="Q123" s="2">
        <v>49</v>
      </c>
      <c r="R123" s="2" t="s">
        <v>142</v>
      </c>
      <c r="S123" s="2"/>
      <c r="T123" s="2" t="s">
        <v>29</v>
      </c>
    </row>
    <row r="124" spans="1:20" ht="89.25" x14ac:dyDescent="0.25">
      <c r="A124" t="s">
        <v>912</v>
      </c>
      <c r="B124" s="2" t="s">
        <v>669</v>
      </c>
      <c r="C124" s="2" t="s">
        <v>20</v>
      </c>
      <c r="D124" s="2" t="s">
        <v>670</v>
      </c>
      <c r="E124" s="2" t="s">
        <v>671</v>
      </c>
      <c r="F124" s="2" t="str">
        <f>HYPERLINK("https://pitchbook.com/news")</f>
        <v>https://pitchbook.com/news</v>
      </c>
      <c r="G124" s="2" t="s">
        <v>672</v>
      </c>
      <c r="H124" s="2" t="str">
        <f>HYPERLINK("https://www.facebook.com/PitchBookData")</f>
        <v>https://www.facebook.com/PitchBookData</v>
      </c>
      <c r="I124" s="2" t="s">
        <v>669</v>
      </c>
      <c r="J124" s="2"/>
      <c r="K124" s="2" t="str">
        <f>HYPERLINK("https://www.linkedin.com/company-beta/642128/")</f>
        <v>https://www.linkedin.com/company-beta/642128/</v>
      </c>
      <c r="L124" s="2"/>
      <c r="M124" s="2"/>
      <c r="N124" s="2"/>
      <c r="O124" s="2" t="s">
        <v>26</v>
      </c>
      <c r="P124" s="2">
        <v>1441303</v>
      </c>
      <c r="Q124" s="2">
        <v>69</v>
      </c>
      <c r="R124" s="2"/>
      <c r="S124" s="2"/>
      <c r="T124" s="2" t="s">
        <v>38</v>
      </c>
    </row>
    <row r="125" spans="1:20" ht="89.25" x14ac:dyDescent="0.25">
      <c r="A125" t="s">
        <v>913</v>
      </c>
      <c r="B125" s="2" t="s">
        <v>673</v>
      </c>
      <c r="C125" s="2" t="s">
        <v>20</v>
      </c>
      <c r="D125" s="2" t="s">
        <v>674</v>
      </c>
      <c r="E125" s="2" t="s">
        <v>675</v>
      </c>
      <c r="F125" s="2" t="str">
        <f>HYPERLINK("http://calmatters.org")</f>
        <v>http://calmatters.org</v>
      </c>
      <c r="G125" s="2" t="s">
        <v>676</v>
      </c>
      <c r="H125" s="2" t="str">
        <f>HYPERLINK("https://www.facebook.com/calmatters")</f>
        <v>https://www.facebook.com/calmatters</v>
      </c>
      <c r="I125" s="2" t="s">
        <v>677</v>
      </c>
      <c r="J125" s="2"/>
      <c r="K125" s="2" t="str">
        <f>HYPERLINK("https://www.linkedin.com/company/calmatters")</f>
        <v>https://www.linkedin.com/company/calmatters</v>
      </c>
      <c r="L125" s="2"/>
      <c r="M125" s="2"/>
      <c r="N125" s="2"/>
      <c r="O125" s="2" t="s">
        <v>114</v>
      </c>
      <c r="P125" s="2">
        <v>923627</v>
      </c>
      <c r="Q125" s="2">
        <v>69</v>
      </c>
      <c r="R125" s="2"/>
      <c r="S125" s="2"/>
      <c r="T125" s="2" t="s">
        <v>38</v>
      </c>
    </row>
    <row r="126" spans="1:20" ht="63.75" x14ac:dyDescent="0.25">
      <c r="A126" t="s">
        <v>913</v>
      </c>
      <c r="B126" s="2" t="s">
        <v>678</v>
      </c>
      <c r="C126" s="2" t="s">
        <v>20</v>
      </c>
      <c r="D126" s="2"/>
      <c r="E126" s="2" t="s">
        <v>679</v>
      </c>
      <c r="F126" s="2" t="str">
        <f>HYPERLINK("http://cordcuttersnews.com")</f>
        <v>http://cordcuttersnews.com</v>
      </c>
      <c r="G126" s="2" t="s">
        <v>680</v>
      </c>
      <c r="H126" s="2" t="str">
        <f>HYPERLINK("https://www.facebook.com/CordCuttersNews/")</f>
        <v>https://www.facebook.com/CordCuttersNews/</v>
      </c>
      <c r="I126" s="2" t="s">
        <v>681</v>
      </c>
      <c r="J126" s="2"/>
      <c r="K126" s="2"/>
      <c r="L126" s="2"/>
      <c r="M126" s="2"/>
      <c r="N126" s="2"/>
      <c r="O126" s="2" t="s">
        <v>26</v>
      </c>
      <c r="P126" s="2">
        <v>2594786</v>
      </c>
      <c r="Q126" s="2">
        <v>76</v>
      </c>
      <c r="R126" s="2"/>
      <c r="S126" s="2"/>
      <c r="T126" s="2" t="s">
        <v>38</v>
      </c>
    </row>
    <row r="127" spans="1:20" ht="204" x14ac:dyDescent="0.25">
      <c r="A127" t="s">
        <v>910</v>
      </c>
      <c r="B127" s="2" t="s">
        <v>682</v>
      </c>
      <c r="C127" s="2" t="s">
        <v>20</v>
      </c>
      <c r="D127" s="2" t="s">
        <v>683</v>
      </c>
      <c r="E127" s="2" t="s">
        <v>684</v>
      </c>
      <c r="F127" s="2" t="str">
        <f>HYPERLINK("http://politico.eu")</f>
        <v>http://politico.eu</v>
      </c>
      <c r="G127" s="2" t="s">
        <v>685</v>
      </c>
      <c r="H127" s="2" t="str">
        <f>HYPERLINK("https://www.facebook.com/POLITICOeu")</f>
        <v>https://www.facebook.com/POLITICOeu</v>
      </c>
      <c r="I127" s="2" t="s">
        <v>686</v>
      </c>
      <c r="J127" s="2"/>
      <c r="K127" s="2" t="str">
        <f>HYPERLINK("https://www.linkedin.com/company/politico-europe")</f>
        <v>https://www.linkedin.com/company/politico-europe</v>
      </c>
      <c r="L127" s="2" t="str">
        <f>HYPERLINK("https://www.pinterest.com/politico/")</f>
        <v>https://www.pinterest.com/politico/</v>
      </c>
      <c r="M127" s="2" t="str">
        <f>HYPERLINK("https://www.flickr.com/photos/europeanvoice")</f>
        <v>https://www.flickr.com/photos/europeanvoice</v>
      </c>
      <c r="N127" s="2"/>
      <c r="O127" s="2" t="s">
        <v>687</v>
      </c>
      <c r="P127" s="2">
        <v>4136768</v>
      </c>
      <c r="Q127" s="2">
        <v>91</v>
      </c>
      <c r="R127" s="2" t="s">
        <v>36</v>
      </c>
      <c r="S127" s="2"/>
      <c r="T127" s="2" t="s">
        <v>688</v>
      </c>
    </row>
    <row r="128" spans="1:20" ht="89.25" x14ac:dyDescent="0.25">
      <c r="A128" t="s">
        <v>913</v>
      </c>
      <c r="B128" s="2" t="s">
        <v>689</v>
      </c>
      <c r="C128" s="2" t="s">
        <v>690</v>
      </c>
      <c r="D128" s="2" t="s">
        <v>691</v>
      </c>
      <c r="E128" s="2" t="s">
        <v>692</v>
      </c>
      <c r="F128" s="2" t="str">
        <f>HYPERLINK("http://sandiegouniontribune.com")</f>
        <v>http://sandiegouniontribune.com</v>
      </c>
      <c r="G128" s="2" t="s">
        <v>693</v>
      </c>
      <c r="H128" s="2" t="str">
        <f>HYPERLINK("https://www.facebook.com/SanDiegoUnionTribune")</f>
        <v>https://www.facebook.com/SanDiegoUnionTribune</v>
      </c>
      <c r="I128" s="2" t="s">
        <v>694</v>
      </c>
      <c r="J128" s="2"/>
      <c r="K128" s="2" t="str">
        <f>HYPERLINK("https://www.linkedin.com/company/the-san-diego-union-tribune")</f>
        <v>https://www.linkedin.com/company/the-san-diego-union-tribune</v>
      </c>
      <c r="L128" s="2"/>
      <c r="M128" s="2"/>
      <c r="N128" s="2" t="s">
        <v>695</v>
      </c>
      <c r="O128" s="2" t="s">
        <v>114</v>
      </c>
      <c r="P128" s="2">
        <v>3272866</v>
      </c>
      <c r="Q128" s="2">
        <v>84</v>
      </c>
      <c r="R128" s="2" t="s">
        <v>27</v>
      </c>
      <c r="S128" s="2" t="s">
        <v>28</v>
      </c>
      <c r="T128" s="2" t="s">
        <v>38</v>
      </c>
    </row>
    <row r="129" spans="1:20" ht="102" x14ac:dyDescent="0.25">
      <c r="A129" t="s">
        <v>913</v>
      </c>
      <c r="B129" s="2" t="s">
        <v>696</v>
      </c>
      <c r="C129" s="2" t="s">
        <v>20</v>
      </c>
      <c r="D129" s="2" t="s">
        <v>697</v>
      </c>
      <c r="E129" s="2" t="s">
        <v>698</v>
      </c>
      <c r="F129" s="2" t="str">
        <f>HYPERLINK("http://thedrive.com")</f>
        <v>http://thedrive.com</v>
      </c>
      <c r="G129" s="2" t="s">
        <v>699</v>
      </c>
      <c r="H129" s="2" t="str">
        <f>HYPERLINK("https://www.facebook.com/thedrive")</f>
        <v>https://www.facebook.com/thedrive</v>
      </c>
      <c r="I129" s="2" t="s">
        <v>700</v>
      </c>
      <c r="J129" s="2"/>
      <c r="K129" s="2"/>
      <c r="L129" s="2" t="str">
        <f>HYPERLINK("https://www.pinterest.com/thedrive0042/")</f>
        <v>https://www.pinterest.com/thedrive0042/</v>
      </c>
      <c r="M129" s="2"/>
      <c r="N129" s="2"/>
      <c r="O129" s="2" t="s">
        <v>26</v>
      </c>
      <c r="P129" s="2">
        <v>9010381</v>
      </c>
      <c r="Q129" s="2">
        <v>84</v>
      </c>
      <c r="R129" s="2"/>
      <c r="S129" s="2"/>
      <c r="T129" s="2" t="s">
        <v>38</v>
      </c>
    </row>
    <row r="130" spans="1:20" ht="76.5" x14ac:dyDescent="0.25">
      <c r="A130" t="s">
        <v>913</v>
      </c>
      <c r="B130" s="2" t="s">
        <v>701</v>
      </c>
      <c r="C130" s="2" t="s">
        <v>20</v>
      </c>
      <c r="D130" s="2" t="s">
        <v>702</v>
      </c>
      <c r="E130" s="2" t="s">
        <v>703</v>
      </c>
      <c r="F130" s="2" t="str">
        <f>HYPERLINK("http://statnews.com")</f>
        <v>http://statnews.com</v>
      </c>
      <c r="G130" s="2" t="s">
        <v>704</v>
      </c>
      <c r="H130" s="2" t="str">
        <f>HYPERLINK("https://www.facebook.com/statnews")</f>
        <v>https://www.facebook.com/statnews</v>
      </c>
      <c r="I130" s="2" t="s">
        <v>705</v>
      </c>
      <c r="J130" s="2"/>
      <c r="K130" s="2" t="str">
        <f>HYPERLINK("https://www.linkedin.com/company/stat-news")</f>
        <v>https://www.linkedin.com/company/stat-news</v>
      </c>
      <c r="L130" s="2"/>
      <c r="M130" s="2"/>
      <c r="N130" s="2"/>
      <c r="O130" s="2" t="s">
        <v>26</v>
      </c>
      <c r="P130" s="2">
        <v>1527156</v>
      </c>
      <c r="Q130" s="2">
        <v>85</v>
      </c>
      <c r="R130" s="2"/>
      <c r="S130" s="2"/>
      <c r="T130" s="2" t="s">
        <v>38</v>
      </c>
    </row>
    <row r="131" spans="1:20" ht="76.5" x14ac:dyDescent="0.25">
      <c r="A131" t="s">
        <v>913</v>
      </c>
      <c r="B131" s="2" t="s">
        <v>706</v>
      </c>
      <c r="C131" s="2" t="s">
        <v>20</v>
      </c>
      <c r="D131" s="2" t="s">
        <v>707</v>
      </c>
      <c r="E131" s="2"/>
      <c r="F131" s="2" t="str">
        <f>HYPERLINK("http://theintercept.com")</f>
        <v>http://theintercept.com</v>
      </c>
      <c r="G131" s="2" t="s">
        <v>708</v>
      </c>
      <c r="H131" s="2" t="str">
        <f>HYPERLINK("https://www.facebook.com/theinterceptflm")</f>
        <v>https://www.facebook.com/theinterceptflm</v>
      </c>
      <c r="I131" s="2" t="s">
        <v>709</v>
      </c>
      <c r="J131" s="2"/>
      <c r="K131" s="2"/>
      <c r="L131" s="2"/>
      <c r="M131" s="2"/>
      <c r="N131" s="2"/>
      <c r="O131" s="2" t="s">
        <v>710</v>
      </c>
      <c r="P131" s="2">
        <v>2569844</v>
      </c>
      <c r="Q131" s="2">
        <v>88</v>
      </c>
      <c r="R131" s="2"/>
      <c r="S131" s="2"/>
      <c r="T131" s="2" t="s">
        <v>38</v>
      </c>
    </row>
    <row r="132" spans="1:20" ht="102" x14ac:dyDescent="0.25">
      <c r="A132" t="s">
        <v>912</v>
      </c>
      <c r="B132" s="2" t="s">
        <v>711</v>
      </c>
      <c r="C132" s="2" t="s">
        <v>20</v>
      </c>
      <c r="D132" s="2"/>
      <c r="E132" s="2"/>
      <c r="F132" s="2" t="str">
        <f>HYPERLINK("http://dailywire.com")</f>
        <v>http://dailywire.com</v>
      </c>
      <c r="G132" s="2" t="s">
        <v>712</v>
      </c>
      <c r="H132" s="2" t="str">
        <f>HYPERLINK("https://www.facebook.com/DailyWire/")</f>
        <v>https://www.facebook.com/DailyWire/</v>
      </c>
      <c r="I132" s="2" t="s">
        <v>713</v>
      </c>
      <c r="J132" s="2"/>
      <c r="K132" s="2"/>
      <c r="L132" s="2"/>
      <c r="M132" s="2"/>
      <c r="N132" s="2"/>
      <c r="O132" s="2" t="s">
        <v>26</v>
      </c>
      <c r="P132" s="2">
        <v>4931378</v>
      </c>
      <c r="Q132" s="2">
        <v>82</v>
      </c>
      <c r="R132" s="2"/>
      <c r="S132" s="2"/>
      <c r="T132" s="2" t="s">
        <v>38</v>
      </c>
    </row>
    <row r="133" spans="1:20" ht="76.5" x14ac:dyDescent="0.25">
      <c r="A133" t="s">
        <v>913</v>
      </c>
      <c r="B133" s="2" t="s">
        <v>714</v>
      </c>
      <c r="C133" s="2" t="s">
        <v>20</v>
      </c>
      <c r="D133" s="2" t="s">
        <v>715</v>
      </c>
      <c r="E133" s="2" t="s">
        <v>32</v>
      </c>
      <c r="F133" s="2" t="str">
        <f>HYPERLINK("http://bloomberg.com/live")</f>
        <v>http://bloomberg.com/live</v>
      </c>
      <c r="G133" s="2" t="s">
        <v>716</v>
      </c>
      <c r="H133" s="2" t="str">
        <f>HYPERLINK("https://www.facebook.com/BloombergTelevision")</f>
        <v>https://www.facebook.com/BloombergTelevision</v>
      </c>
      <c r="I133" s="2" t="s">
        <v>717</v>
      </c>
      <c r="J133" s="2"/>
      <c r="K133" s="2" t="str">
        <f>HYPERLINK("https://www.linkedin.com/company/bloomberg-lp")</f>
        <v>https://www.linkedin.com/company/bloomberg-lp</v>
      </c>
      <c r="L133" s="2"/>
      <c r="M133" s="2"/>
      <c r="N133" s="2"/>
      <c r="O133" s="2" t="s">
        <v>26</v>
      </c>
      <c r="P133" s="2">
        <v>28503276</v>
      </c>
      <c r="Q133" s="2">
        <v>94</v>
      </c>
      <c r="R133" s="2"/>
      <c r="S133" s="2"/>
      <c r="T133" s="2" t="s">
        <v>38</v>
      </c>
    </row>
    <row r="134" spans="1:20" ht="114.75" x14ac:dyDescent="0.25">
      <c r="A134" t="s">
        <v>912</v>
      </c>
      <c r="B134" s="2" t="s">
        <v>718</v>
      </c>
      <c r="C134" s="2" t="s">
        <v>20</v>
      </c>
      <c r="D134" s="2"/>
      <c r="E134" s="2" t="s">
        <v>719</v>
      </c>
      <c r="F134" s="2" t="str">
        <f>HYPERLINK("http://theathletic.com")</f>
        <v>http://theathletic.com</v>
      </c>
      <c r="G134" s="2" t="s">
        <v>720</v>
      </c>
      <c r="H134" s="2" t="str">
        <f>HYPERLINK("http://facebook.com/TheAthleticChicago")</f>
        <v>http://facebook.com/TheAthleticChicago</v>
      </c>
      <c r="I134" s="2" t="s">
        <v>721</v>
      </c>
      <c r="J134" s="2"/>
      <c r="K134" s="2" t="str">
        <f>HYPERLINK("https://www.linkedin.com/company/the-athletic-media-company")</f>
        <v>https://www.linkedin.com/company/the-athletic-media-company</v>
      </c>
      <c r="L134" s="2"/>
      <c r="M134" s="2"/>
      <c r="N134" s="2"/>
      <c r="O134" s="2" t="s">
        <v>26</v>
      </c>
      <c r="P134" s="2">
        <v>13831253</v>
      </c>
      <c r="Q134" s="2">
        <v>82</v>
      </c>
      <c r="R134" s="2"/>
      <c r="S134" s="2"/>
      <c r="T134" s="2" t="s">
        <v>38</v>
      </c>
    </row>
    <row r="135" spans="1:20" ht="76.5" x14ac:dyDescent="0.25">
      <c r="A135" t="s">
        <v>913</v>
      </c>
      <c r="B135" s="2" t="s">
        <v>722</v>
      </c>
      <c r="C135" s="2" t="s">
        <v>20</v>
      </c>
      <c r="D135" s="2" t="s">
        <v>723</v>
      </c>
      <c r="E135" s="2" t="s">
        <v>724</v>
      </c>
      <c r="F135" s="2" t="str">
        <f>HYPERLINK("http://marketwatchmag.com")</f>
        <v>http://marketwatchmag.com</v>
      </c>
      <c r="G135" s="2" t="s">
        <v>725</v>
      </c>
      <c r="H135" s="2" t="str">
        <f>HYPERLINK("https://www.facebook.com/shankenmwmag/timeline")</f>
        <v>https://www.facebook.com/shankenmwmag/timeline</v>
      </c>
      <c r="I135" s="2" t="s">
        <v>726</v>
      </c>
      <c r="J135" s="2"/>
      <c r="K135" s="2" t="str">
        <f>HYPERLINK("https://www.linkedin.com/company/market-watch-magazine")</f>
        <v>https://www.linkedin.com/company/market-watch-magazine</v>
      </c>
      <c r="L135" s="2"/>
      <c r="M135" s="2"/>
      <c r="N135" s="2" t="s">
        <v>564</v>
      </c>
      <c r="O135" s="2" t="s">
        <v>26</v>
      </c>
      <c r="P135" s="2">
        <v>7519</v>
      </c>
      <c r="Q135" s="2">
        <v>48</v>
      </c>
      <c r="R135" s="2"/>
      <c r="S135" s="2"/>
      <c r="T135" s="2" t="s">
        <v>38</v>
      </c>
    </row>
    <row r="136" spans="1:20" ht="102" x14ac:dyDescent="0.25">
      <c r="A136" t="s">
        <v>913</v>
      </c>
      <c r="B136" s="2" t="s">
        <v>727</v>
      </c>
      <c r="C136" s="2" t="s">
        <v>20</v>
      </c>
      <c r="D136" s="2" t="s">
        <v>728</v>
      </c>
      <c r="E136" s="2"/>
      <c r="F136" s="2" t="str">
        <f>HYPERLINK("http://theringer.com")</f>
        <v>http://theringer.com</v>
      </c>
      <c r="G136" s="2" t="s">
        <v>729</v>
      </c>
      <c r="H136" s="2" t="str">
        <f>HYPERLINK("http://facebook.com/ringer")</f>
        <v>http://facebook.com/ringer</v>
      </c>
      <c r="I136" s="2" t="s">
        <v>730</v>
      </c>
      <c r="J136" s="2"/>
      <c r="K136" s="2" t="str">
        <f>HYPERLINK("https://www.linkedin.com/company/the-ringer")</f>
        <v>https://www.linkedin.com/company/the-ringer</v>
      </c>
      <c r="L136" s="2"/>
      <c r="M136" s="2"/>
      <c r="N136" s="2"/>
      <c r="O136" s="2" t="s">
        <v>26</v>
      </c>
      <c r="P136" s="2">
        <v>2710021</v>
      </c>
      <c r="Q136" s="2">
        <v>82</v>
      </c>
      <c r="R136" s="2"/>
      <c r="S136" s="2"/>
      <c r="T136" s="2" t="s">
        <v>38</v>
      </c>
    </row>
    <row r="137" spans="1:20" ht="76.5" x14ac:dyDescent="0.25">
      <c r="A137" t="s">
        <v>912</v>
      </c>
      <c r="B137" s="2" t="s">
        <v>731</v>
      </c>
      <c r="C137" s="2" t="s">
        <v>20</v>
      </c>
      <c r="D137" s="2" t="s">
        <v>732</v>
      </c>
      <c r="E137" s="2" t="s">
        <v>32</v>
      </c>
      <c r="F137" s="2" t="str">
        <f>HYPERLINK("http://bloomberg.com/audio")</f>
        <v>http://bloomberg.com/audio</v>
      </c>
      <c r="G137" s="2" t="s">
        <v>733</v>
      </c>
      <c r="H137" s="2" t="str">
        <f>HYPERLINK("https://web.facebook.com/BloombergRadio")</f>
        <v>https://web.facebook.com/BloombergRadio</v>
      </c>
      <c r="I137" s="2" t="s">
        <v>106</v>
      </c>
      <c r="J137" s="2"/>
      <c r="K137" s="2" t="str">
        <f>HYPERLINK("https://www.linkedin.com/company/bloomberg-lp")</f>
        <v>https://www.linkedin.com/company/bloomberg-lp</v>
      </c>
      <c r="L137" s="2"/>
      <c r="M137" s="2"/>
      <c r="N137" s="2"/>
      <c r="O137" s="2" t="s">
        <v>26</v>
      </c>
      <c r="P137" s="2">
        <v>28503276</v>
      </c>
      <c r="Q137" s="2">
        <v>94</v>
      </c>
      <c r="R137" s="2"/>
      <c r="S137" s="2"/>
      <c r="T137" s="2" t="s">
        <v>38</v>
      </c>
    </row>
    <row r="138" spans="1:20" ht="89.25" x14ac:dyDescent="0.25">
      <c r="A138" t="s">
        <v>913</v>
      </c>
      <c r="B138" s="2" t="s">
        <v>734</v>
      </c>
      <c r="C138" s="2" t="s">
        <v>368</v>
      </c>
      <c r="D138" s="2"/>
      <c r="E138" s="2" t="s">
        <v>370</v>
      </c>
      <c r="F138" s="2" t="str">
        <f>HYPERLINK("http://syracuse.com")</f>
        <v>http://syracuse.com</v>
      </c>
      <c r="G138" s="2" t="s">
        <v>371</v>
      </c>
      <c r="H138" s="2" t="str">
        <f>HYPERLINK("https://www.facebook.com/syracusecom")</f>
        <v>https://www.facebook.com/syracusecom</v>
      </c>
      <c r="I138" s="2" t="s">
        <v>735</v>
      </c>
      <c r="J138" s="2"/>
      <c r="K138" s="2" t="str">
        <f>HYPERLINK("https://www.linkedin.com/company/731112")</f>
        <v>https://www.linkedin.com/company/731112</v>
      </c>
      <c r="L138" s="2"/>
      <c r="M138" s="2"/>
      <c r="N138" s="2"/>
      <c r="O138" s="2" t="s">
        <v>26</v>
      </c>
      <c r="P138" s="2">
        <v>2393689</v>
      </c>
      <c r="Q138" s="2">
        <v>80</v>
      </c>
      <c r="R138" s="2"/>
      <c r="S138" s="2"/>
      <c r="T138" s="2" t="s">
        <v>38</v>
      </c>
    </row>
    <row r="139" spans="1:20" ht="102" x14ac:dyDescent="0.25">
      <c r="A139" t="s">
        <v>912</v>
      </c>
      <c r="B139" s="2" t="s">
        <v>736</v>
      </c>
      <c r="C139" s="2" t="s">
        <v>20</v>
      </c>
      <c r="D139" s="2" t="s">
        <v>737</v>
      </c>
      <c r="E139" s="2" t="s">
        <v>738</v>
      </c>
      <c r="F139" s="2" t="str">
        <f>HYPERLINK("http://axios.com")</f>
        <v>http://axios.com</v>
      </c>
      <c r="G139" s="2" t="s">
        <v>739</v>
      </c>
      <c r="H139" s="2" t="str">
        <f>HYPERLINK("http://www.facebook.com/axiosnews")</f>
        <v>http://www.facebook.com/axiosnews</v>
      </c>
      <c r="I139" s="2" t="s">
        <v>740</v>
      </c>
      <c r="J139" s="2"/>
      <c r="K139" s="2" t="str">
        <f>HYPERLINK("https://www.linkedin.com/company/15184955")</f>
        <v>https://www.linkedin.com/company/15184955</v>
      </c>
      <c r="L139" s="2"/>
      <c r="M139" s="2"/>
      <c r="N139" s="2"/>
      <c r="O139" s="2" t="s">
        <v>26</v>
      </c>
      <c r="P139" s="2">
        <v>17225016</v>
      </c>
      <c r="Q139" s="2">
        <v>91</v>
      </c>
      <c r="R139" s="2"/>
      <c r="S139" s="2"/>
      <c r="T139" s="2" t="s">
        <v>38</v>
      </c>
    </row>
    <row r="140" spans="1:20" ht="76.5" x14ac:dyDescent="0.25">
      <c r="A140" t="s">
        <v>913</v>
      </c>
      <c r="B140" s="2" t="s">
        <v>741</v>
      </c>
      <c r="C140" s="2" t="s">
        <v>20</v>
      </c>
      <c r="D140" s="2"/>
      <c r="E140" s="2" t="s">
        <v>32</v>
      </c>
      <c r="F140" s="2" t="str">
        <f>HYPERLINK("https://bloomberg.com/opinion")</f>
        <v>https://bloomberg.com/opinion</v>
      </c>
      <c r="G140" s="2" t="s">
        <v>733</v>
      </c>
      <c r="H140" s="2" t="str">
        <f>HYPERLINK("https://www.facebook.com/bloombergopinion")</f>
        <v>https://www.facebook.com/bloombergopinion</v>
      </c>
      <c r="I140" s="2" t="s">
        <v>742</v>
      </c>
      <c r="J140" s="2"/>
      <c r="K140" s="2" t="str">
        <f>HYPERLINK("https://www.linkedin.com/company/bloomberg-lp")</f>
        <v>https://www.linkedin.com/company/bloomberg-lp</v>
      </c>
      <c r="L140" s="2"/>
      <c r="M140" s="2"/>
      <c r="N140" s="2"/>
      <c r="O140" s="2" t="s">
        <v>26</v>
      </c>
      <c r="P140" s="2">
        <v>28503276</v>
      </c>
      <c r="Q140" s="2">
        <v>94</v>
      </c>
      <c r="R140" s="2"/>
      <c r="S140" s="2"/>
      <c r="T140" s="2" t="s">
        <v>38</v>
      </c>
    </row>
    <row r="141" spans="1:20" ht="89.25" x14ac:dyDescent="0.25">
      <c r="A141" t="s">
        <v>912</v>
      </c>
      <c r="B141" s="2" t="s">
        <v>743</v>
      </c>
      <c r="C141" s="2" t="s">
        <v>20</v>
      </c>
      <c r="D141" s="2" t="s">
        <v>744</v>
      </c>
      <c r="E141" s="2" t="s">
        <v>183</v>
      </c>
      <c r="F141" s="2" t="str">
        <f>HYPERLINK("http://thecut.com")</f>
        <v>http://thecut.com</v>
      </c>
      <c r="G141" s="2" t="s">
        <v>745</v>
      </c>
      <c r="H141" s="2" t="str">
        <f>HYPERLINK("https://facebook.com/cut")</f>
        <v>https://facebook.com/cut</v>
      </c>
      <c r="I141" s="2" t="s">
        <v>746</v>
      </c>
      <c r="J141" s="2"/>
      <c r="K141" s="2"/>
      <c r="L141" s="2" t="str">
        <f>HYPERLINK("https://pinterest.com/thecut")</f>
        <v>https://pinterest.com/thecut</v>
      </c>
      <c r="M141" s="2"/>
      <c r="N141" s="2"/>
      <c r="O141" s="2" t="s">
        <v>26</v>
      </c>
      <c r="P141" s="2">
        <v>5003302</v>
      </c>
      <c r="Q141" s="2">
        <v>86</v>
      </c>
      <c r="R141" s="2"/>
      <c r="S141" s="2"/>
      <c r="T141" s="2" t="s">
        <v>38</v>
      </c>
    </row>
    <row r="142" spans="1:20" ht="76.5" x14ac:dyDescent="0.25">
      <c r="A142" t="s">
        <v>912</v>
      </c>
      <c r="B142" s="2" t="s">
        <v>747</v>
      </c>
      <c r="C142" s="2" t="s">
        <v>20</v>
      </c>
      <c r="D142" s="2"/>
      <c r="E142" s="2" t="s">
        <v>59</v>
      </c>
      <c r="F142" s="2" t="str">
        <f>HYPERLINK("http://edition.cnn.com/")</f>
        <v>http://edition.cnn.com/</v>
      </c>
      <c r="G142" s="2" t="s">
        <v>60</v>
      </c>
      <c r="H142" s="2" t="str">
        <f>HYPERLINK("https://www.facebook.com/cnninternational")</f>
        <v>https://www.facebook.com/cnninternational</v>
      </c>
      <c r="I142" s="2" t="s">
        <v>748</v>
      </c>
      <c r="J142" s="2"/>
      <c r="K142" s="2" t="str">
        <f>HYPERLINK("https://www.linkedin.com/company/cnn-technologies")</f>
        <v>https://www.linkedin.com/company/cnn-technologies</v>
      </c>
      <c r="L142" s="2"/>
      <c r="M142" s="2"/>
      <c r="N142" s="2"/>
      <c r="O142" s="2" t="s">
        <v>26</v>
      </c>
      <c r="P142" s="2">
        <v>28501062</v>
      </c>
      <c r="Q142" s="2">
        <v>95</v>
      </c>
      <c r="R142" s="2"/>
      <c r="S142" s="2"/>
      <c r="T142" s="2" t="s">
        <v>38</v>
      </c>
    </row>
    <row r="143" spans="1:20" ht="76.5" x14ac:dyDescent="0.25">
      <c r="A143" t="s">
        <v>912</v>
      </c>
      <c r="B143" s="2" t="s">
        <v>749</v>
      </c>
      <c r="C143" s="2" t="s">
        <v>20</v>
      </c>
      <c r="D143" s="2" t="s">
        <v>750</v>
      </c>
      <c r="E143" s="2" t="s">
        <v>59</v>
      </c>
      <c r="F143" s="2" t="str">
        <f>HYPERLINK("http://cnnnewsource.com/")</f>
        <v>http://cnnnewsource.com/</v>
      </c>
      <c r="G143" s="2" t="s">
        <v>60</v>
      </c>
      <c r="H143" s="2"/>
      <c r="I143" s="2" t="s">
        <v>751</v>
      </c>
      <c r="J143" s="2"/>
      <c r="K143" s="2" t="str">
        <f>HYPERLINK("https://www.linkedin.com/company/3124665")</f>
        <v>https://www.linkedin.com/company/3124665</v>
      </c>
      <c r="L143" s="2"/>
      <c r="M143" s="2"/>
      <c r="N143" s="2"/>
      <c r="O143" s="2" t="s">
        <v>26</v>
      </c>
      <c r="P143" s="2">
        <v>2998</v>
      </c>
      <c r="Q143" s="2">
        <v>30</v>
      </c>
      <c r="R143" s="2"/>
      <c r="S143" s="2"/>
      <c r="T143" s="2" t="s">
        <v>38</v>
      </c>
    </row>
    <row r="144" spans="1:20" ht="89.25" x14ac:dyDescent="0.25">
      <c r="A144" t="s">
        <v>913</v>
      </c>
      <c r="B144" s="2" t="s">
        <v>752</v>
      </c>
      <c r="C144" s="2" t="s">
        <v>20</v>
      </c>
      <c r="D144" s="2"/>
      <c r="E144" s="2"/>
      <c r="F144" s="2" t="str">
        <f>HYPERLINK("http://theankler.com")</f>
        <v>http://theankler.com</v>
      </c>
      <c r="G144" s="2" t="s">
        <v>753</v>
      </c>
      <c r="H144" s="2" t="str">
        <f>HYPERLINK("https://www.facebook.com/TheAnkler/")</f>
        <v>https://www.facebook.com/TheAnkler/</v>
      </c>
      <c r="I144" s="2" t="s">
        <v>754</v>
      </c>
      <c r="J144" s="2"/>
      <c r="K144" s="2"/>
      <c r="L144" s="2"/>
      <c r="M144" s="2"/>
      <c r="N144" s="2"/>
      <c r="O144" s="2" t="s">
        <v>26</v>
      </c>
      <c r="P144" s="2">
        <v>62085</v>
      </c>
      <c r="Q144" s="2">
        <v>55</v>
      </c>
      <c r="R144" s="2" t="s">
        <v>27</v>
      </c>
      <c r="S144" s="2" t="s">
        <v>28</v>
      </c>
      <c r="T144" s="2" t="s">
        <v>38</v>
      </c>
    </row>
    <row r="145" spans="1:20" ht="76.5" x14ac:dyDescent="0.25">
      <c r="A145" t="s">
        <v>912</v>
      </c>
      <c r="B145" s="2" t="s">
        <v>755</v>
      </c>
      <c r="C145" s="2" t="s">
        <v>20</v>
      </c>
      <c r="D145" s="2"/>
      <c r="E145" s="2" t="s">
        <v>756</v>
      </c>
      <c r="F145" s="2" t="str">
        <f>HYPERLINK("http://news.bloombergenvironment.com")</f>
        <v>http://news.bloombergenvironment.com</v>
      </c>
      <c r="G145" s="2" t="s">
        <v>585</v>
      </c>
      <c r="H145" s="2" t="str">
        <f>HYPERLINK("https://www.facebook.com/BloombergEnvironment/")</f>
        <v>https://www.facebook.com/BloombergEnvironment/</v>
      </c>
      <c r="I145" s="2" t="s">
        <v>757</v>
      </c>
      <c r="J145" s="2"/>
      <c r="K145" s="2" t="str">
        <f>HYPERLINK("https://www.linkedin.com/company/bloomberg-environment/")</f>
        <v>https://www.linkedin.com/company/bloomberg-environment/</v>
      </c>
      <c r="L145" s="2"/>
      <c r="M145" s="2"/>
      <c r="N145" s="2"/>
      <c r="O145" s="2" t="s">
        <v>26</v>
      </c>
      <c r="P145" s="2">
        <v>0</v>
      </c>
      <c r="Q145" s="2">
        <v>56</v>
      </c>
      <c r="R145" s="2"/>
      <c r="S145" s="2"/>
      <c r="T145" s="2" t="s">
        <v>38</v>
      </c>
    </row>
    <row r="146" spans="1:20" ht="102" x14ac:dyDescent="0.25">
      <c r="A146" t="s">
        <v>912</v>
      </c>
      <c r="B146" s="2" t="s">
        <v>758</v>
      </c>
      <c r="C146" s="2" t="s">
        <v>20</v>
      </c>
      <c r="D146" s="2" t="s">
        <v>759</v>
      </c>
      <c r="E146" s="2" t="s">
        <v>760</v>
      </c>
      <c r="F146" s="2" t="str">
        <f>HYPERLINK("http://cosmopolitan.com")</f>
        <v>http://cosmopolitan.com</v>
      </c>
      <c r="G146" s="2" t="s">
        <v>761</v>
      </c>
      <c r="H146" s="2" t="str">
        <f>HYPERLINK("https://www.facebook.com/Cosmopolitan")</f>
        <v>https://www.facebook.com/Cosmopolitan</v>
      </c>
      <c r="I146" s="2" t="s">
        <v>758</v>
      </c>
      <c r="J146" s="2"/>
      <c r="K146" s="2" t="str">
        <f>HYPERLINK("https://www.linkedin.com/company/cosmo-hair")</f>
        <v>https://www.linkedin.com/company/cosmo-hair</v>
      </c>
      <c r="L146" s="2" t="str">
        <f>HYPERLINK("https://www.pinterest.com/follow/Cosmopolitan")</f>
        <v>https://www.pinterest.com/follow/Cosmopolitan</v>
      </c>
      <c r="M146" s="2"/>
      <c r="N146" s="2" t="s">
        <v>762</v>
      </c>
      <c r="O146" s="2" t="s">
        <v>763</v>
      </c>
      <c r="P146" s="2">
        <v>35870059</v>
      </c>
      <c r="Q146" s="2">
        <v>91</v>
      </c>
      <c r="R146" s="2" t="s">
        <v>217</v>
      </c>
      <c r="S146" s="2"/>
      <c r="T146" s="2" t="s">
        <v>38</v>
      </c>
    </row>
    <row r="147" spans="1:20" ht="89.25" x14ac:dyDescent="0.25">
      <c r="A147" t="s">
        <v>913</v>
      </c>
      <c r="B147" s="2" t="s">
        <v>764</v>
      </c>
      <c r="C147" s="2" t="s">
        <v>20</v>
      </c>
      <c r="D147" s="2" t="s">
        <v>765</v>
      </c>
      <c r="E147" s="2" t="s">
        <v>224</v>
      </c>
      <c r="F147" s="2" t="str">
        <f>HYPERLINK("https://cnbc.com/squawk-box-us/")</f>
        <v>https://cnbc.com/squawk-box-us/</v>
      </c>
      <c r="G147" s="2" t="s">
        <v>225</v>
      </c>
      <c r="H147" s="2" t="str">
        <f>HYPERLINK("https://www.facebook.com/SquawkCNBC/?rf=104031262966002")</f>
        <v>https://www.facebook.com/SquawkCNBC/?rf=104031262966002</v>
      </c>
      <c r="I147" s="2" t="s">
        <v>766</v>
      </c>
      <c r="J147" s="2"/>
      <c r="K147" s="2" t="str">
        <f>HYPERLINK("https://www.linkedin.com/company/cnbc")</f>
        <v>https://www.linkedin.com/company/cnbc</v>
      </c>
      <c r="L147" s="2"/>
      <c r="M147" s="2"/>
      <c r="N147" s="2"/>
      <c r="O147" s="2" t="s">
        <v>26</v>
      </c>
      <c r="P147" s="2">
        <v>50328997</v>
      </c>
      <c r="Q147" s="2">
        <v>93</v>
      </c>
      <c r="R147" s="2" t="s">
        <v>27</v>
      </c>
      <c r="S147" s="2" t="s">
        <v>767</v>
      </c>
      <c r="T147" s="2" t="s">
        <v>38</v>
      </c>
    </row>
    <row r="148" spans="1:20" ht="102" x14ac:dyDescent="0.25">
      <c r="A148" t="s">
        <v>912</v>
      </c>
      <c r="B148" s="2" t="s">
        <v>768</v>
      </c>
      <c r="C148" s="2" t="s">
        <v>20</v>
      </c>
      <c r="D148" s="2" t="s">
        <v>769</v>
      </c>
      <c r="E148" s="2"/>
      <c r="F148" s="2" t="str">
        <f>HYPERLINK("https://news.crunchbase.com/")</f>
        <v>https://news.crunchbase.com/</v>
      </c>
      <c r="G148" s="2" t="s">
        <v>770</v>
      </c>
      <c r="H148" s="2" t="str">
        <f>HYPERLINK("https://www.facebook.com/crunchbase/")</f>
        <v>https://www.facebook.com/crunchbase/</v>
      </c>
      <c r="I148" s="2" t="s">
        <v>771</v>
      </c>
      <c r="J148" s="2"/>
      <c r="K148" s="2" t="str">
        <f>HYPERLINK("https://www.linkedin.com/company/crunchbase/")</f>
        <v>https://www.linkedin.com/company/crunchbase/</v>
      </c>
      <c r="L148" s="2"/>
      <c r="M148" s="2"/>
      <c r="N148" s="2"/>
      <c r="O148" s="2" t="s">
        <v>26</v>
      </c>
      <c r="P148" s="2">
        <v>235743</v>
      </c>
      <c r="Q148" s="2">
        <v>91</v>
      </c>
      <c r="R148" s="2"/>
      <c r="S148" s="2"/>
      <c r="T148" s="2" t="s">
        <v>38</v>
      </c>
    </row>
    <row r="149" spans="1:20" ht="76.5" x14ac:dyDescent="0.25">
      <c r="A149" t="s">
        <v>913</v>
      </c>
      <c r="B149" s="2" t="s">
        <v>772</v>
      </c>
      <c r="C149" s="2" t="s">
        <v>20</v>
      </c>
      <c r="D149" s="2"/>
      <c r="E149" s="2" t="s">
        <v>773</v>
      </c>
      <c r="F149" s="2" t="str">
        <f>HYPERLINK("http://pbs.org/wnet/amanpour-and-company/")</f>
        <v>http://pbs.org/wnet/amanpour-and-company/</v>
      </c>
      <c r="G149" s="2" t="s">
        <v>774</v>
      </c>
      <c r="H149" s="2" t="str">
        <f>HYPERLINK("https://www.facebook.com/Amanpour-Company-281295099263629")</f>
        <v>https://www.facebook.com/Amanpour-Company-281295099263629</v>
      </c>
      <c r="I149" s="2" t="s">
        <v>775</v>
      </c>
      <c r="J149" s="2"/>
      <c r="K149" s="2" t="str">
        <f>HYPERLINK("https://www.linkedin.com/company/pbs")</f>
        <v>https://www.linkedin.com/company/pbs</v>
      </c>
      <c r="L149" s="2"/>
      <c r="M149" s="2"/>
      <c r="N149" s="2"/>
      <c r="O149" s="2" t="s">
        <v>26</v>
      </c>
      <c r="P149" s="2">
        <v>15133167</v>
      </c>
      <c r="Q149" s="2">
        <v>93</v>
      </c>
      <c r="R149" s="2" t="s">
        <v>27</v>
      </c>
      <c r="S149" s="2" t="s">
        <v>767</v>
      </c>
      <c r="T149" s="2" t="s">
        <v>38</v>
      </c>
    </row>
    <row r="150" spans="1:20" ht="51" x14ac:dyDescent="0.25">
      <c r="A150" t="s">
        <v>913</v>
      </c>
      <c r="B150" s="2" t="s">
        <v>776</v>
      </c>
      <c r="C150" s="2" t="s">
        <v>20</v>
      </c>
      <c r="D150" s="2"/>
      <c r="E150" s="2"/>
      <c r="F150" s="2" t="str">
        <f>HYPERLINK("http://news.bloombergtax.com")</f>
        <v>http://news.bloombergtax.com</v>
      </c>
      <c r="G150" s="2" t="s">
        <v>777</v>
      </c>
      <c r="H150" s="2" t="str">
        <f>HYPERLINK("https://www.facebook.com/BloombergTax/")</f>
        <v>https://www.facebook.com/BloombergTax/</v>
      </c>
      <c r="I150" s="2" t="s">
        <v>778</v>
      </c>
      <c r="J150" s="2"/>
      <c r="K150" s="2" t="str">
        <f>HYPERLINK("https://www.linkedin.com/company/bloomberg-tax/")</f>
        <v>https://www.linkedin.com/company/bloomberg-tax/</v>
      </c>
      <c r="L150" s="2"/>
      <c r="M150" s="2"/>
      <c r="N150" s="2"/>
      <c r="O150" s="2" t="s">
        <v>26</v>
      </c>
      <c r="P150" s="2">
        <v>95174</v>
      </c>
      <c r="Q150" s="2">
        <v>62</v>
      </c>
      <c r="R150" s="2"/>
      <c r="S150" s="2"/>
      <c r="T150" s="2" t="s">
        <v>38</v>
      </c>
    </row>
    <row r="151" spans="1:20" ht="76.5" x14ac:dyDescent="0.25">
      <c r="A151" t="s">
        <v>913</v>
      </c>
      <c r="B151" s="2" t="s">
        <v>779</v>
      </c>
      <c r="C151" s="2" t="s">
        <v>20</v>
      </c>
      <c r="D151" s="2" t="s">
        <v>780</v>
      </c>
      <c r="E151" s="2"/>
      <c r="F151" s="2" t="str">
        <f>HYPERLINK("http://sifted.eu")</f>
        <v>http://sifted.eu</v>
      </c>
      <c r="G151" s="2" t="s">
        <v>781</v>
      </c>
      <c r="H151" s="2" t="str">
        <f>HYPERLINK("https://www.facebook.com/siftedeu")</f>
        <v>https://www.facebook.com/siftedeu</v>
      </c>
      <c r="I151" s="2" t="s">
        <v>782</v>
      </c>
      <c r="J151" s="2"/>
      <c r="K151" s="2" t="str">
        <f>HYPERLINK("https://www.linkedin.com/company/siftedeu/")</f>
        <v>https://www.linkedin.com/company/siftedeu/</v>
      </c>
      <c r="L151" s="2"/>
      <c r="M151" s="2"/>
      <c r="N151" s="2"/>
      <c r="O151" s="2" t="s">
        <v>26</v>
      </c>
      <c r="P151" s="2">
        <v>403656</v>
      </c>
      <c r="Q151" s="2">
        <v>63</v>
      </c>
      <c r="R151" s="2"/>
      <c r="S151" s="2"/>
      <c r="T151" s="2" t="s">
        <v>29</v>
      </c>
    </row>
    <row r="152" spans="1:20" ht="51" x14ac:dyDescent="0.25">
      <c r="A152" t="s">
        <v>912</v>
      </c>
      <c r="B152" s="2" t="s">
        <v>783</v>
      </c>
      <c r="C152" s="2" t="s">
        <v>20</v>
      </c>
      <c r="D152" s="2" t="s">
        <v>784</v>
      </c>
      <c r="E152" s="2"/>
      <c r="F152" s="2" t="str">
        <f>HYPERLINK("http://sportsinsider.com")</f>
        <v>http://sportsinsider.com</v>
      </c>
      <c r="G152" s="2" t="s">
        <v>785</v>
      </c>
      <c r="H152" s="2"/>
      <c r="I152" s="2"/>
      <c r="J152" s="2"/>
      <c r="K152" s="2" t="str">
        <f>HYPERLINK("https://www.linkedin.com/company/sportsinsider-com/")</f>
        <v>https://www.linkedin.com/company/sportsinsider-com/</v>
      </c>
      <c r="L152" s="2"/>
      <c r="M152" s="2"/>
      <c r="N152" s="2"/>
      <c r="O152" s="2" t="s">
        <v>26</v>
      </c>
      <c r="P152" s="2">
        <v>1750</v>
      </c>
      <c r="Q152" s="2">
        <v>42</v>
      </c>
      <c r="R152" s="2"/>
      <c r="S152" s="2"/>
      <c r="T152" s="2" t="s">
        <v>467</v>
      </c>
    </row>
    <row r="153" spans="1:20" ht="89.25" x14ac:dyDescent="0.25">
      <c r="A153" t="s">
        <v>912</v>
      </c>
      <c r="B153" s="2" t="s">
        <v>786</v>
      </c>
      <c r="C153" s="2" t="s">
        <v>20</v>
      </c>
      <c r="D153" s="2"/>
      <c r="E153" s="2" t="s">
        <v>224</v>
      </c>
      <c r="F153" s="2" t="str">
        <f>HYPERLINK("https://www.cnbc.com/world/")</f>
        <v>https://www.cnbc.com/world/</v>
      </c>
      <c r="G153" s="2" t="s">
        <v>787</v>
      </c>
      <c r="H153" s="2" t="str">
        <f>HYPERLINK("https://www.facebook.com/cnbc/")</f>
        <v>https://www.facebook.com/cnbc/</v>
      </c>
      <c r="I153" s="2" t="s">
        <v>226</v>
      </c>
      <c r="J153" s="2"/>
      <c r="K153" s="2" t="str">
        <f>HYPERLINK("https://www.linkedin.com/company/cnbc/")</f>
        <v>https://www.linkedin.com/company/cnbc/</v>
      </c>
      <c r="L153" s="2"/>
      <c r="M153" s="2"/>
      <c r="N153" s="2"/>
      <c r="O153" s="2" t="s">
        <v>26</v>
      </c>
      <c r="P153" s="2">
        <v>50328997</v>
      </c>
      <c r="Q153" s="2">
        <v>93</v>
      </c>
      <c r="R153" s="2" t="s">
        <v>27</v>
      </c>
      <c r="S153" s="2" t="s">
        <v>28</v>
      </c>
      <c r="T153" s="2" t="s">
        <v>38</v>
      </c>
    </row>
    <row r="154" spans="1:20" ht="25.5" x14ac:dyDescent="0.25">
      <c r="A154" t="s">
        <v>913</v>
      </c>
      <c r="B154" s="2" t="s">
        <v>788</v>
      </c>
      <c r="C154" s="2" t="s">
        <v>20</v>
      </c>
      <c r="D154" s="2" t="s">
        <v>789</v>
      </c>
      <c r="E154" s="2"/>
      <c r="F154" s="2" t="str">
        <f>HYPERLINK("http://presswatchers.org")</f>
        <v>http://presswatchers.org</v>
      </c>
      <c r="G154" s="2" t="s">
        <v>38</v>
      </c>
      <c r="H154" s="2" t="str">
        <f>HYPERLINK("https://www.facebook")</f>
        <v>https://www.facebook</v>
      </c>
      <c r="I154" s="2"/>
      <c r="J154" s="2"/>
      <c r="K154" s="2"/>
      <c r="L154" s="2"/>
      <c r="M154" s="2"/>
      <c r="N154" s="2"/>
      <c r="O154" s="2" t="s">
        <v>26</v>
      </c>
      <c r="P154" s="2">
        <v>21277</v>
      </c>
      <c r="Q154" s="2">
        <v>39</v>
      </c>
      <c r="R154" s="2"/>
      <c r="S154" s="2"/>
      <c r="T154" s="2" t="s">
        <v>38</v>
      </c>
    </row>
    <row r="155" spans="1:20" ht="63.75" x14ac:dyDescent="0.25">
      <c r="A155" t="s">
        <v>913</v>
      </c>
      <c r="B155" s="2" t="s">
        <v>790</v>
      </c>
      <c r="C155" s="2" t="s">
        <v>20</v>
      </c>
      <c r="D155" s="2"/>
      <c r="E155" s="2" t="s">
        <v>666</v>
      </c>
      <c r="F155" s="2" t="str">
        <f>HYPERLINK("http://buyoutsinsider.com")</f>
        <v>http://buyoutsinsider.com</v>
      </c>
      <c r="G155" s="2" t="s">
        <v>791</v>
      </c>
      <c r="H155" s="2"/>
      <c r="I155" s="2" t="s">
        <v>790</v>
      </c>
      <c r="J155" s="2"/>
      <c r="K155" s="2" t="str">
        <f>HYPERLINK("https://www.linkedin.com/showcase/buyouts/")</f>
        <v>https://www.linkedin.com/showcase/buyouts/</v>
      </c>
      <c r="L155" s="2"/>
      <c r="M155" s="2"/>
      <c r="N155" s="2"/>
      <c r="O155" s="2" t="s">
        <v>26</v>
      </c>
      <c r="P155" s="2">
        <v>34625</v>
      </c>
      <c r="Q155" s="2">
        <v>35</v>
      </c>
      <c r="R155" s="2"/>
      <c r="S155" s="2"/>
      <c r="T155" s="2" t="s">
        <v>29</v>
      </c>
    </row>
    <row r="156" spans="1:20" ht="102" x14ac:dyDescent="0.25">
      <c r="A156" t="s">
        <v>913</v>
      </c>
      <c r="B156" s="2" t="s">
        <v>792</v>
      </c>
      <c r="C156" s="2" t="s">
        <v>20</v>
      </c>
      <c r="D156" s="2"/>
      <c r="E156" s="2" t="s">
        <v>793</v>
      </c>
      <c r="F156" s="2" t="str">
        <f>HYPERLINK("http://venturecapitaljournal.com")</f>
        <v>http://venturecapitaljournal.com</v>
      </c>
      <c r="G156" s="2" t="s">
        <v>794</v>
      </c>
      <c r="H156" s="2"/>
      <c r="I156" s="2" t="s">
        <v>795</v>
      </c>
      <c r="J156" s="2"/>
      <c r="K156" s="2" t="str">
        <f>HYPERLINK("https://www.linkedin.com/company/pehub/")</f>
        <v>https://www.linkedin.com/company/pehub/</v>
      </c>
      <c r="L156" s="2"/>
      <c r="M156" s="2"/>
      <c r="N156" s="2"/>
      <c r="O156" s="2" t="s">
        <v>26</v>
      </c>
      <c r="P156" s="2">
        <v>27494</v>
      </c>
      <c r="Q156" s="2">
        <v>39</v>
      </c>
      <c r="R156" s="2" t="s">
        <v>142</v>
      </c>
      <c r="S156" s="2"/>
      <c r="T156" s="2" t="s">
        <v>38</v>
      </c>
    </row>
    <row r="157" spans="1:20" ht="76.5" x14ac:dyDescent="0.25">
      <c r="A157" t="s">
        <v>912</v>
      </c>
      <c r="B157" s="2" t="s">
        <v>796</v>
      </c>
      <c r="C157" s="2" t="s">
        <v>20</v>
      </c>
      <c r="D157" s="2" t="s">
        <v>797</v>
      </c>
      <c r="E157" s="2" t="s">
        <v>756</v>
      </c>
      <c r="F157" s="2" t="str">
        <f>HYPERLINK("https://news.bloomberglaw.com/")</f>
        <v>https://news.bloomberglaw.com/</v>
      </c>
      <c r="G157" s="2" t="s">
        <v>798</v>
      </c>
      <c r="H157" s="2" t="str">
        <f>HYPERLINK("https://www.facebook.com/bloomberglaw1/")</f>
        <v>https://www.facebook.com/bloomberglaw1/</v>
      </c>
      <c r="I157" s="2" t="s">
        <v>799</v>
      </c>
      <c r="J157" s="2"/>
      <c r="K157" s="2" t="str">
        <f>HYPERLINK("https://www.linkedin.com/company/bloomberg-law/")</f>
        <v>https://www.linkedin.com/company/bloomberg-law/</v>
      </c>
      <c r="L157" s="2"/>
      <c r="M157" s="2"/>
      <c r="N157" s="2"/>
      <c r="O157" s="2" t="s">
        <v>26</v>
      </c>
      <c r="P157" s="2">
        <v>990406</v>
      </c>
      <c r="Q157" s="2">
        <v>80</v>
      </c>
      <c r="R157" s="2"/>
      <c r="S157" s="2"/>
      <c r="T157" s="2" t="s">
        <v>38</v>
      </c>
    </row>
    <row r="158" spans="1:20" ht="102" x14ac:dyDescent="0.25">
      <c r="A158" t="s">
        <v>913</v>
      </c>
      <c r="B158" s="2" t="s">
        <v>800</v>
      </c>
      <c r="C158" s="2" t="s">
        <v>20</v>
      </c>
      <c r="D158" s="2" t="s">
        <v>801</v>
      </c>
      <c r="E158" s="2" t="s">
        <v>71</v>
      </c>
      <c r="F158" s="2" t="str">
        <f>HYPERLINK("https://www.washingtonpost.com/podcasts/post-reports/")</f>
        <v>https://www.washingtonpost.com/podcasts/post-reports/</v>
      </c>
      <c r="G158" s="2" t="s">
        <v>72</v>
      </c>
      <c r="H158" s="2"/>
      <c r="I158" s="2" t="s">
        <v>73</v>
      </c>
      <c r="J158" s="2"/>
      <c r="K158" s="2" t="str">
        <f>HYPERLINK("https://www.linkedin.com/company/the-washington-post")</f>
        <v>https://www.linkedin.com/company/the-washington-post</v>
      </c>
      <c r="L158" s="2"/>
      <c r="M158" s="2"/>
      <c r="N158" s="2"/>
      <c r="O158" s="2" t="s">
        <v>26</v>
      </c>
      <c r="P158" s="2"/>
      <c r="Q158" s="2">
        <v>94</v>
      </c>
      <c r="R158" s="2" t="s">
        <v>27</v>
      </c>
      <c r="S158" s="2" t="s">
        <v>767</v>
      </c>
      <c r="T158" s="2" t="s">
        <v>38</v>
      </c>
    </row>
    <row r="159" spans="1:20" ht="51" x14ac:dyDescent="0.25">
      <c r="A159" t="s">
        <v>912</v>
      </c>
      <c r="B159" s="2" t="s">
        <v>802</v>
      </c>
      <c r="C159" s="2" t="s">
        <v>20</v>
      </c>
      <c r="D159" s="2" t="s">
        <v>803</v>
      </c>
      <c r="E159" s="2"/>
      <c r="F159" s="2" t="str">
        <f>HYPERLINK("https://www.alternativeswatch.com/")</f>
        <v>https://www.alternativeswatch.com/</v>
      </c>
      <c r="G159" s="2"/>
      <c r="H159" s="2" t="str">
        <f>HYPERLINK("https://www.facebook.com/alternativeswatch/")</f>
        <v>https://www.facebook.com/alternativeswatch/</v>
      </c>
      <c r="I159" s="2" t="s">
        <v>804</v>
      </c>
      <c r="J159" s="2"/>
      <c r="K159" s="2" t="str">
        <f>HYPERLINK("https://www.linkedin.com/company/alternatives-watch/")</f>
        <v>https://www.linkedin.com/company/alternatives-watch/</v>
      </c>
      <c r="L159" s="2"/>
      <c r="M159" s="2"/>
      <c r="N159" s="2"/>
      <c r="O159" s="2" t="s">
        <v>26</v>
      </c>
      <c r="P159" s="2">
        <v>2810</v>
      </c>
      <c r="Q159" s="2">
        <v>22</v>
      </c>
      <c r="R159" s="2"/>
      <c r="S159" s="2"/>
      <c r="T159" s="2"/>
    </row>
    <row r="160" spans="1:20" ht="89.25" x14ac:dyDescent="0.25">
      <c r="A160" t="s">
        <v>912</v>
      </c>
      <c r="B160" s="2" t="s">
        <v>805</v>
      </c>
      <c r="C160" s="2" t="s">
        <v>20</v>
      </c>
      <c r="D160" s="2"/>
      <c r="E160" s="2" t="s">
        <v>90</v>
      </c>
      <c r="F160" s="2" t="str">
        <f>HYPERLINK("http://dowjones.com")</f>
        <v>http://dowjones.com</v>
      </c>
      <c r="G160" s="2" t="s">
        <v>91</v>
      </c>
      <c r="H160" s="2" t="str">
        <f>HYPERLINK("https://www.facebook.com/dowjones")</f>
        <v>https://www.facebook.com/dowjones</v>
      </c>
      <c r="I160" s="2" t="s">
        <v>435</v>
      </c>
      <c r="J160" s="2"/>
      <c r="K160" s="2" t="str">
        <f>HYPERLINK("https://www.linkedin.com/company/2284")</f>
        <v>https://www.linkedin.com/company/2284</v>
      </c>
      <c r="L160" s="2"/>
      <c r="M160" s="2"/>
      <c r="N160" s="2"/>
      <c r="O160" s="2" t="s">
        <v>26</v>
      </c>
      <c r="P160" s="2">
        <v>2501005</v>
      </c>
      <c r="Q160" s="2">
        <v>76</v>
      </c>
      <c r="R160" s="2"/>
      <c r="S160" s="2"/>
      <c r="T160" s="2" t="s">
        <v>38</v>
      </c>
    </row>
    <row r="161" spans="1:20" ht="89.25" x14ac:dyDescent="0.25">
      <c r="A161" t="s">
        <v>913</v>
      </c>
      <c r="B161" s="2" t="s">
        <v>806</v>
      </c>
      <c r="C161" s="2" t="s">
        <v>20</v>
      </c>
      <c r="D161" s="2"/>
      <c r="E161" s="2" t="s">
        <v>90</v>
      </c>
      <c r="F161" s="2" t="str">
        <f>HYPERLINK("https://www.wsj.com/podcasts/minute-briefing")</f>
        <v>https://www.wsj.com/podcasts/minute-briefing</v>
      </c>
      <c r="G161" s="2" t="s">
        <v>91</v>
      </c>
      <c r="H161" s="2"/>
      <c r="I161" s="2" t="s">
        <v>807</v>
      </c>
      <c r="J161" s="2"/>
      <c r="K161" s="2" t="str">
        <f>HYPERLINK("https://www.linkedin.com/company/the-wall-street-journal")</f>
        <v>https://www.linkedin.com/company/the-wall-street-journal</v>
      </c>
      <c r="L161" s="2"/>
      <c r="M161" s="2"/>
      <c r="N161" s="2"/>
      <c r="O161" s="2" t="s">
        <v>26</v>
      </c>
      <c r="P161" s="2"/>
      <c r="Q161" s="2">
        <v>94</v>
      </c>
      <c r="R161" s="2" t="s">
        <v>27</v>
      </c>
      <c r="S161" s="2" t="s">
        <v>767</v>
      </c>
      <c r="T161" s="2" t="s">
        <v>38</v>
      </c>
    </row>
    <row r="162" spans="1:20" ht="89.25" x14ac:dyDescent="0.25">
      <c r="A162" t="s">
        <v>912</v>
      </c>
      <c r="B162" s="2" t="s">
        <v>808</v>
      </c>
      <c r="C162" s="2" t="s">
        <v>20</v>
      </c>
      <c r="D162" s="2"/>
      <c r="E162" s="2" t="s">
        <v>126</v>
      </c>
      <c r="F162" s="2" t="str">
        <f>HYPERLINK("https://forbes.com/advisor/")</f>
        <v>https://forbes.com/advisor/</v>
      </c>
      <c r="G162" s="2" t="s">
        <v>127</v>
      </c>
      <c r="H162" s="2" t="str">
        <f>HYPERLINK("https://www.facebook.com/forbesadvisor/")</f>
        <v>https://www.facebook.com/forbesadvisor/</v>
      </c>
      <c r="I162" s="2" t="s">
        <v>809</v>
      </c>
      <c r="J162" s="2"/>
      <c r="K162" s="2"/>
      <c r="L162" s="2"/>
      <c r="M162" s="2"/>
      <c r="N162" s="2"/>
      <c r="O162" s="2" t="s">
        <v>432</v>
      </c>
      <c r="P162" s="2">
        <v>72975564</v>
      </c>
      <c r="Q162" s="2">
        <v>94</v>
      </c>
      <c r="R162" s="2"/>
      <c r="S162" s="2"/>
      <c r="T162" s="2" t="s">
        <v>38</v>
      </c>
    </row>
    <row r="163" spans="1:20" ht="102" x14ac:dyDescent="0.25">
      <c r="A163" t="s">
        <v>913</v>
      </c>
      <c r="B163" s="2" t="s">
        <v>810</v>
      </c>
      <c r="C163" s="2" t="s">
        <v>20</v>
      </c>
      <c r="D163" s="2" t="s">
        <v>811</v>
      </c>
      <c r="E163" s="2" t="s">
        <v>812</v>
      </c>
      <c r="F163" s="2" t="str">
        <f>HYPERLINK("https://www.washingtonpost.com/news/posteverything/")</f>
        <v>https://www.washingtonpost.com/news/posteverything/</v>
      </c>
      <c r="G163" s="2" t="s">
        <v>72</v>
      </c>
      <c r="H163" s="2" t="str">
        <f>HYPERLINK("https://www.facebook.com/washingtonpostopinions")</f>
        <v>https://www.facebook.com/washingtonpostopinions</v>
      </c>
      <c r="I163" s="2" t="s">
        <v>813</v>
      </c>
      <c r="J163" s="2"/>
      <c r="K163" s="2" t="str">
        <f>HYPERLINK("https://www.linkedin.com/company/the-washington-post")</f>
        <v>https://www.linkedin.com/company/the-washington-post</v>
      </c>
      <c r="L163" s="2"/>
      <c r="M163" s="2"/>
      <c r="N163" s="2"/>
      <c r="O163" s="2" t="s">
        <v>26</v>
      </c>
      <c r="P163" s="2">
        <v>53937909</v>
      </c>
      <c r="Q163" s="2">
        <v>94</v>
      </c>
      <c r="R163" s="2"/>
      <c r="S163" s="2"/>
      <c r="T163" s="2" t="s">
        <v>38</v>
      </c>
    </row>
    <row r="164" spans="1:20" ht="76.5" x14ac:dyDescent="0.25">
      <c r="A164" t="s">
        <v>912</v>
      </c>
      <c r="B164" s="2" t="s">
        <v>814</v>
      </c>
      <c r="C164" s="2" t="s">
        <v>20</v>
      </c>
      <c r="D164" s="2"/>
      <c r="E164" s="2" t="s">
        <v>59</v>
      </c>
      <c r="F164" s="2" t="str">
        <f>HYPERLINK("https://edition.cnn.com/politics")</f>
        <v>https://edition.cnn.com/politics</v>
      </c>
      <c r="G164" s="2" t="s">
        <v>60</v>
      </c>
      <c r="H164" s="2" t="str">
        <f>HYPERLINK("https://www.facebook.com/cnnpolitics/")</f>
        <v>https://www.facebook.com/cnnpolitics/</v>
      </c>
      <c r="I164" s="2" t="s">
        <v>815</v>
      </c>
      <c r="J164" s="2"/>
      <c r="K164" s="2" t="str">
        <f>HYPERLINK("https://www.linkedin.com/company/9033627")</f>
        <v>https://www.linkedin.com/company/9033627</v>
      </c>
      <c r="L164" s="2"/>
      <c r="M164" s="2"/>
      <c r="N164" s="2"/>
      <c r="O164" s="2" t="s">
        <v>26</v>
      </c>
      <c r="P164" s="2">
        <v>28501062</v>
      </c>
      <c r="Q164" s="2">
        <v>95</v>
      </c>
      <c r="R164" s="2"/>
      <c r="S164" s="2"/>
      <c r="T164" s="2" t="s">
        <v>38</v>
      </c>
    </row>
    <row r="165" spans="1:20" ht="76.5" x14ac:dyDescent="0.25">
      <c r="A165" t="s">
        <v>913</v>
      </c>
      <c r="B165" s="2" t="s">
        <v>816</v>
      </c>
      <c r="C165" s="2" t="s">
        <v>20</v>
      </c>
      <c r="D165" s="2" t="s">
        <v>817</v>
      </c>
      <c r="E165" s="2" t="s">
        <v>59</v>
      </c>
      <c r="F165" s="2" t="str">
        <f>HYPERLINK("https://edition.cnn.com/newsletters/reliable-sources")</f>
        <v>https://edition.cnn.com/newsletters/reliable-sources</v>
      </c>
      <c r="G165" s="2" t="s">
        <v>60</v>
      </c>
      <c r="H165" s="2"/>
      <c r="I165" s="2"/>
      <c r="J165" s="2"/>
      <c r="K165" s="2"/>
      <c r="L165" s="2"/>
      <c r="M165" s="2"/>
      <c r="N165" s="2"/>
      <c r="O165" s="2" t="s">
        <v>26</v>
      </c>
      <c r="P165" s="2"/>
      <c r="Q165" s="2">
        <v>95</v>
      </c>
      <c r="R165" s="2" t="s">
        <v>27</v>
      </c>
      <c r="S165" s="2" t="s">
        <v>818</v>
      </c>
      <c r="T165" s="2" t="s">
        <v>38</v>
      </c>
    </row>
    <row r="166" spans="1:20" ht="76.5" x14ac:dyDescent="0.25">
      <c r="A166" t="s">
        <v>913</v>
      </c>
      <c r="B166" s="2" t="s">
        <v>819</v>
      </c>
      <c r="C166" s="2" t="s">
        <v>20</v>
      </c>
      <c r="D166" s="2" t="s">
        <v>820</v>
      </c>
      <c r="E166" s="2" t="s">
        <v>32</v>
      </c>
      <c r="F166" s="2" t="str">
        <f>HYPERLINK("https://www.bloomberg.com/originals")</f>
        <v>https://www.bloomberg.com/originals</v>
      </c>
      <c r="G166" s="2" t="s">
        <v>821</v>
      </c>
      <c r="H166" s="2" t="str">
        <f>HYPERLINK("https://www.facebook.com/quicktake")</f>
        <v>https://www.facebook.com/quicktake</v>
      </c>
      <c r="I166" s="2" t="s">
        <v>822</v>
      </c>
      <c r="J166" s="2"/>
      <c r="K166" s="2" t="str">
        <f>HYPERLINK("https://www.linkedin.com/company/bloomberg-lp")</f>
        <v>https://www.linkedin.com/company/bloomberg-lp</v>
      </c>
      <c r="L166" s="2"/>
      <c r="M166" s="2"/>
      <c r="N166" s="2"/>
      <c r="O166" s="2" t="s">
        <v>26</v>
      </c>
      <c r="P166" s="2">
        <v>28503276</v>
      </c>
      <c r="Q166" s="2">
        <v>94</v>
      </c>
      <c r="R166" s="2"/>
      <c r="S166" s="2"/>
      <c r="T166" s="2" t="s">
        <v>38</v>
      </c>
    </row>
    <row r="167" spans="1:20" ht="76.5" x14ac:dyDescent="0.25">
      <c r="A167" t="s">
        <v>912</v>
      </c>
      <c r="B167" s="2" t="s">
        <v>823</v>
      </c>
      <c r="C167" s="2" t="s">
        <v>20</v>
      </c>
      <c r="D167" s="2" t="s">
        <v>824</v>
      </c>
      <c r="E167" s="2" t="s">
        <v>42</v>
      </c>
      <c r="F167" s="2" t="str">
        <f>HYPERLINK("https://www.nytimes.com/section/opinion")</f>
        <v>https://www.nytimes.com/section/opinion</v>
      </c>
      <c r="G167" s="2" t="s">
        <v>43</v>
      </c>
      <c r="H167" s="2" t="str">
        <f>HYPERLINK("https://www.facebook.com/nytopinion")</f>
        <v>https://www.facebook.com/nytopinion</v>
      </c>
      <c r="I167" s="2" t="s">
        <v>825</v>
      </c>
      <c r="J167" s="2"/>
      <c r="K167" s="2"/>
      <c r="L167" s="2"/>
      <c r="M167" s="2"/>
      <c r="N167" s="2"/>
      <c r="O167" s="2" t="s">
        <v>26</v>
      </c>
      <c r="P167" s="2">
        <v>145595270</v>
      </c>
      <c r="Q167" s="2">
        <v>95</v>
      </c>
      <c r="R167" s="2"/>
      <c r="S167" s="2"/>
      <c r="T167" s="2" t="s">
        <v>38</v>
      </c>
    </row>
    <row r="168" spans="1:20" ht="102" x14ac:dyDescent="0.25">
      <c r="A168" t="s">
        <v>912</v>
      </c>
      <c r="B168" s="2" t="s">
        <v>826</v>
      </c>
      <c r="C168" s="2" t="s">
        <v>20</v>
      </c>
      <c r="D168" s="2"/>
      <c r="E168" s="2" t="s">
        <v>812</v>
      </c>
      <c r="F168" s="2" t="str">
        <f>HYPERLINK("https://www.washingtonpost.com/opinions/")</f>
        <v>https://www.washingtonpost.com/opinions/</v>
      </c>
      <c r="G168" s="2" t="s">
        <v>72</v>
      </c>
      <c r="H168" s="2" t="str">
        <f>HYPERLINK("https://www.facebook.com/washingtonpostopinions/")</f>
        <v>https://www.facebook.com/washingtonpostopinions/</v>
      </c>
      <c r="I168" s="2" t="s">
        <v>827</v>
      </c>
      <c r="J168" s="2"/>
      <c r="K168" s="2" t="str">
        <f>HYPERLINK("https://www.linkedin.com/company/the-washington-post")</f>
        <v>https://www.linkedin.com/company/the-washington-post</v>
      </c>
      <c r="L168" s="2"/>
      <c r="M168" s="2"/>
      <c r="N168" s="2"/>
      <c r="O168" s="2" t="s">
        <v>26</v>
      </c>
      <c r="P168" s="2">
        <v>53937909</v>
      </c>
      <c r="Q168" s="2">
        <v>94</v>
      </c>
      <c r="R168" s="2"/>
      <c r="S168" s="2"/>
      <c r="T168" s="2" t="s">
        <v>38</v>
      </c>
    </row>
    <row r="169" spans="1:20" ht="89.25" x14ac:dyDescent="0.25">
      <c r="A169" t="s">
        <v>912</v>
      </c>
      <c r="B169" s="2" t="s">
        <v>828</v>
      </c>
      <c r="C169" s="2" t="s">
        <v>20</v>
      </c>
      <c r="D169" s="2"/>
      <c r="E169" s="2" t="s">
        <v>829</v>
      </c>
      <c r="F169" s="2" t="str">
        <f>HYPERLINK("https://www.nytimes.com/section/magazine")</f>
        <v>https://www.nytimes.com/section/magazine</v>
      </c>
      <c r="G169" s="2" t="s">
        <v>43</v>
      </c>
      <c r="H169" s="2" t="str">
        <f>HYPERLINK("https://www.facebook.com/pages/New%20York%20Times%20Magazine/102188059822510/")</f>
        <v>https://www.facebook.com/pages/New%20York%20Times%20Magazine/102188059822510/</v>
      </c>
      <c r="I169" s="2" t="s">
        <v>830</v>
      </c>
      <c r="J169" s="2"/>
      <c r="K169" s="2" t="str">
        <f>HYPERLINK("https://www.linkedin.com/company/the-new-york-times")</f>
        <v>https://www.linkedin.com/company/the-new-york-times</v>
      </c>
      <c r="L169" s="2"/>
      <c r="M169" s="2"/>
      <c r="N169" s="2"/>
      <c r="O169" s="2" t="s">
        <v>26</v>
      </c>
      <c r="P169" s="2">
        <v>145595270</v>
      </c>
      <c r="Q169" s="2">
        <v>95</v>
      </c>
      <c r="R169" s="2"/>
      <c r="S169" s="2"/>
      <c r="T169" s="2" t="s">
        <v>38</v>
      </c>
    </row>
    <row r="170" spans="1:20" ht="63.75" x14ac:dyDescent="0.25">
      <c r="A170" t="s">
        <v>912</v>
      </c>
      <c r="B170" s="2" t="s">
        <v>831</v>
      </c>
      <c r="C170" s="2" t="s">
        <v>20</v>
      </c>
      <c r="D170" s="2"/>
      <c r="E170" s="2" t="s">
        <v>832</v>
      </c>
      <c r="F170" s="2" t="str">
        <f>HYPERLINK("https://cnn.com/audio/podcasts/political-briefing")</f>
        <v>https://cnn.com/audio/podcasts/political-briefing</v>
      </c>
      <c r="G170" s="2" t="s">
        <v>833</v>
      </c>
      <c r="H170" s="2"/>
      <c r="I170" s="2" t="s">
        <v>748</v>
      </c>
      <c r="J170" s="2"/>
      <c r="K170" s="2" t="str">
        <f>HYPERLINK("https://www.linkedin.com/company/cnn")</f>
        <v>https://www.linkedin.com/company/cnn</v>
      </c>
      <c r="L170" s="2"/>
      <c r="M170" s="2"/>
      <c r="N170" s="2"/>
      <c r="O170" s="2" t="s">
        <v>26</v>
      </c>
      <c r="P170" s="2">
        <v>162018974</v>
      </c>
      <c r="Q170" s="2">
        <v>95</v>
      </c>
      <c r="R170" s="2" t="s">
        <v>27</v>
      </c>
      <c r="S170" s="2" t="s">
        <v>767</v>
      </c>
      <c r="T170" s="2" t="s">
        <v>38</v>
      </c>
    </row>
    <row r="171" spans="1:20" ht="114.75" x14ac:dyDescent="0.25">
      <c r="A171" t="s">
        <v>910</v>
      </c>
      <c r="B171" s="2" t="s">
        <v>834</v>
      </c>
      <c r="C171" s="2" t="s">
        <v>20</v>
      </c>
      <c r="D171" s="2"/>
      <c r="E171" s="2" t="s">
        <v>835</v>
      </c>
      <c r="F171" s="2" t="str">
        <f>HYPERLINK("https://cnn.com/audio/podcasts/cnn-breaking-news-alert?episodeguid=818b91a9-e94d-40db-8854-ac9a015771cb")</f>
        <v>https://cnn.com/audio/podcasts/cnn-breaking-news-alert?episodeguid=818b91a9-e94d-40db-8854-ac9a015771cb</v>
      </c>
      <c r="G171" s="2" t="s">
        <v>836</v>
      </c>
      <c r="H171" s="2"/>
      <c r="I171" s="2" t="s">
        <v>748</v>
      </c>
      <c r="J171" s="2"/>
      <c r="K171" s="2" t="str">
        <f>HYPERLINK("https://www.linkedin.com/company/cnn")</f>
        <v>https://www.linkedin.com/company/cnn</v>
      </c>
      <c r="L171" s="2"/>
      <c r="M171" s="2"/>
      <c r="N171" s="2"/>
      <c r="O171" s="2" t="s">
        <v>26</v>
      </c>
      <c r="P171" s="2">
        <v>162018974</v>
      </c>
      <c r="Q171" s="2">
        <v>95</v>
      </c>
      <c r="R171" s="2" t="s">
        <v>27</v>
      </c>
      <c r="S171" s="2"/>
      <c r="T171" s="2" t="s">
        <v>38</v>
      </c>
    </row>
    <row r="172" spans="1:20" ht="76.5" x14ac:dyDescent="0.25">
      <c r="A172" t="s">
        <v>912</v>
      </c>
      <c r="B172" s="2" t="s">
        <v>837</v>
      </c>
      <c r="C172" s="2" t="s">
        <v>20</v>
      </c>
      <c r="D172" s="2"/>
      <c r="E172" s="2" t="s">
        <v>838</v>
      </c>
      <c r="F172" s="2" t="str">
        <f>HYPERLINK("https://edition.cnn.com/shows/state-of-the-union")</f>
        <v>https://edition.cnn.com/shows/state-of-the-union</v>
      </c>
      <c r="G172" s="2" t="s">
        <v>60</v>
      </c>
      <c r="H172" s="2" t="str">
        <f>HYPERLINK("https://www.facebook.com/CNNStateoftheUnion/")</f>
        <v>https://www.facebook.com/CNNStateoftheUnion/</v>
      </c>
      <c r="I172" s="2" t="s">
        <v>839</v>
      </c>
      <c r="J172" s="2"/>
      <c r="K172" s="2" t="str">
        <f>HYPERLINK("https://www.linkedin.com/company/9033627")</f>
        <v>https://www.linkedin.com/company/9033627</v>
      </c>
      <c r="L172" s="2"/>
      <c r="M172" s="2"/>
      <c r="N172" s="2"/>
      <c r="O172" s="2" t="s">
        <v>26</v>
      </c>
      <c r="P172" s="2">
        <v>28501062</v>
      </c>
      <c r="Q172" s="2">
        <v>95</v>
      </c>
      <c r="R172" s="2" t="s">
        <v>36</v>
      </c>
      <c r="S172" s="2" t="s">
        <v>187</v>
      </c>
      <c r="T172" s="2" t="s">
        <v>38</v>
      </c>
    </row>
    <row r="173" spans="1:20" ht="38.25" x14ac:dyDescent="0.25">
      <c r="A173" t="s">
        <v>912</v>
      </c>
      <c r="B173" s="2" t="s">
        <v>840</v>
      </c>
      <c r="C173" s="2" t="s">
        <v>20</v>
      </c>
      <c r="D173" s="2"/>
      <c r="E173" s="2"/>
      <c r="F173" s="2" t="str">
        <f>HYPERLINK("https://garbageday.substack.com/")</f>
        <v>https://garbageday.substack.com/</v>
      </c>
      <c r="G173" s="2" t="s">
        <v>38</v>
      </c>
      <c r="H173" s="2"/>
      <c r="I173" s="2"/>
      <c r="J173" s="2"/>
      <c r="K173" s="2"/>
      <c r="L173" s="2"/>
      <c r="M173" s="2"/>
      <c r="N173" s="2"/>
      <c r="O173" s="2" t="s">
        <v>26</v>
      </c>
      <c r="P173" s="2">
        <v>93407</v>
      </c>
      <c r="Q173" s="2">
        <v>85</v>
      </c>
      <c r="R173" s="2"/>
      <c r="S173" s="2"/>
      <c r="T173" s="2" t="s">
        <v>38</v>
      </c>
    </row>
    <row r="174" spans="1:20" ht="76.5" x14ac:dyDescent="0.25">
      <c r="A174" t="s">
        <v>912</v>
      </c>
      <c r="B174" s="2" t="s">
        <v>841</v>
      </c>
      <c r="C174" s="2" t="s">
        <v>20</v>
      </c>
      <c r="D174" s="2"/>
      <c r="E174" s="2" t="s">
        <v>307</v>
      </c>
      <c r="F174" s="2" t="str">
        <f>HYPERLINK("https://www.politico.com/podcasts/tech")</f>
        <v>https://www.politico.com/podcasts/tech</v>
      </c>
      <c r="G174" s="2" t="s">
        <v>842</v>
      </c>
      <c r="H174" s="2"/>
      <c r="I174" s="2"/>
      <c r="J174" s="2"/>
      <c r="K174" s="2"/>
      <c r="L174" s="2"/>
      <c r="M174" s="2"/>
      <c r="N174" s="2"/>
      <c r="O174" s="2" t="s">
        <v>26</v>
      </c>
      <c r="P174" s="2">
        <v>20394369</v>
      </c>
      <c r="Q174" s="2">
        <v>92</v>
      </c>
      <c r="R174" s="2" t="s">
        <v>27</v>
      </c>
      <c r="S174" s="2" t="s">
        <v>767</v>
      </c>
      <c r="T174" s="2" t="s">
        <v>38</v>
      </c>
    </row>
    <row r="175" spans="1:20" ht="89.25" x14ac:dyDescent="0.25">
      <c r="A175" t="s">
        <v>912</v>
      </c>
      <c r="B175" s="2" t="s">
        <v>843</v>
      </c>
      <c r="C175" s="2" t="s">
        <v>20</v>
      </c>
      <c r="D175" s="2" t="s">
        <v>844</v>
      </c>
      <c r="E175" s="2" t="s">
        <v>845</v>
      </c>
      <c r="F175" s="2" t="str">
        <f>HYPERLINK("https://www.forbes.com/newsletter/aiinvestor/#58963c114504")</f>
        <v>https://www.forbes.com/newsletter/aiinvestor/#58963c114504</v>
      </c>
      <c r="G175" s="2" t="s">
        <v>127</v>
      </c>
      <c r="H175" s="2"/>
      <c r="I175" s="2" t="s">
        <v>846</v>
      </c>
      <c r="J175" s="2"/>
      <c r="K175" s="2" t="str">
        <f>HYPERLINK("https://www.linkedin.com/company/forbes-magazine")</f>
        <v>https://www.linkedin.com/company/forbes-magazine</v>
      </c>
      <c r="L175" s="2"/>
      <c r="M175" s="2"/>
      <c r="N175" s="2"/>
      <c r="O175" s="2" t="s">
        <v>26</v>
      </c>
      <c r="P175" s="2">
        <v>72975564</v>
      </c>
      <c r="Q175" s="2"/>
      <c r="R175" s="2" t="s">
        <v>36</v>
      </c>
      <c r="S175" s="2" t="s">
        <v>406</v>
      </c>
      <c r="T175" s="2" t="s">
        <v>38</v>
      </c>
    </row>
    <row r="176" spans="1:20" ht="76.5" x14ac:dyDescent="0.25">
      <c r="A176" t="s">
        <v>912</v>
      </c>
      <c r="B176" s="2" t="s">
        <v>847</v>
      </c>
      <c r="C176" s="2" t="s">
        <v>20</v>
      </c>
      <c r="D176" s="2"/>
      <c r="E176" s="2"/>
      <c r="F176" s="2" t="str">
        <f>HYPERLINK("https://www.politico.com/section/magazine")</f>
        <v>https://www.politico.com/section/magazine</v>
      </c>
      <c r="G176" s="2" t="s">
        <v>308</v>
      </c>
      <c r="H176" s="2" t="str">
        <f>HYPERLINK("https://www.facebook.com/politicomag")</f>
        <v>https://www.facebook.com/politicomag</v>
      </c>
      <c r="I176" s="2" t="s">
        <v>848</v>
      </c>
      <c r="J176" s="2"/>
      <c r="K176" s="2"/>
      <c r="L176" s="2"/>
      <c r="M176" s="2"/>
      <c r="N176" s="2"/>
      <c r="O176" s="2" t="s">
        <v>26</v>
      </c>
      <c r="P176" s="2">
        <v>20394369</v>
      </c>
      <c r="Q176" s="2">
        <v>92</v>
      </c>
      <c r="R176" s="2" t="s">
        <v>27</v>
      </c>
      <c r="S176" s="2"/>
      <c r="T176" s="2" t="s">
        <v>38</v>
      </c>
    </row>
    <row r="177" spans="1:20" ht="76.5" x14ac:dyDescent="0.25">
      <c r="A177" t="s">
        <v>912</v>
      </c>
      <c r="B177" s="2" t="s">
        <v>849</v>
      </c>
      <c r="C177" s="2" t="s">
        <v>20</v>
      </c>
      <c r="D177" s="2" t="s">
        <v>223</v>
      </c>
      <c r="E177" s="2" t="s">
        <v>224</v>
      </c>
      <c r="F177" s="2" t="str">
        <f>HYPERLINK("https://cnbc.com/the-exchange/")</f>
        <v>https://cnbc.com/the-exchange/</v>
      </c>
      <c r="G177" s="2" t="s">
        <v>787</v>
      </c>
      <c r="H177" s="2"/>
      <c r="I177" s="2" t="s">
        <v>850</v>
      </c>
      <c r="J177" s="2"/>
      <c r="K177" s="2" t="str">
        <f>HYPERLINK("https://www.linkedin.com/company/cnbc")</f>
        <v>https://www.linkedin.com/company/cnbc</v>
      </c>
      <c r="L177" s="2"/>
      <c r="M177" s="2"/>
      <c r="N177" s="2"/>
      <c r="O177" s="2" t="s">
        <v>26</v>
      </c>
      <c r="P177" s="2">
        <v>50328997</v>
      </c>
      <c r="Q177" s="2">
        <v>93</v>
      </c>
      <c r="R177" s="2" t="s">
        <v>27</v>
      </c>
      <c r="S177" s="2" t="s">
        <v>767</v>
      </c>
      <c r="T177" s="2" t="s">
        <v>38</v>
      </c>
    </row>
    <row r="178" spans="1:20" ht="102" x14ac:dyDescent="0.25">
      <c r="A178" t="s">
        <v>912</v>
      </c>
      <c r="B178" s="2" t="s">
        <v>851</v>
      </c>
      <c r="C178" s="2" t="s">
        <v>20</v>
      </c>
      <c r="D178" s="2"/>
      <c r="E178" s="2"/>
      <c r="F178" s="2" t="str">
        <f>HYPERLINK("https://nation.foxnews.com/")</f>
        <v>https://nation.foxnews.com/</v>
      </c>
      <c r="G178" s="2" t="s">
        <v>134</v>
      </c>
      <c r="H178" s="2" t="str">
        <f>HYPERLINK("https://www.facebook.com/TheFOXNation")</f>
        <v>https://www.facebook.com/TheFOXNation</v>
      </c>
      <c r="I178" s="2" t="s">
        <v>852</v>
      </c>
      <c r="J178" s="2"/>
      <c r="K178" s="2"/>
      <c r="L178" s="2"/>
      <c r="M178" s="2"/>
      <c r="N178" s="2"/>
      <c r="O178" s="2" t="s">
        <v>26</v>
      </c>
      <c r="P178" s="2">
        <v>949516</v>
      </c>
      <c r="Q178" s="2">
        <v>94</v>
      </c>
      <c r="R178" s="2"/>
      <c r="S178" s="2"/>
      <c r="T178" s="2" t="s">
        <v>38</v>
      </c>
    </row>
    <row r="179" spans="1:20" ht="89.25" x14ac:dyDescent="0.25">
      <c r="A179" t="s">
        <v>910</v>
      </c>
      <c r="B179" s="2" t="s">
        <v>853</v>
      </c>
      <c r="C179" s="2" t="s">
        <v>20</v>
      </c>
      <c r="D179" s="2"/>
      <c r="E179" s="2" t="s">
        <v>59</v>
      </c>
      <c r="F179" s="2" t="str">
        <f>HYPERLINK("https://cnn.com/shows/newsroom")</f>
        <v>https://cnn.com/shows/newsroom</v>
      </c>
      <c r="G179" s="2" t="s">
        <v>60</v>
      </c>
      <c r="H179" s="2"/>
      <c r="I179" s="2" t="s">
        <v>854</v>
      </c>
      <c r="J179" s="2"/>
      <c r="K179" s="2" t="str">
        <f>HYPERLINK("https://www.linkedin.com/company/cnn")</f>
        <v>https://www.linkedin.com/company/cnn</v>
      </c>
      <c r="L179" s="2"/>
      <c r="M179" s="2"/>
      <c r="N179" s="2"/>
      <c r="O179" s="2" t="s">
        <v>26</v>
      </c>
      <c r="P179" s="2">
        <v>162018974</v>
      </c>
      <c r="Q179" s="2">
        <v>95</v>
      </c>
      <c r="R179" s="2" t="s">
        <v>27</v>
      </c>
      <c r="S179" s="2" t="s">
        <v>28</v>
      </c>
      <c r="T179" s="2" t="s">
        <v>38</v>
      </c>
    </row>
    <row r="180" spans="1:20" ht="76.5" x14ac:dyDescent="0.25">
      <c r="A180" t="s">
        <v>912</v>
      </c>
      <c r="B180" s="2" t="s">
        <v>855</v>
      </c>
      <c r="C180" s="2" t="s">
        <v>20</v>
      </c>
      <c r="D180" s="2"/>
      <c r="E180" s="2"/>
      <c r="F180" s="2" t="str">
        <f>HYPERLINK("https://puck.news/")</f>
        <v>https://puck.news/</v>
      </c>
      <c r="G180" s="2" t="s">
        <v>856</v>
      </c>
      <c r="H180" s="2" t="str">
        <f>HYPERLINK("https://www.facebook.com/puckdotnews/")</f>
        <v>https://www.facebook.com/puckdotnews/</v>
      </c>
      <c r="I180" s="2" t="s">
        <v>857</v>
      </c>
      <c r="J180" s="2"/>
      <c r="K180" s="2" t="str">
        <f>HYPERLINK("https://www.linkedin.com/company/pucknews/")</f>
        <v>https://www.linkedin.com/company/pucknews/</v>
      </c>
      <c r="L180" s="2"/>
      <c r="M180" s="2"/>
      <c r="N180" s="2"/>
      <c r="O180" s="2" t="s">
        <v>26</v>
      </c>
      <c r="P180" s="2">
        <v>391481</v>
      </c>
      <c r="Q180" s="2">
        <v>63</v>
      </c>
      <c r="R180" s="2"/>
      <c r="S180" s="2"/>
      <c r="T180" s="2" t="s">
        <v>38</v>
      </c>
    </row>
    <row r="181" spans="1:20" ht="76.5" x14ac:dyDescent="0.25">
      <c r="A181" t="s">
        <v>912</v>
      </c>
      <c r="B181" s="2" t="s">
        <v>858</v>
      </c>
      <c r="C181" s="2" t="s">
        <v>20</v>
      </c>
      <c r="D181" s="2"/>
      <c r="E181" s="2" t="s">
        <v>59</v>
      </c>
      <c r="F181" s="2" t="str">
        <f>HYPERLINK("https://edition.cnn.com/shows/ac-360")</f>
        <v>https://edition.cnn.com/shows/ac-360</v>
      </c>
      <c r="G181" s="2" t="s">
        <v>60</v>
      </c>
      <c r="H181" s="2" t="str">
        <f>HYPERLINK("https://www.facebook.com/AC360")</f>
        <v>https://www.facebook.com/AC360</v>
      </c>
      <c r="I181" s="2" t="s">
        <v>859</v>
      </c>
      <c r="J181" s="2"/>
      <c r="K181" s="2"/>
      <c r="L181" s="2"/>
      <c r="M181" s="2"/>
      <c r="N181" s="2"/>
      <c r="O181" s="2" t="s">
        <v>26</v>
      </c>
      <c r="P181" s="2">
        <v>28501062</v>
      </c>
      <c r="Q181" s="2">
        <v>95</v>
      </c>
      <c r="R181" s="2" t="s">
        <v>27</v>
      </c>
      <c r="S181" s="2" t="s">
        <v>767</v>
      </c>
      <c r="T181" s="2" t="s">
        <v>38</v>
      </c>
    </row>
    <row r="182" spans="1:20" ht="89.25" x14ac:dyDescent="0.25">
      <c r="A182" t="s">
        <v>912</v>
      </c>
      <c r="B182" s="2" t="s">
        <v>860</v>
      </c>
      <c r="C182" s="2" t="s">
        <v>20</v>
      </c>
      <c r="D182" s="2" t="s">
        <v>861</v>
      </c>
      <c r="E182" s="2" t="s">
        <v>90</v>
      </c>
      <c r="F182" s="2" t="str">
        <f>HYPERLINK("https://www.wsj.com/news/magazine")</f>
        <v>https://www.wsj.com/news/magazine</v>
      </c>
      <c r="G182" s="2" t="s">
        <v>91</v>
      </c>
      <c r="H182" s="2" t="str">
        <f>HYPERLINK("https://www.facebook.com/wsjmag/")</f>
        <v>https://www.facebook.com/wsjmag/</v>
      </c>
      <c r="I182" s="2" t="s">
        <v>862</v>
      </c>
      <c r="J182" s="2"/>
      <c r="K182" s="2" t="str">
        <f>HYPERLINK("https://www.linkedin.com/company/the-wall-street-journal")</f>
        <v>https://www.linkedin.com/company/the-wall-street-journal</v>
      </c>
      <c r="L182" s="2"/>
      <c r="M182" s="2"/>
      <c r="N182" s="2" t="s">
        <v>863</v>
      </c>
      <c r="O182" s="2" t="s">
        <v>26</v>
      </c>
      <c r="P182" s="2">
        <v>28219883</v>
      </c>
      <c r="Q182" s="2">
        <v>94</v>
      </c>
      <c r="R182" s="2"/>
      <c r="S182" s="2"/>
      <c r="T182" s="2" t="s">
        <v>38</v>
      </c>
    </row>
    <row r="183" spans="1:20" ht="76.5" x14ac:dyDescent="0.25">
      <c r="A183" t="s">
        <v>912</v>
      </c>
      <c r="B183" s="2" t="s">
        <v>864</v>
      </c>
      <c r="C183" s="2" t="s">
        <v>20</v>
      </c>
      <c r="D183" s="2"/>
      <c r="E183" s="2" t="s">
        <v>865</v>
      </c>
      <c r="F183" s="2" t="str">
        <f>HYPERLINK("https://www.bloomberg.com/podcasts/surveillance")</f>
        <v>https://www.bloomberg.com/podcasts/surveillance</v>
      </c>
      <c r="G183" s="2" t="s">
        <v>33</v>
      </c>
      <c r="H183" s="2"/>
      <c r="I183" s="2" t="s">
        <v>866</v>
      </c>
      <c r="J183" s="2"/>
      <c r="K183" s="2" t="str">
        <f>HYPERLINK("https://www.linkedin.com/company/bloomberg-lp")</f>
        <v>https://www.linkedin.com/company/bloomberg-lp</v>
      </c>
      <c r="L183" s="2"/>
      <c r="M183" s="2"/>
      <c r="N183" s="2"/>
      <c r="O183" s="2" t="s">
        <v>26</v>
      </c>
      <c r="P183" s="2">
        <v>28503276</v>
      </c>
      <c r="Q183" s="2">
        <v>94</v>
      </c>
      <c r="R183" s="2" t="s">
        <v>36</v>
      </c>
      <c r="S183" s="2"/>
      <c r="T183" s="2" t="s">
        <v>38</v>
      </c>
    </row>
    <row r="184" spans="1:20" ht="63.75" x14ac:dyDescent="0.25">
      <c r="A184" t="s">
        <v>912</v>
      </c>
      <c r="B184" s="2" t="s">
        <v>867</v>
      </c>
      <c r="C184" s="2" t="s">
        <v>20</v>
      </c>
      <c r="D184" s="2"/>
      <c r="E184" s="2"/>
      <c r="F184" s="2" t="str">
        <f>HYPERLINK("http://bloombergneweconomy.com")</f>
        <v>http://bloombergneweconomy.com</v>
      </c>
      <c r="G184" s="2" t="s">
        <v>868</v>
      </c>
      <c r="H184" s="2" t="str">
        <f>HYPERLINK("https://www.facebook.com/BBGNewEconomy/")</f>
        <v>https://www.facebook.com/BBGNewEconomy/</v>
      </c>
      <c r="I184" s="2" t="s">
        <v>869</v>
      </c>
      <c r="J184" s="2"/>
      <c r="K184" s="2" t="str">
        <f>HYPERLINK("https://www.linkedin.com/showcase/bloomberg-new-economy/")</f>
        <v>https://www.linkedin.com/showcase/bloomberg-new-economy/</v>
      </c>
      <c r="L184" s="2"/>
      <c r="M184" s="2"/>
      <c r="N184" s="2"/>
      <c r="O184" s="2" t="s">
        <v>26</v>
      </c>
      <c r="P184" s="2">
        <v>12026</v>
      </c>
      <c r="Q184" s="2">
        <v>46</v>
      </c>
      <c r="R184" s="2"/>
      <c r="S184" s="2"/>
      <c r="T184" s="2" t="s">
        <v>38</v>
      </c>
    </row>
    <row r="185" spans="1:20" ht="38.25" x14ac:dyDescent="0.25">
      <c r="A185" t="s">
        <v>912</v>
      </c>
      <c r="B185" s="2" t="s">
        <v>870</v>
      </c>
      <c r="C185" s="2" t="s">
        <v>20</v>
      </c>
      <c r="D185" s="2"/>
      <c r="E185" s="2"/>
      <c r="F185" s="2" t="str">
        <f>HYPERLINK("https://upfront.scholastic.com")</f>
        <v>https://upfront.scholastic.com</v>
      </c>
      <c r="G185" s="2" t="s">
        <v>38</v>
      </c>
      <c r="H185" s="2"/>
      <c r="I185" s="2"/>
      <c r="J185" s="2"/>
      <c r="K185" s="2"/>
      <c r="L185" s="2"/>
      <c r="M185" s="2"/>
      <c r="N185" s="2"/>
      <c r="O185" s="2" t="s">
        <v>26</v>
      </c>
      <c r="P185" s="2">
        <v>36916</v>
      </c>
      <c r="Q185" s="2">
        <v>92</v>
      </c>
      <c r="R185" s="2" t="s">
        <v>217</v>
      </c>
      <c r="S185" s="2"/>
      <c r="T185" s="2" t="s">
        <v>38</v>
      </c>
    </row>
    <row r="186" spans="1:20" ht="76.5" x14ac:dyDescent="0.25">
      <c r="A186" t="s">
        <v>912</v>
      </c>
      <c r="B186" s="2" t="s">
        <v>871</v>
      </c>
      <c r="C186" s="2" t="s">
        <v>20</v>
      </c>
      <c r="D186" s="2"/>
      <c r="E186" s="2"/>
      <c r="F186" s="2" t="str">
        <f>HYPERLINK("http://soundcloud.com/playbook-audio-briefing")</f>
        <v>http://soundcloud.com/playbook-audio-briefing</v>
      </c>
      <c r="G186" s="2" t="s">
        <v>842</v>
      </c>
      <c r="H186" s="2" t="str">
        <f>HYPERLINK("https://www.facebook.com/PoliticoPlaybook/")</f>
        <v>https://www.facebook.com/PoliticoPlaybook/</v>
      </c>
      <c r="I186" s="2" t="s">
        <v>872</v>
      </c>
      <c r="J186" s="2"/>
      <c r="K186" s="2"/>
      <c r="L186" s="2"/>
      <c r="M186" s="2"/>
      <c r="N186" s="2"/>
      <c r="O186" s="2" t="s">
        <v>26</v>
      </c>
      <c r="P186" s="2"/>
      <c r="Q186" s="2">
        <v>94</v>
      </c>
      <c r="R186" s="2" t="s">
        <v>27</v>
      </c>
      <c r="S186" s="2" t="s">
        <v>767</v>
      </c>
      <c r="T186" s="2" t="s">
        <v>38</v>
      </c>
    </row>
    <row r="187" spans="1:20" ht="76.5" x14ac:dyDescent="0.25">
      <c r="A187" t="s">
        <v>913</v>
      </c>
      <c r="B187" s="2" t="s">
        <v>873</v>
      </c>
      <c r="C187" s="2" t="s">
        <v>20</v>
      </c>
      <c r="D187" s="2"/>
      <c r="E187" s="2" t="s">
        <v>832</v>
      </c>
      <c r="F187" s="2" t="str">
        <f>HYPERLINK("https://www.cnn.com/audio/podcasts/amanpour")</f>
        <v>https://www.cnn.com/audio/podcasts/amanpour</v>
      </c>
      <c r="G187" s="2" t="s">
        <v>874</v>
      </c>
      <c r="H187" s="2"/>
      <c r="I187" s="2" t="s">
        <v>748</v>
      </c>
      <c r="J187" s="2"/>
      <c r="K187" s="2" t="str">
        <f>HYPERLINK("https://www.linkedin.com/company/cnn")</f>
        <v>https://www.linkedin.com/company/cnn</v>
      </c>
      <c r="L187" s="2"/>
      <c r="M187" s="2"/>
      <c r="N187" s="2"/>
      <c r="O187" s="2" t="s">
        <v>26</v>
      </c>
      <c r="P187" s="2">
        <v>162018974</v>
      </c>
      <c r="Q187" s="2">
        <v>95</v>
      </c>
      <c r="R187" s="2"/>
      <c r="S187" s="2"/>
      <c r="T187" s="2" t="s">
        <v>38</v>
      </c>
    </row>
    <row r="188" spans="1:20" ht="76.5" x14ac:dyDescent="0.25">
      <c r="A188" t="s">
        <v>912</v>
      </c>
      <c r="B188" s="2" t="s">
        <v>875</v>
      </c>
      <c r="C188" s="2" t="s">
        <v>20</v>
      </c>
      <c r="D188" s="2" t="s">
        <v>876</v>
      </c>
      <c r="E188" s="2" t="s">
        <v>32</v>
      </c>
      <c r="F188" s="2" t="str">
        <f>HYPERLINK("https://www.bloomberg.com/green")</f>
        <v>https://www.bloomberg.com/green</v>
      </c>
      <c r="G188" s="2" t="s">
        <v>33</v>
      </c>
      <c r="H188" s="2" t="str">
        <f>HYPERLINK("https://www.facebook.com/bloomberggreen")</f>
        <v>https://www.facebook.com/bloomberggreen</v>
      </c>
      <c r="I188" s="2" t="s">
        <v>877</v>
      </c>
      <c r="J188" s="2"/>
      <c r="K188" s="2" t="str">
        <f>HYPERLINK("https://www.linkedin.com/company/bloomberg-lp")</f>
        <v>https://www.linkedin.com/company/bloomberg-lp</v>
      </c>
      <c r="L188" s="2"/>
      <c r="M188" s="2"/>
      <c r="N188" s="2"/>
      <c r="O188" s="2" t="s">
        <v>26</v>
      </c>
      <c r="P188" s="2">
        <v>28503276</v>
      </c>
      <c r="Q188" s="2">
        <v>94</v>
      </c>
      <c r="R188" s="2"/>
      <c r="S188" s="2"/>
      <c r="T188" s="2" t="s">
        <v>38</v>
      </c>
    </row>
    <row r="189" spans="1:20" ht="127.5" x14ac:dyDescent="0.25">
      <c r="A189" t="s">
        <v>913</v>
      </c>
      <c r="B189" s="2" t="s">
        <v>878</v>
      </c>
      <c r="C189" s="2" t="s">
        <v>20</v>
      </c>
      <c r="D189" s="2" t="s">
        <v>879</v>
      </c>
      <c r="E189" s="2"/>
      <c r="F189" s="2" t="str">
        <f>HYPERLINK("http://semafor.com")</f>
        <v>http://semafor.com</v>
      </c>
      <c r="G189" s="2" t="s">
        <v>880</v>
      </c>
      <c r="H189" s="2" t="str">
        <f>HYPERLINK("https://www.facebook.com/semaformedia")</f>
        <v>https://www.facebook.com/semaformedia</v>
      </c>
      <c r="I189" s="2" t="s">
        <v>881</v>
      </c>
      <c r="J189" s="2"/>
      <c r="K189" s="2" t="str">
        <f>HYPERLINK("https://www.linkedin.com/company/semaformedia/?trk=public_profile_experience-item_profile-section-card_image-click")</f>
        <v>https://www.linkedin.com/company/semaformedia/?trk=public_profile_experience-item_profile-section-card_image-click</v>
      </c>
      <c r="L189" s="2"/>
      <c r="M189" s="2"/>
      <c r="N189" s="2"/>
      <c r="O189" s="2" t="s">
        <v>26</v>
      </c>
      <c r="P189" s="2">
        <v>996407</v>
      </c>
      <c r="Q189" s="2">
        <v>64</v>
      </c>
      <c r="R189" s="2"/>
      <c r="S189" s="2"/>
      <c r="T189" s="2" t="s">
        <v>38</v>
      </c>
    </row>
    <row r="190" spans="1:20" ht="89.25" x14ac:dyDescent="0.25">
      <c r="A190" t="s">
        <v>912</v>
      </c>
      <c r="B190" s="2" t="s">
        <v>882</v>
      </c>
      <c r="C190" s="2" t="s">
        <v>20</v>
      </c>
      <c r="D190" s="2" t="s">
        <v>883</v>
      </c>
      <c r="E190" s="2" t="s">
        <v>90</v>
      </c>
      <c r="F190" s="2" t="str">
        <f>HYPERLINK("https://www.wsj.com/buyside")</f>
        <v>https://www.wsj.com/buyside</v>
      </c>
      <c r="G190" s="2" t="s">
        <v>91</v>
      </c>
      <c r="H190" s="2" t="str">
        <f>HYPERLINK("https://www.facebook.com/BuySideWSJ")</f>
        <v>https://www.facebook.com/BuySideWSJ</v>
      </c>
      <c r="I190" s="2" t="s">
        <v>884</v>
      </c>
      <c r="J190" s="2"/>
      <c r="K190" s="2" t="str">
        <f>HYPERLINK("https://www.linkedin.com/company/the-wall-street-journal")</f>
        <v>https://www.linkedin.com/company/the-wall-street-journal</v>
      </c>
      <c r="L190" s="2"/>
      <c r="M190" s="2"/>
      <c r="N190" s="2"/>
      <c r="O190" s="2" t="s">
        <v>26</v>
      </c>
      <c r="P190" s="2">
        <v>28219883</v>
      </c>
      <c r="Q190" s="2">
        <v>94</v>
      </c>
      <c r="R190" s="2"/>
      <c r="S190" s="2"/>
      <c r="T190" s="2" t="s">
        <v>38</v>
      </c>
    </row>
    <row r="191" spans="1:20" ht="63.75" x14ac:dyDescent="0.25">
      <c r="A191" t="s">
        <v>912</v>
      </c>
      <c r="B191" s="2" t="s">
        <v>885</v>
      </c>
      <c r="C191" s="2" t="s">
        <v>20</v>
      </c>
      <c r="D191" s="2"/>
      <c r="E191" s="2"/>
      <c r="F191" s="2" t="str">
        <f>HYPERLINK("https://www.wsj.com/podcasts/opinion-free-expression")</f>
        <v>https://www.wsj.com/podcasts/opinion-free-expression</v>
      </c>
      <c r="G191" s="2" t="s">
        <v>880</v>
      </c>
      <c r="H191" s="2"/>
      <c r="I191" s="2"/>
      <c r="J191" s="2"/>
      <c r="K191" s="2"/>
      <c r="L191" s="2"/>
      <c r="M191" s="2"/>
      <c r="N191" s="2"/>
      <c r="O191" s="2" t="s">
        <v>26</v>
      </c>
      <c r="P191" s="2">
        <v>28219883</v>
      </c>
      <c r="Q191" s="2">
        <v>94</v>
      </c>
      <c r="R191" s="2"/>
      <c r="S191" s="2"/>
      <c r="T191" s="2" t="s">
        <v>38</v>
      </c>
    </row>
    <row r="192" spans="1:20" ht="89.25" x14ac:dyDescent="0.25">
      <c r="A192" t="s">
        <v>912</v>
      </c>
      <c r="B192" s="2" t="s">
        <v>886</v>
      </c>
      <c r="C192" s="2" t="s">
        <v>20</v>
      </c>
      <c r="D192" s="2"/>
      <c r="E192" s="2" t="s">
        <v>59</v>
      </c>
      <c r="F192" s="2" t="str">
        <f>HYPERLINK("https://edition.cnn.com/audio/podcasts/cnn-this-morning")</f>
        <v>https://edition.cnn.com/audio/podcasts/cnn-this-morning</v>
      </c>
      <c r="G192" s="2" t="s">
        <v>60</v>
      </c>
      <c r="H192" s="2"/>
      <c r="I192" s="2" t="s">
        <v>887</v>
      </c>
      <c r="J192" s="2"/>
      <c r="K192" s="2"/>
      <c r="L192" s="2"/>
      <c r="M192" s="2"/>
      <c r="N192" s="2"/>
      <c r="O192" s="2" t="s">
        <v>26</v>
      </c>
      <c r="P192" s="2">
        <v>28501062</v>
      </c>
      <c r="Q192" s="2">
        <v>95</v>
      </c>
      <c r="R192" s="2" t="s">
        <v>27</v>
      </c>
      <c r="S192" s="2" t="s">
        <v>28</v>
      </c>
      <c r="T192" s="2" t="s">
        <v>38</v>
      </c>
    </row>
    <row r="193" spans="1:20" ht="89.25" x14ac:dyDescent="0.25">
      <c r="A193" t="s">
        <v>912</v>
      </c>
      <c r="B193" s="2" t="s">
        <v>888</v>
      </c>
      <c r="C193" s="2" t="s">
        <v>20</v>
      </c>
      <c r="D193" s="2" t="s">
        <v>889</v>
      </c>
      <c r="E193" s="2" t="s">
        <v>126</v>
      </c>
      <c r="F193" s="2" t="str">
        <f>HYPERLINK("https://www.forbes.com/health/")</f>
        <v>https://www.forbes.com/health/</v>
      </c>
      <c r="G193" s="2" t="s">
        <v>127</v>
      </c>
      <c r="H193" s="2"/>
      <c r="I193" s="2" t="s">
        <v>890</v>
      </c>
      <c r="J193" s="2"/>
      <c r="K193" s="2"/>
      <c r="L193" s="2"/>
      <c r="M193" s="2"/>
      <c r="N193" s="2"/>
      <c r="O193" s="2" t="s">
        <v>26</v>
      </c>
      <c r="P193" s="2">
        <v>72975564</v>
      </c>
      <c r="Q193" s="2">
        <v>94</v>
      </c>
      <c r="R193" s="2"/>
      <c r="S193" s="2"/>
      <c r="T193" s="2" t="s">
        <v>38</v>
      </c>
    </row>
    <row r="194" spans="1:20" ht="89.25" x14ac:dyDescent="0.25">
      <c r="A194" t="s">
        <v>912</v>
      </c>
      <c r="B194" s="2" t="s">
        <v>891</v>
      </c>
      <c r="C194" s="2" t="s">
        <v>20</v>
      </c>
      <c r="D194" s="2" t="s">
        <v>892</v>
      </c>
      <c r="E194" s="2"/>
      <c r="F194" s="2" t="str">
        <f>HYPERLINK("https://themessenger.com/")</f>
        <v>https://themessenger.com/</v>
      </c>
      <c r="G194" s="2" t="s">
        <v>893</v>
      </c>
      <c r="H194" s="2" t="str">
        <f>HYPERLINK("https://www.facebook.com/themessengerfb")</f>
        <v>https://www.facebook.com/themessengerfb</v>
      </c>
      <c r="I194" s="2" t="s">
        <v>894</v>
      </c>
      <c r="J194" s="2"/>
      <c r="K194" s="2" t="str">
        <f>HYPERLINK("https://www.linkedin.com/company/themessengermedia/")</f>
        <v>https://www.linkedin.com/company/themessengermedia/</v>
      </c>
      <c r="L194" s="2"/>
      <c r="M194" s="2"/>
      <c r="N194" s="2"/>
      <c r="O194" s="2" t="s">
        <v>26</v>
      </c>
      <c r="P194" s="2">
        <v>5663991</v>
      </c>
      <c r="Q194" s="2">
        <v>64</v>
      </c>
      <c r="R194" s="2"/>
      <c r="S194" s="2"/>
      <c r="T194" s="2" t="s">
        <v>38</v>
      </c>
    </row>
    <row r="195" spans="1:20" ht="89.25" x14ac:dyDescent="0.25">
      <c r="A195" t="s">
        <v>912</v>
      </c>
      <c r="B195" s="2" t="s">
        <v>895</v>
      </c>
      <c r="C195" s="2" t="s">
        <v>20</v>
      </c>
      <c r="D195" s="2"/>
      <c r="E195" s="2" t="s">
        <v>90</v>
      </c>
      <c r="F195" s="2" t="str">
        <f>HYPERLINK("https://www.wsj.com/pro/private-equity")</f>
        <v>https://www.wsj.com/pro/private-equity</v>
      </c>
      <c r="G195" s="2" t="s">
        <v>91</v>
      </c>
      <c r="H195" s="2"/>
      <c r="I195" s="2" t="s">
        <v>646</v>
      </c>
      <c r="J195" s="2"/>
      <c r="K195" s="2"/>
      <c r="L195" s="2"/>
      <c r="M195" s="2"/>
      <c r="N195" s="2"/>
      <c r="O195" s="2" t="s">
        <v>26</v>
      </c>
      <c r="P195" s="2">
        <v>28219883</v>
      </c>
      <c r="Q195" s="2">
        <v>94</v>
      </c>
      <c r="R195" s="2"/>
      <c r="S195" s="2"/>
      <c r="T195" s="2" t="s">
        <v>38</v>
      </c>
    </row>
    <row r="196" spans="1:20" ht="89.25" x14ac:dyDescent="0.25">
      <c r="A196" t="s">
        <v>912</v>
      </c>
      <c r="B196" s="2" t="s">
        <v>896</v>
      </c>
      <c r="C196" s="2" t="s">
        <v>20</v>
      </c>
      <c r="D196" s="2" t="s">
        <v>897</v>
      </c>
      <c r="E196" s="2"/>
      <c r="F196" s="2" t="str">
        <f>HYPERLINK("https://wsjpro.com/venture-capital/")</f>
        <v>https://wsjpro.com/venture-capital/</v>
      </c>
      <c r="G196" s="2" t="s">
        <v>898</v>
      </c>
      <c r="H196" s="2"/>
      <c r="I196" s="2"/>
      <c r="J196" s="2"/>
      <c r="K196" s="2"/>
      <c r="L196" s="2"/>
      <c r="M196" s="2"/>
      <c r="N196" s="2"/>
      <c r="O196" s="2" t="s">
        <v>26</v>
      </c>
      <c r="P196" s="2">
        <v>10581</v>
      </c>
      <c r="Q196" s="2">
        <v>19</v>
      </c>
      <c r="R196" s="2"/>
      <c r="S196" s="2"/>
      <c r="T196" s="2" t="s">
        <v>38</v>
      </c>
    </row>
    <row r="197" spans="1:20" ht="89.25" x14ac:dyDescent="0.25">
      <c r="A197" t="s">
        <v>912</v>
      </c>
      <c r="B197" s="2" t="s">
        <v>899</v>
      </c>
      <c r="C197" s="2" t="s">
        <v>20</v>
      </c>
      <c r="D197" s="2" t="s">
        <v>223</v>
      </c>
      <c r="E197" s="2" t="s">
        <v>224</v>
      </c>
      <c r="F197" s="2" t="str">
        <f>HYPERLINK("https://www.cnbc.com/cryptoworld/")</f>
        <v>https://www.cnbc.com/cryptoworld/</v>
      </c>
      <c r="G197" s="2" t="s">
        <v>225</v>
      </c>
      <c r="H197" s="2" t="str">
        <f>HYPERLINK("https://www.facebook.com/cnbc")</f>
        <v>https://www.facebook.com/cnbc</v>
      </c>
      <c r="I197" s="2" t="s">
        <v>222</v>
      </c>
      <c r="J197" s="2"/>
      <c r="K197" s="2" t="str">
        <f>HYPERLINK("https://www.linkedin.com/company/cnbc/")</f>
        <v>https://www.linkedin.com/company/cnbc/</v>
      </c>
      <c r="L197" s="2"/>
      <c r="M197" s="2"/>
      <c r="N197" s="2"/>
      <c r="O197" s="2" t="s">
        <v>26</v>
      </c>
      <c r="P197" s="2">
        <v>50328997</v>
      </c>
      <c r="Q197" s="2">
        <v>93</v>
      </c>
      <c r="R197" s="2" t="s">
        <v>27</v>
      </c>
      <c r="S197" s="2"/>
      <c r="T197" s="2" t="s">
        <v>38</v>
      </c>
    </row>
    <row r="198" spans="1:20" ht="25.5" x14ac:dyDescent="0.25">
      <c r="A198" t="s">
        <v>913</v>
      </c>
      <c r="B198" s="2" t="s">
        <v>900</v>
      </c>
      <c r="C198" s="2" t="s">
        <v>20</v>
      </c>
      <c r="D198" s="2"/>
      <c r="E198" s="2"/>
      <c r="F198" s="2" t="str">
        <f>HYPERLINK("http://404media.co")</f>
        <v>http://404media.co</v>
      </c>
      <c r="G198" s="2"/>
      <c r="H198" s="2"/>
      <c r="I198" s="2" t="s">
        <v>901</v>
      </c>
      <c r="J198" s="2"/>
      <c r="K198" s="2"/>
      <c r="L198" s="2"/>
      <c r="M198" s="2"/>
      <c r="N198" s="2"/>
      <c r="O198" s="2" t="s">
        <v>26</v>
      </c>
      <c r="P198" s="2">
        <v>1085563</v>
      </c>
      <c r="Q198" s="2">
        <v>58</v>
      </c>
      <c r="R198" s="2"/>
      <c r="S198" s="2"/>
      <c r="T198" s="2"/>
    </row>
    <row r="199" spans="1:20" ht="63.75" x14ac:dyDescent="0.25">
      <c r="A199" t="s">
        <v>912</v>
      </c>
      <c r="B199" s="2" t="s">
        <v>902</v>
      </c>
      <c r="C199" s="2" t="s">
        <v>20</v>
      </c>
      <c r="D199" s="2" t="s">
        <v>903</v>
      </c>
      <c r="E199" s="2"/>
      <c r="F199" s="2" t="str">
        <f>HYPERLINK("https://www.nytimes.com/international/")</f>
        <v>https://www.nytimes.com/international/</v>
      </c>
      <c r="G199" s="2" t="s">
        <v>904</v>
      </c>
      <c r="H199" s="2" t="str">
        <f>HYPERLINK("https://www.facebook.com/nytimes/")</f>
        <v>https://www.facebook.com/nytimes/</v>
      </c>
      <c r="I199" s="2" t="s">
        <v>905</v>
      </c>
      <c r="J199" s="2"/>
      <c r="K199" s="2" t="str">
        <f>HYPERLINK("https://www.linkedin.com/company/the-new-york-times/")</f>
        <v>https://www.linkedin.com/company/the-new-york-times/</v>
      </c>
      <c r="L199" s="2"/>
      <c r="M199" s="2"/>
      <c r="N199" s="2" t="s">
        <v>906</v>
      </c>
      <c r="O199" s="2" t="s">
        <v>26</v>
      </c>
      <c r="P199" s="2">
        <v>145595270</v>
      </c>
      <c r="Q199" s="2">
        <v>95</v>
      </c>
      <c r="R199" s="2"/>
      <c r="S199" s="2"/>
      <c r="T199" s="2" t="s">
        <v>29</v>
      </c>
    </row>
    <row r="200" spans="1:20" ht="76.5" x14ac:dyDescent="0.25">
      <c r="A200" t="s">
        <v>912</v>
      </c>
      <c r="B200" s="2" t="s">
        <v>907</v>
      </c>
      <c r="C200" s="2" t="s">
        <v>20</v>
      </c>
      <c r="D200" s="2" t="s">
        <v>41</v>
      </c>
      <c r="E200" s="2" t="s">
        <v>42</v>
      </c>
      <c r="F200" s="2" t="str">
        <f>HYPERLINK("https://www.nytimes.com/section/upshot")</f>
        <v>https://www.nytimes.com/section/upshot</v>
      </c>
      <c r="G200" s="2" t="s">
        <v>43</v>
      </c>
      <c r="H200" s="2" t="str">
        <f>HYPERLINK("https://www.facebook.com/upshot/")</f>
        <v>https://www.facebook.com/upshot/</v>
      </c>
      <c r="I200" s="2" t="s">
        <v>908</v>
      </c>
      <c r="J200" s="2"/>
      <c r="K200" s="2"/>
      <c r="L200" s="2"/>
      <c r="M200" s="2"/>
      <c r="N200" s="2"/>
      <c r="O200" s="2" t="s">
        <v>26</v>
      </c>
      <c r="P200" s="2">
        <v>145595270</v>
      </c>
      <c r="Q200" s="2">
        <v>95</v>
      </c>
      <c r="R200" s="2"/>
      <c r="S200" s="2"/>
      <c r="T200" s="2" t="s">
        <v>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Outlets List 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Ronak Gandhi</cp:lastModifiedBy>
  <dcterms:created xsi:type="dcterms:W3CDTF">2023-12-25T08:38:02Z</dcterms:created>
  <dcterms:modified xsi:type="dcterms:W3CDTF">2024-03-20T16:34:32Z</dcterms:modified>
</cp:coreProperties>
</file>