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tagouni-my.sharepoint.com/personal/yosyu218_student_otago_ac_nz/Documents/"/>
    </mc:Choice>
  </mc:AlternateContent>
  <xr:revisionPtr revIDLastSave="447" documentId="13_ncr:40009_{9EB3BF62-5A2D-C444-B458-7D4282C072CD}" xr6:coauthVersionLast="47" xr6:coauthVersionMax="47" xr10:uidLastSave="{F334EF10-C4A0-204E-B68B-D22D142984E1}"/>
  <bookViews>
    <workbookView xWindow="1140" yWindow="760" windowWidth="29120" windowHeight="18880" tabRatio="522" activeTab="4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Sp3" sheetId="22" r:id="rId6"/>
    <sheet name="Task Slips" sheetId="21" r:id="rId7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6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'Sp2'!$A$14:$AD$64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'Sp2'!$D$14:$D$59</definedName>
    <definedName name="TaskStoryID" localSheetId="3">'Sp1'!$B$14:$B$53</definedName>
    <definedName name="TaskStoryID">'Sp2'!$B$14:$B$54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22" l="1"/>
  <c r="E10" i="22"/>
  <c r="F11" i="22" s="1"/>
  <c r="E10" i="16"/>
  <c r="F21" i="22"/>
  <c r="AC21" i="22"/>
  <c r="D65" i="22"/>
  <c r="F60" i="22"/>
  <c r="D60" i="22"/>
  <c r="G59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38" i="22"/>
  <c r="D38" i="22"/>
  <c r="F37" i="22"/>
  <c r="D37" i="22"/>
  <c r="F36" i="22"/>
  <c r="D36" i="22"/>
  <c r="F35" i="22"/>
  <c r="D35" i="22"/>
  <c r="F34" i="22"/>
  <c r="D34" i="22"/>
  <c r="F33" i="22"/>
  <c r="D33" i="22"/>
  <c r="F32" i="22"/>
  <c r="D32" i="22"/>
  <c r="F31" i="22"/>
  <c r="D31" i="22"/>
  <c r="F30" i="22"/>
  <c r="D30" i="22"/>
  <c r="F29" i="22"/>
  <c r="D29" i="22"/>
  <c r="F28" i="22"/>
  <c r="D28" i="22"/>
  <c r="F27" i="22"/>
  <c r="D27" i="22"/>
  <c r="F26" i="22"/>
  <c r="D26" i="22"/>
  <c r="F25" i="22"/>
  <c r="D25" i="22"/>
  <c r="F24" i="22"/>
  <c r="F19" i="22"/>
  <c r="F20" i="22"/>
  <c r="D20" i="22"/>
  <c r="F18" i="22"/>
  <c r="F17" i="22"/>
  <c r="F15" i="22"/>
  <c r="G14" i="22"/>
  <c r="G60" i="22" s="1"/>
  <c r="F13" i="22"/>
  <c r="D13" i="22"/>
  <c r="B11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D23" i="8"/>
  <c r="AC25" i="19"/>
  <c r="AD25" i="19"/>
  <c r="F23" i="19"/>
  <c r="F21" i="19"/>
  <c r="F20" i="19"/>
  <c r="F19" i="19"/>
  <c r="E31" i="7"/>
  <c r="D16" i="20"/>
  <c r="G4" i="20"/>
  <c r="D10" i="20" s="1"/>
  <c r="P36" i="20" s="1"/>
  <c r="B17" i="7"/>
  <c r="D17" i="7" s="1"/>
  <c r="D16" i="7"/>
  <c r="F28" i="20"/>
  <c r="F18" i="19"/>
  <c r="F17" i="19"/>
  <c r="F16" i="19"/>
  <c r="F15" i="19"/>
  <c r="E5" i="7"/>
  <c r="G14" i="19"/>
  <c r="G62" i="19" s="1"/>
  <c r="F18" i="7"/>
  <c r="F22" i="7"/>
  <c r="F23" i="7" s="1"/>
  <c r="F24" i="7" s="1"/>
  <c r="F25" i="7" s="1"/>
  <c r="F26" i="7" s="1"/>
  <c r="F27" i="7" s="1"/>
  <c r="F28" i="7" s="1"/>
  <c r="F29" i="7" s="1"/>
  <c r="F30" i="7" s="1"/>
  <c r="G17" i="20"/>
  <c r="A18" i="20"/>
  <c r="A8" i="20"/>
  <c r="D15" i="20"/>
  <c r="D17" i="20"/>
  <c r="H28" i="20"/>
  <c r="B11" i="19"/>
  <c r="T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F15" i="16"/>
  <c r="F17" i="16"/>
  <c r="F18" i="16"/>
  <c r="F19" i="16"/>
  <c r="E10" i="7"/>
  <c r="E9" i="7"/>
  <c r="E8" i="7"/>
  <c r="E7" i="7"/>
  <c r="E6" i="7"/>
  <c r="D6" i="7"/>
  <c r="C7" i="7"/>
  <c r="D7" i="7" s="1"/>
  <c r="C8" i="7"/>
  <c r="D8" i="7" s="1"/>
  <c r="C9" i="7"/>
  <c r="D9" i="7"/>
  <c r="C10" i="7"/>
  <c r="D10" i="7" s="1"/>
  <c r="D4" i="7"/>
  <c r="G14" i="16"/>
  <c r="G59" i="16" s="1"/>
  <c r="D20" i="16"/>
  <c r="F20" i="16"/>
  <c r="F21" i="16"/>
  <c r="F22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0" i="16"/>
  <c r="F60" i="16"/>
  <c r="D65" i="16"/>
  <c r="B5" i="7"/>
  <c r="D5" i="7" s="1"/>
  <c r="B22" i="7"/>
  <c r="A22" i="7" s="1"/>
  <c r="E22" i="7" s="1"/>
  <c r="G11" i="22" l="1"/>
  <c r="D11" i="22"/>
  <c r="H14" i="22"/>
  <c r="O10" i="19"/>
  <c r="G10" i="19"/>
  <c r="Q10" i="19"/>
  <c r="AA10" i="19"/>
  <c r="I10" i="19"/>
  <c r="W10" i="19"/>
  <c r="G5" i="20"/>
  <c r="G6" i="20" s="1"/>
  <c r="L10" i="19"/>
  <c r="F10" i="19"/>
  <c r="K10" i="19"/>
  <c r="V10" i="19"/>
  <c r="U10" i="19"/>
  <c r="X10" i="19"/>
  <c r="M10" i="19"/>
  <c r="B29" i="20"/>
  <c r="Z10" i="19"/>
  <c r="R10" i="19"/>
  <c r="P10" i="19"/>
  <c r="AB10" i="19"/>
  <c r="J10" i="19"/>
  <c r="S10" i="19"/>
  <c r="H14" i="16"/>
  <c r="H60" i="16" s="1"/>
  <c r="G60" i="16"/>
  <c r="E10" i="19"/>
  <c r="F11" i="19" s="1"/>
  <c r="K28" i="20"/>
  <c r="G28" i="20"/>
  <c r="H14" i="19"/>
  <c r="I14" i="19" s="1"/>
  <c r="J14" i="19" s="1"/>
  <c r="K14" i="19" s="1"/>
  <c r="Y10" i="19"/>
  <c r="H10" i="19"/>
  <c r="N10" i="19"/>
  <c r="G63" i="19"/>
  <c r="B18" i="7"/>
  <c r="D18" i="7" s="1"/>
  <c r="B23" i="7"/>
  <c r="D22" i="7"/>
  <c r="P51" i="20"/>
  <c r="P38" i="20"/>
  <c r="P40" i="20"/>
  <c r="P39" i="20"/>
  <c r="I10" i="16"/>
  <c r="P31" i="20"/>
  <c r="P46" i="20"/>
  <c r="P30" i="20"/>
  <c r="X10" i="16"/>
  <c r="P49" i="20"/>
  <c r="P37" i="20"/>
  <c r="K10" i="16"/>
  <c r="S10" i="16"/>
  <c r="T10" i="16"/>
  <c r="U10" i="16"/>
  <c r="R10" i="16"/>
  <c r="G10" i="16"/>
  <c r="L10" i="16"/>
  <c r="W10" i="16"/>
  <c r="N10" i="16"/>
  <c r="J10" i="16"/>
  <c r="M10" i="16"/>
  <c r="P10" i="16"/>
  <c r="AA10" i="16"/>
  <c r="Z10" i="16"/>
  <c r="H10" i="16"/>
  <c r="Q10" i="16"/>
  <c r="AB10" i="16"/>
  <c r="Y10" i="16"/>
  <c r="F10" i="16"/>
  <c r="O10" i="16"/>
  <c r="V10" i="16"/>
  <c r="P32" i="20"/>
  <c r="P33" i="20"/>
  <c r="P34" i="20"/>
  <c r="P35" i="20"/>
  <c r="P50" i="20"/>
  <c r="P44" i="20"/>
  <c r="P29" i="20"/>
  <c r="P42" i="20"/>
  <c r="P47" i="20"/>
  <c r="D11" i="20"/>
  <c r="P41" i="20"/>
  <c r="P48" i="20"/>
  <c r="P45" i="20"/>
  <c r="P43" i="20"/>
  <c r="P28" i="20"/>
  <c r="H11" i="22" l="1"/>
  <c r="H59" i="22"/>
  <c r="H60" i="22"/>
  <c r="I14" i="22"/>
  <c r="D8" i="20"/>
  <c r="I29" i="20"/>
  <c r="H29" i="20" s="1"/>
  <c r="B31" i="20"/>
  <c r="E31" i="20" s="1"/>
  <c r="F29" i="20"/>
  <c r="G29" i="20" s="1"/>
  <c r="I14" i="16"/>
  <c r="I60" i="16" s="1"/>
  <c r="H59" i="16"/>
  <c r="H11" i="19"/>
  <c r="G11" i="19"/>
  <c r="H63" i="19"/>
  <c r="H62" i="19"/>
  <c r="B24" i="7"/>
  <c r="D23" i="7"/>
  <c r="A23" i="7"/>
  <c r="E23" i="7" s="1"/>
  <c r="H11" i="16"/>
  <c r="G11" i="16"/>
  <c r="F11" i="16"/>
  <c r="Q29" i="20"/>
  <c r="Q36" i="20"/>
  <c r="Q34" i="20"/>
  <c r="Q31" i="20"/>
  <c r="Q47" i="20"/>
  <c r="Q44" i="20"/>
  <c r="Q48" i="20"/>
  <c r="Q43" i="20"/>
  <c r="Q49" i="20"/>
  <c r="Q30" i="20"/>
  <c r="Q32" i="20"/>
  <c r="Q41" i="20"/>
  <c r="Q46" i="20"/>
  <c r="Q37" i="20"/>
  <c r="Q33" i="20"/>
  <c r="Q28" i="20"/>
  <c r="Q39" i="20"/>
  <c r="Q35" i="20"/>
  <c r="Q51" i="20"/>
  <c r="Q45" i="20"/>
  <c r="Q40" i="20"/>
  <c r="Q50" i="20"/>
  <c r="Q38" i="20"/>
  <c r="Q42" i="20"/>
  <c r="I59" i="22" l="1"/>
  <c r="J14" i="22"/>
  <c r="I11" i="22"/>
  <c r="I60" i="22"/>
  <c r="F30" i="20"/>
  <c r="G30" i="20" s="1"/>
  <c r="I30" i="20"/>
  <c r="K29" i="20"/>
  <c r="J14" i="16"/>
  <c r="J11" i="16" s="1"/>
  <c r="I11" i="16"/>
  <c r="I59" i="16"/>
  <c r="I62" i="19"/>
  <c r="I63" i="19"/>
  <c r="I11" i="19"/>
  <c r="B25" i="7"/>
  <c r="D24" i="7"/>
  <c r="A24" i="7"/>
  <c r="E24" i="7" s="1"/>
  <c r="J11" i="22" l="1"/>
  <c r="K14" i="22"/>
  <c r="J60" i="22"/>
  <c r="J59" i="22"/>
  <c r="H30" i="20"/>
  <c r="J59" i="16"/>
  <c r="K30" i="20"/>
  <c r="B32" i="20"/>
  <c r="F31" i="20"/>
  <c r="K14" i="16"/>
  <c r="K59" i="16" s="1"/>
  <c r="J60" i="16"/>
  <c r="I31" i="20"/>
  <c r="H31" i="20" s="1"/>
  <c r="J62" i="19"/>
  <c r="J63" i="19"/>
  <c r="J11" i="19"/>
  <c r="B26" i="7"/>
  <c r="D25" i="7"/>
  <c r="A25" i="7"/>
  <c r="E25" i="7" s="1"/>
  <c r="L14" i="22" l="1"/>
  <c r="K60" i="22"/>
  <c r="K11" i="22"/>
  <c r="K59" i="22"/>
  <c r="L14" i="16"/>
  <c r="K60" i="16"/>
  <c r="N28" i="20"/>
  <c r="N49" i="20"/>
  <c r="N48" i="20"/>
  <c r="N51" i="20"/>
  <c r="N30" i="20"/>
  <c r="N39" i="20"/>
  <c r="N47" i="20"/>
  <c r="N29" i="20"/>
  <c r="N46" i="20"/>
  <c r="N43" i="20"/>
  <c r="N33" i="20"/>
  <c r="N44" i="20"/>
  <c r="N42" i="20"/>
  <c r="N50" i="20"/>
  <c r="N31" i="20"/>
  <c r="N40" i="20"/>
  <c r="N32" i="20"/>
  <c r="N45" i="20"/>
  <c r="N36" i="20"/>
  <c r="N38" i="20"/>
  <c r="N35" i="20"/>
  <c r="N41" i="20"/>
  <c r="N34" i="20"/>
  <c r="N37" i="20"/>
  <c r="K31" i="20"/>
  <c r="G31" i="20"/>
  <c r="F32" i="20"/>
  <c r="I32" i="20"/>
  <c r="H32" i="20" s="1"/>
  <c r="B33" i="20"/>
  <c r="E32" i="20"/>
  <c r="K11" i="16"/>
  <c r="L60" i="16"/>
  <c r="L11" i="16"/>
  <c r="M14" i="16"/>
  <c r="L59" i="16"/>
  <c r="K11" i="19"/>
  <c r="K62" i="19"/>
  <c r="L14" i="19"/>
  <c r="K63" i="19"/>
  <c r="D26" i="7"/>
  <c r="A26" i="7"/>
  <c r="E26" i="7" s="1"/>
  <c r="B27" i="7"/>
  <c r="M14" i="22" l="1"/>
  <c r="L60" i="22"/>
  <c r="L59" i="22"/>
  <c r="L11" i="22"/>
  <c r="L37" i="20"/>
  <c r="L47" i="20"/>
  <c r="L46" i="20"/>
  <c r="L38" i="20"/>
  <c r="L32" i="20"/>
  <c r="L29" i="20"/>
  <c r="L35" i="20"/>
  <c r="L42" i="20"/>
  <c r="L36" i="20"/>
  <c r="L33" i="20"/>
  <c r="L49" i="20"/>
  <c r="L45" i="20"/>
  <c r="L43" i="20"/>
  <c r="L39" i="20"/>
  <c r="L30" i="20"/>
  <c r="L34" i="20"/>
  <c r="L48" i="20"/>
  <c r="L50" i="20"/>
  <c r="L40" i="20"/>
  <c r="L41" i="20"/>
  <c r="L51" i="20"/>
  <c r="L31" i="20"/>
  <c r="L28" i="20"/>
  <c r="M28" i="20" s="1"/>
  <c r="L44" i="20"/>
  <c r="K32" i="20"/>
  <c r="G32" i="20"/>
  <c r="E33" i="20"/>
  <c r="B34" i="20"/>
  <c r="I33" i="20"/>
  <c r="H33" i="20" s="1"/>
  <c r="F33" i="20"/>
  <c r="L11" i="19"/>
  <c r="L62" i="19"/>
  <c r="L63" i="19"/>
  <c r="M14" i="19"/>
  <c r="M60" i="16"/>
  <c r="N14" i="16"/>
  <c r="M11" i="16"/>
  <c r="M59" i="16"/>
  <c r="D27" i="7"/>
  <c r="B28" i="7"/>
  <c r="A27" i="7"/>
  <c r="E27" i="7" s="1"/>
  <c r="M59" i="22" l="1"/>
  <c r="M11" i="22"/>
  <c r="N14" i="22"/>
  <c r="M60" i="22"/>
  <c r="M47" i="20"/>
  <c r="M48" i="20"/>
  <c r="M46" i="20"/>
  <c r="M37" i="20"/>
  <c r="M38" i="20"/>
  <c r="M39" i="20"/>
  <c r="M34" i="20"/>
  <c r="M32" i="20"/>
  <c r="M30" i="20"/>
  <c r="M33" i="20"/>
  <c r="M36" i="20"/>
  <c r="M50" i="20"/>
  <c r="M43" i="20"/>
  <c r="M44" i="20"/>
  <c r="M31" i="20"/>
  <c r="M35" i="20"/>
  <c r="M40" i="20"/>
  <c r="M49" i="20"/>
  <c r="M51" i="20"/>
  <c r="M29" i="20"/>
  <c r="D12" i="20" s="1"/>
  <c r="M45" i="20"/>
  <c r="M41" i="20"/>
  <c r="M42" i="20"/>
  <c r="K33" i="20"/>
  <c r="G33" i="20"/>
  <c r="I34" i="20"/>
  <c r="H34" i="20" s="1"/>
  <c r="B35" i="20"/>
  <c r="E34" i="20"/>
  <c r="F34" i="20"/>
  <c r="M11" i="19"/>
  <c r="M63" i="19"/>
  <c r="N14" i="19"/>
  <c r="M62" i="19"/>
  <c r="N59" i="16"/>
  <c r="N11" i="16"/>
  <c r="O14" i="16"/>
  <c r="N60" i="16"/>
  <c r="D28" i="7"/>
  <c r="B29" i="7"/>
  <c r="A28" i="7"/>
  <c r="E28" i="7" s="1"/>
  <c r="O14" i="22" l="1"/>
  <c r="N59" i="22"/>
  <c r="N11" i="22"/>
  <c r="N60" i="22"/>
  <c r="D22" i="20"/>
  <c r="G9" i="20"/>
  <c r="G34" i="20"/>
  <c r="K34" i="20"/>
  <c r="E35" i="20"/>
  <c r="F35" i="20"/>
  <c r="B36" i="20"/>
  <c r="I35" i="20"/>
  <c r="H35" i="20" s="1"/>
  <c r="O60" i="16"/>
  <c r="P14" i="16"/>
  <c r="O59" i="16"/>
  <c r="O11" i="16"/>
  <c r="N63" i="19"/>
  <c r="O14" i="19"/>
  <c r="N62" i="19"/>
  <c r="N11" i="19"/>
  <c r="D29" i="7"/>
  <c r="A29" i="7"/>
  <c r="E29" i="7" s="1"/>
  <c r="B30" i="7"/>
  <c r="O60" i="22" l="1"/>
  <c r="O59" i="22"/>
  <c r="O11" i="22"/>
  <c r="P14" i="22"/>
  <c r="B37" i="20"/>
  <c r="E36" i="20"/>
  <c r="F36" i="20"/>
  <c r="I36" i="20"/>
  <c r="H36" i="20" s="1"/>
  <c r="G35" i="20"/>
  <c r="K35" i="20"/>
  <c r="O11" i="19"/>
  <c r="O63" i="19"/>
  <c r="P14" i="19"/>
  <c r="O62" i="19"/>
  <c r="Q14" i="16"/>
  <c r="P60" i="16"/>
  <c r="P59" i="16"/>
  <c r="P11" i="16"/>
  <c r="A30" i="7"/>
  <c r="E30" i="7" s="1"/>
  <c r="D30" i="7"/>
  <c r="P11" i="22" l="1"/>
  <c r="P59" i="22"/>
  <c r="P60" i="22"/>
  <c r="Q14" i="22"/>
  <c r="K36" i="20"/>
  <c r="G36" i="20"/>
  <c r="F37" i="20"/>
  <c r="I37" i="20"/>
  <c r="H37" i="20" s="1"/>
  <c r="B38" i="20"/>
  <c r="E37" i="20"/>
  <c r="P11" i="19"/>
  <c r="P62" i="19"/>
  <c r="Q14" i="19"/>
  <c r="P63" i="19"/>
  <c r="Q60" i="16"/>
  <c r="Q59" i="16"/>
  <c r="R14" i="16"/>
  <c r="Q11" i="16"/>
  <c r="Q59" i="22" l="1"/>
  <c r="R14" i="22"/>
  <c r="Q60" i="22"/>
  <c r="Q11" i="22"/>
  <c r="E38" i="20"/>
  <c r="I38" i="20"/>
  <c r="H38" i="20" s="1"/>
  <c r="F38" i="20"/>
  <c r="B39" i="20"/>
  <c r="K37" i="20"/>
  <c r="G37" i="20"/>
  <c r="R60" i="16"/>
  <c r="R59" i="16"/>
  <c r="S14" i="16"/>
  <c r="R11" i="16"/>
  <c r="R14" i="19"/>
  <c r="Q62" i="19"/>
  <c r="Q11" i="19"/>
  <c r="Q63" i="19"/>
  <c r="R11" i="22" l="1"/>
  <c r="S14" i="22"/>
  <c r="R60" i="22"/>
  <c r="R59" i="22"/>
  <c r="K38" i="20"/>
  <c r="G38" i="20"/>
  <c r="B40" i="20"/>
  <c r="E39" i="20"/>
  <c r="I39" i="20"/>
  <c r="H39" i="20" s="1"/>
  <c r="F39" i="20"/>
  <c r="G3" i="20"/>
  <c r="R63" i="19"/>
  <c r="R62" i="19"/>
  <c r="R11" i="19"/>
  <c r="S14" i="19"/>
  <c r="T14" i="16"/>
  <c r="S60" i="16"/>
  <c r="S59" i="16"/>
  <c r="S11" i="16"/>
  <c r="T14" i="22" l="1"/>
  <c r="S11" i="22"/>
  <c r="S60" i="22"/>
  <c r="S59" i="22"/>
  <c r="K39" i="20"/>
  <c r="G39" i="20"/>
  <c r="D18" i="20"/>
  <c r="D21" i="20"/>
  <c r="G20" i="20"/>
  <c r="G19" i="20"/>
  <c r="D20" i="20"/>
  <c r="D9" i="20"/>
  <c r="E40" i="20"/>
  <c r="I40" i="20"/>
  <c r="H40" i="20" s="1"/>
  <c r="F40" i="20"/>
  <c r="B41" i="20"/>
  <c r="S63" i="19"/>
  <c r="S62" i="19"/>
  <c r="T14" i="19"/>
  <c r="S11" i="19"/>
  <c r="T59" i="16"/>
  <c r="T11" i="16"/>
  <c r="T60" i="16"/>
  <c r="U14" i="16"/>
  <c r="U14" i="22" l="1"/>
  <c r="T60" i="22"/>
  <c r="T59" i="22"/>
  <c r="T11" i="22"/>
  <c r="O31" i="20"/>
  <c r="O33" i="20"/>
  <c r="O48" i="20"/>
  <c r="O37" i="20"/>
  <c r="O28" i="20"/>
  <c r="D19" i="20"/>
  <c r="O47" i="20"/>
  <c r="O38" i="20"/>
  <c r="D23" i="20"/>
  <c r="O45" i="20"/>
  <c r="O39" i="20"/>
  <c r="O29" i="20"/>
  <c r="D24" i="20"/>
  <c r="O44" i="20"/>
  <c r="O36" i="20"/>
  <c r="O49" i="20"/>
  <c r="O50" i="20"/>
  <c r="O43" i="20"/>
  <c r="O34" i="20"/>
  <c r="O35" i="20"/>
  <c r="O41" i="20"/>
  <c r="O46" i="20"/>
  <c r="O51" i="20"/>
  <c r="O42" i="20"/>
  <c r="O40" i="20"/>
  <c r="O32" i="20"/>
  <c r="O30" i="20"/>
  <c r="K40" i="20"/>
  <c r="G40" i="20"/>
  <c r="B42" i="20"/>
  <c r="F41" i="20"/>
  <c r="I41" i="20"/>
  <c r="H41" i="20" s="1"/>
  <c r="E41" i="20"/>
  <c r="U59" i="16"/>
  <c r="U60" i="16"/>
  <c r="V14" i="16"/>
  <c r="U11" i="16"/>
  <c r="U14" i="19"/>
  <c r="T11" i="19"/>
  <c r="T63" i="19"/>
  <c r="T62" i="19"/>
  <c r="V14" i="22" l="1"/>
  <c r="U60" i="22"/>
  <c r="U11" i="22"/>
  <c r="U59" i="22"/>
  <c r="K41" i="20"/>
  <c r="G41" i="20"/>
  <c r="B43" i="20"/>
  <c r="I42" i="20"/>
  <c r="H42" i="20" s="1"/>
  <c r="F42" i="20"/>
  <c r="E42" i="20"/>
  <c r="U11" i="19"/>
  <c r="U63" i="19"/>
  <c r="V14" i="19"/>
  <c r="U62" i="19"/>
  <c r="V60" i="16"/>
  <c r="V11" i="16"/>
  <c r="W14" i="16"/>
  <c r="V59" i="16"/>
  <c r="W14" i="22" l="1"/>
  <c r="V59" i="22"/>
  <c r="V11" i="22"/>
  <c r="V60" i="22"/>
  <c r="G42" i="20"/>
  <c r="K42" i="20"/>
  <c r="E43" i="20"/>
  <c r="I43" i="20"/>
  <c r="H43" i="20" s="1"/>
  <c r="F43" i="20"/>
  <c r="B44" i="20"/>
  <c r="V63" i="19"/>
  <c r="V11" i="19"/>
  <c r="V62" i="19"/>
  <c r="W14" i="19"/>
  <c r="W59" i="16"/>
  <c r="X14" i="16"/>
  <c r="W11" i="16"/>
  <c r="W60" i="16"/>
  <c r="W60" i="22" l="1"/>
  <c r="W11" i="22"/>
  <c r="W59" i="22"/>
  <c r="X14" i="22"/>
  <c r="K43" i="20"/>
  <c r="G43" i="20"/>
  <c r="B45" i="20"/>
  <c r="I44" i="20"/>
  <c r="H44" i="20" s="1"/>
  <c r="E44" i="20"/>
  <c r="F44" i="20"/>
  <c r="Y14" i="16"/>
  <c r="X59" i="16"/>
  <c r="X60" i="16"/>
  <c r="X11" i="16"/>
  <c r="W11" i="19"/>
  <c r="W62" i="19"/>
  <c r="W63" i="19"/>
  <c r="X14" i="19"/>
  <c r="X11" i="22" l="1"/>
  <c r="X59" i="22"/>
  <c r="X60" i="22"/>
  <c r="Y14" i="22"/>
  <c r="K44" i="20"/>
  <c r="G44" i="20"/>
  <c r="I45" i="20"/>
  <c r="H45" i="20" s="1"/>
  <c r="B46" i="20"/>
  <c r="E45" i="20"/>
  <c r="F45" i="20"/>
  <c r="Y14" i="19"/>
  <c r="X62" i="19"/>
  <c r="X63" i="19"/>
  <c r="X11" i="19"/>
  <c r="Y60" i="16"/>
  <c r="Z14" i="16"/>
  <c r="Y59" i="16"/>
  <c r="Y11" i="16"/>
  <c r="Y59" i="22" l="1"/>
  <c r="Z14" i="22"/>
  <c r="Y11" i="22"/>
  <c r="Y60" i="22"/>
  <c r="G45" i="20"/>
  <c r="K45" i="20"/>
  <c r="I46" i="20"/>
  <c r="H46" i="20" s="1"/>
  <c r="E46" i="20"/>
  <c r="B47" i="20"/>
  <c r="F46" i="20"/>
  <c r="Y62" i="19"/>
  <c r="Y63" i="19"/>
  <c r="Z14" i="19"/>
  <c r="Y11" i="19"/>
  <c r="Z11" i="16"/>
  <c r="Z59" i="16"/>
  <c r="AA14" i="16"/>
  <c r="Z60" i="16"/>
  <c r="Z11" i="22" l="1"/>
  <c r="AA14" i="22"/>
  <c r="Z60" i="22"/>
  <c r="Z59" i="22"/>
  <c r="K46" i="20"/>
  <c r="G46" i="20"/>
  <c r="B48" i="20"/>
  <c r="F47" i="20"/>
  <c r="I47" i="20"/>
  <c r="H47" i="20" s="1"/>
  <c r="E47" i="20"/>
  <c r="AA60" i="16"/>
  <c r="AA11" i="16"/>
  <c r="AA59" i="16"/>
  <c r="AB14" i="16"/>
  <c r="Z63" i="19"/>
  <c r="Z11" i="19"/>
  <c r="AA14" i="19"/>
  <c r="Z62" i="19"/>
  <c r="AB14" i="22" l="1"/>
  <c r="AA59" i="22"/>
  <c r="AA60" i="22"/>
  <c r="AA11" i="22"/>
  <c r="K47" i="20"/>
  <c r="G47" i="20"/>
  <c r="B49" i="20"/>
  <c r="F48" i="20"/>
  <c r="I48" i="20"/>
  <c r="H48" i="20" s="1"/>
  <c r="E48" i="20"/>
  <c r="AA63" i="19"/>
  <c r="AA11" i="19"/>
  <c r="AA62" i="19"/>
  <c r="AB14" i="19"/>
  <c r="AC14" i="16"/>
  <c r="AB11" i="16"/>
  <c r="AB59" i="16"/>
  <c r="AB60" i="16"/>
  <c r="AB59" i="22" l="1"/>
  <c r="AC14" i="22"/>
  <c r="AB60" i="22"/>
  <c r="AB11" i="22"/>
  <c r="K48" i="20"/>
  <c r="G48" i="20"/>
  <c r="I49" i="20"/>
  <c r="H49" i="20" s="1"/>
  <c r="E49" i="20"/>
  <c r="B50" i="20"/>
  <c r="F49" i="20"/>
  <c r="AC20" i="16"/>
  <c r="AC58" i="16"/>
  <c r="AC21" i="16"/>
  <c r="AC60" i="16"/>
  <c r="AC19" i="16"/>
  <c r="AC27" i="16"/>
  <c r="AC38" i="16"/>
  <c r="AC31" i="16"/>
  <c r="AC23" i="16"/>
  <c r="AC53" i="16"/>
  <c r="AC33" i="16"/>
  <c r="AC35" i="16"/>
  <c r="AC51" i="16"/>
  <c r="AC57" i="16"/>
  <c r="AC46" i="16"/>
  <c r="AC11" i="16"/>
  <c r="AC59" i="16"/>
  <c r="AC47" i="16"/>
  <c r="AC18" i="16"/>
  <c r="AC34" i="16"/>
  <c r="AC48" i="16"/>
  <c r="AC29" i="16"/>
  <c r="AC42" i="16"/>
  <c r="AC56" i="16"/>
  <c r="AC28" i="16"/>
  <c r="AC43" i="16"/>
  <c r="AC50" i="16"/>
  <c r="AC39" i="16"/>
  <c r="AC41" i="16"/>
  <c r="AC24" i="16"/>
  <c r="AC26" i="16"/>
  <c r="AC49" i="16"/>
  <c r="AC37" i="16"/>
  <c r="AD14" i="16"/>
  <c r="AC25" i="16"/>
  <c r="AC40" i="16"/>
  <c r="AC44" i="16"/>
  <c r="AC54" i="16"/>
  <c r="AC17" i="16"/>
  <c r="AC52" i="16"/>
  <c r="AC30" i="16"/>
  <c r="AC32" i="16"/>
  <c r="AC36" i="16"/>
  <c r="AC45" i="16"/>
  <c r="AC55" i="16"/>
  <c r="AC22" i="16"/>
  <c r="AB11" i="19"/>
  <c r="AB63" i="19"/>
  <c r="AC14" i="19"/>
  <c r="AB62" i="19"/>
  <c r="AC37" i="22" l="1"/>
  <c r="AC31" i="22"/>
  <c r="AC29" i="22"/>
  <c r="AC27" i="22"/>
  <c r="AC25" i="22"/>
  <c r="AC18" i="22"/>
  <c r="AC20" i="22"/>
  <c r="AC59" i="22"/>
  <c r="AC11" i="22"/>
  <c r="AD14" i="22"/>
  <c r="AC55" i="22"/>
  <c r="AC51" i="22"/>
  <c r="AC47" i="22"/>
  <c r="AC43" i="22"/>
  <c r="AC39" i="22"/>
  <c r="AC33" i="22"/>
  <c r="AC60" i="22"/>
  <c r="AC57" i="22"/>
  <c r="AC53" i="22"/>
  <c r="AC49" i="22"/>
  <c r="AC45" i="22"/>
  <c r="AC41" i="22"/>
  <c r="AC35" i="22"/>
  <c r="AC19" i="22"/>
  <c r="AC48" i="22"/>
  <c r="AC32" i="22"/>
  <c r="AC17" i="22"/>
  <c r="AC54" i="22"/>
  <c r="AC38" i="22"/>
  <c r="AC28" i="22"/>
  <c r="AC52" i="22"/>
  <c r="AC26" i="22"/>
  <c r="AC44" i="22"/>
  <c r="AC56" i="22"/>
  <c r="AC46" i="22"/>
  <c r="AC58" i="22"/>
  <c r="AC50" i="22"/>
  <c r="AC34" i="22"/>
  <c r="AC40" i="22"/>
  <c r="AC24" i="22"/>
  <c r="AC30" i="22"/>
  <c r="AC36" i="22"/>
  <c r="AC42" i="22"/>
  <c r="AC10" i="16"/>
  <c r="K49" i="20"/>
  <c r="G49" i="20"/>
  <c r="E50" i="20"/>
  <c r="B51" i="20"/>
  <c r="I50" i="20"/>
  <c r="H50" i="20" s="1"/>
  <c r="F50" i="20"/>
  <c r="AD49" i="16"/>
  <c r="AD35" i="16"/>
  <c r="AD36" i="16"/>
  <c r="AD29" i="16"/>
  <c r="AD20" i="16"/>
  <c r="AD56" i="16"/>
  <c r="AD44" i="16"/>
  <c r="AD41" i="16"/>
  <c r="AD19" i="16"/>
  <c r="AD27" i="16"/>
  <c r="AD31" i="16"/>
  <c r="AD40" i="16"/>
  <c r="AD21" i="16"/>
  <c r="AD23" i="16"/>
  <c r="AD59" i="16"/>
  <c r="AD24" i="16"/>
  <c r="AD58" i="16"/>
  <c r="AD48" i="16"/>
  <c r="AD11" i="16"/>
  <c r="AD53" i="16"/>
  <c r="AD55" i="16"/>
  <c r="AD28" i="16"/>
  <c r="AD25" i="16"/>
  <c r="AD26" i="16"/>
  <c r="AD43" i="16"/>
  <c r="AD57" i="16"/>
  <c r="AD30" i="16"/>
  <c r="AD42" i="16"/>
  <c r="AD39" i="16"/>
  <c r="AD60" i="16"/>
  <c r="AD52" i="16"/>
  <c r="AD17" i="16"/>
  <c r="AD22" i="16"/>
  <c r="AD50" i="16"/>
  <c r="AD46" i="16"/>
  <c r="AD32" i="16"/>
  <c r="AD37" i="16"/>
  <c r="AD54" i="16"/>
  <c r="AD47" i="16"/>
  <c r="AD34" i="16"/>
  <c r="AD45" i="16"/>
  <c r="AD18" i="16"/>
  <c r="AD51" i="16"/>
  <c r="AD33" i="16"/>
  <c r="AD38" i="16"/>
  <c r="AC21" i="19"/>
  <c r="AC19" i="19"/>
  <c r="AC34" i="19"/>
  <c r="AC20" i="19"/>
  <c r="AC52" i="19"/>
  <c r="AC63" i="19"/>
  <c r="AC31" i="19"/>
  <c r="AC49" i="19"/>
  <c r="AC36" i="19"/>
  <c r="AC27" i="19"/>
  <c r="AC30" i="19"/>
  <c r="AC17" i="19"/>
  <c r="AC62" i="19"/>
  <c r="AC39" i="19"/>
  <c r="AC11" i="19"/>
  <c r="AC26" i="19"/>
  <c r="AC22" i="19"/>
  <c r="AC54" i="19"/>
  <c r="AD14" i="19"/>
  <c r="AC55" i="19"/>
  <c r="AC51" i="19"/>
  <c r="AC43" i="19"/>
  <c r="AC40" i="19"/>
  <c r="AC47" i="19"/>
  <c r="AC23" i="19"/>
  <c r="AC37" i="19"/>
  <c r="AC41" i="19"/>
  <c r="AC58" i="19"/>
  <c r="AC38" i="19"/>
  <c r="AC28" i="19"/>
  <c r="AC59" i="19"/>
  <c r="AC61" i="19"/>
  <c r="AC57" i="19"/>
  <c r="AC24" i="19"/>
  <c r="AC42" i="19"/>
  <c r="AC45" i="19"/>
  <c r="AC29" i="19"/>
  <c r="AC46" i="19"/>
  <c r="AC32" i="19"/>
  <c r="AC44" i="19"/>
  <c r="AC33" i="19"/>
  <c r="AC50" i="19"/>
  <c r="AC48" i="19"/>
  <c r="AC56" i="19"/>
  <c r="AC60" i="19"/>
  <c r="AC53" i="19"/>
  <c r="AD20" i="22" l="1"/>
  <c r="AD59" i="22"/>
  <c r="AD11" i="22"/>
  <c r="AD58" i="22"/>
  <c r="AD56" i="22"/>
  <c r="AD54" i="22"/>
  <c r="AD52" i="22"/>
  <c r="AD50" i="22"/>
  <c r="AD48" i="22"/>
  <c r="AD46" i="22"/>
  <c r="AD44" i="22"/>
  <c r="AD42" i="22"/>
  <c r="AD38" i="22"/>
  <c r="AD34" i="22"/>
  <c r="AD32" i="22"/>
  <c r="AD28" i="22"/>
  <c r="AD24" i="22"/>
  <c r="AD17" i="22"/>
  <c r="AD60" i="22"/>
  <c r="AD57" i="22"/>
  <c r="AD55" i="22"/>
  <c r="AD53" i="22"/>
  <c r="AD51" i="22"/>
  <c r="AD49" i="22"/>
  <c r="AD47" i="22"/>
  <c r="AD45" i="22"/>
  <c r="AD43" i="22"/>
  <c r="AD41" i="22"/>
  <c r="AD39" i="22"/>
  <c r="AD37" i="22"/>
  <c r="AD35" i="22"/>
  <c r="AD33" i="22"/>
  <c r="AD31" i="22"/>
  <c r="AD29" i="22"/>
  <c r="AD27" i="22"/>
  <c r="AD25" i="22"/>
  <c r="AD19" i="22"/>
  <c r="AD18" i="22"/>
  <c r="AD40" i="22"/>
  <c r="AD30" i="22"/>
  <c r="AD26" i="22"/>
  <c r="AD21" i="22"/>
  <c r="AD36" i="22"/>
  <c r="AD10" i="16"/>
  <c r="D11" i="16" s="1"/>
  <c r="F13" i="16" s="1"/>
  <c r="AC10" i="19"/>
  <c r="K50" i="20"/>
  <c r="G50" i="20"/>
  <c r="F51" i="20"/>
  <c r="E51" i="20"/>
  <c r="I51" i="20"/>
  <c r="H51" i="20" s="1"/>
  <c r="AD51" i="19"/>
  <c r="AD23" i="19"/>
  <c r="AD63" i="19"/>
  <c r="AD61" i="19"/>
  <c r="AD21" i="19"/>
  <c r="AD28" i="19"/>
  <c r="AD46" i="19"/>
  <c r="AD39" i="19"/>
  <c r="AD22" i="19"/>
  <c r="AD34" i="19"/>
  <c r="AD19" i="19"/>
  <c r="AD36" i="19"/>
  <c r="AD59" i="19"/>
  <c r="AD57" i="19"/>
  <c r="AD60" i="19"/>
  <c r="AD24" i="19"/>
  <c r="AD38" i="19"/>
  <c r="AD62" i="19"/>
  <c r="AD17" i="19"/>
  <c r="AD53" i="19"/>
  <c r="AD31" i="19"/>
  <c r="AD20" i="19"/>
  <c r="AD55" i="19"/>
  <c r="AD27" i="19"/>
  <c r="AD11" i="19"/>
  <c r="AD45" i="19"/>
  <c r="AD37" i="19"/>
  <c r="AD41" i="19"/>
  <c r="AD48" i="19"/>
  <c r="AD44" i="19"/>
  <c r="AD50" i="19"/>
  <c r="AD40" i="19"/>
  <c r="AD33" i="19"/>
  <c r="AD58" i="19"/>
  <c r="AD30" i="19"/>
  <c r="AD54" i="19"/>
  <c r="AD52" i="19"/>
  <c r="AD49" i="19"/>
  <c r="AD32" i="19"/>
  <c r="AD29" i="19"/>
  <c r="AD26" i="19"/>
  <c r="AD42" i="19"/>
  <c r="AD56" i="19"/>
  <c r="AD43" i="19"/>
  <c r="AD47" i="19"/>
  <c r="D13" i="16" l="1"/>
  <c r="AD10" i="19"/>
  <c r="D11" i="19" s="1"/>
  <c r="D13" i="19" s="1"/>
  <c r="G51" i="20"/>
  <c r="K51" i="20"/>
  <c r="J12" i="16" l="1"/>
  <c r="Y12" i="22"/>
  <c r="Q12" i="22"/>
  <c r="I12" i="22"/>
  <c r="W12" i="22"/>
  <c r="G12" i="22"/>
  <c r="V12" i="22"/>
  <c r="N12" i="22"/>
  <c r="F12" i="22"/>
  <c r="AC12" i="22"/>
  <c r="U12" i="22"/>
  <c r="M12" i="22"/>
  <c r="AB12" i="22"/>
  <c r="L12" i="22"/>
  <c r="X12" i="22"/>
  <c r="P12" i="22"/>
  <c r="H12" i="22"/>
  <c r="T12" i="22"/>
  <c r="Z12" i="22"/>
  <c r="R12" i="22"/>
  <c r="J12" i="22"/>
  <c r="O12" i="22"/>
  <c r="AD12" i="22"/>
  <c r="AA12" i="22"/>
  <c r="S12" i="22"/>
  <c r="K12" i="22"/>
  <c r="Q12" i="16"/>
  <c r="U12" i="16"/>
  <c r="M12" i="16"/>
  <c r="AD12" i="16"/>
  <c r="N12" i="16"/>
  <c r="L12" i="16"/>
  <c r="X12" i="16"/>
  <c r="Z12" i="16"/>
  <c r="R12" i="16"/>
  <c r="P12" i="16"/>
  <c r="AB12" i="16"/>
  <c r="K12" i="16"/>
  <c r="T12" i="16"/>
  <c r="O12" i="16"/>
  <c r="G12" i="16"/>
  <c r="I12" i="16"/>
  <c r="S12" i="16"/>
  <c r="AA12" i="16"/>
  <c r="H12" i="16"/>
  <c r="Y12" i="16"/>
  <c r="F12" i="16"/>
  <c r="V12" i="16"/>
  <c r="W12" i="16"/>
  <c r="AC12" i="16"/>
  <c r="F13" i="19"/>
  <c r="M12" i="19" s="1"/>
  <c r="H12" i="19" l="1"/>
  <c r="Q12" i="19"/>
  <c r="V12" i="19"/>
  <c r="P12" i="19"/>
  <c r="AA12" i="19"/>
  <c r="T12" i="19"/>
  <c r="G12" i="19"/>
  <c r="X12" i="19"/>
  <c r="O12" i="19"/>
  <c r="AB12" i="19"/>
  <c r="I12" i="19"/>
  <c r="L12" i="19"/>
  <c r="R12" i="19"/>
  <c r="F12" i="19"/>
  <c r="W12" i="19"/>
  <c r="S12" i="19"/>
  <c r="J12" i="19"/>
  <c r="AC12" i="19"/>
  <c r="AD12" i="19"/>
  <c r="N12" i="19"/>
  <c r="K12" i="19"/>
  <c r="U12" i="19"/>
  <c r="Y12" i="19"/>
  <c r="Z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Use the following statuses: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Planned (or empty)
</t>
        </r>
        <r>
          <rPr>
            <sz val="8"/>
            <color rgb="FF000000"/>
            <rFont val="Tahoma"/>
            <family val="2"/>
          </rPr>
          <t xml:space="preserve">Ongoing
</t>
        </r>
        <r>
          <rPr>
            <sz val="8"/>
            <color rgb="FF000000"/>
            <rFont val="Tahoma"/>
            <family val="2"/>
          </rPr>
          <t xml:space="preserve">Done
</t>
        </r>
        <r>
          <rPr>
            <sz val="8"/>
            <color rgb="FF000000"/>
            <rFont val="Tahoma"/>
            <family val="2"/>
          </rPr>
          <t xml:space="preserve">Removed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rgb="FF000000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1CF547C6-16F9-064B-A6F5-5746971E0CDD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<sst xmlns="http://schemas.openxmlformats.org/spreadsheetml/2006/main" count="298" uniqueCount="171">
  <si>
    <t>Increment Plan</t>
  </si>
  <si>
    <t>Incr.</t>
  </si>
  <si>
    <t>Start</t>
  </si>
  <si>
    <t>Days</t>
  </si>
  <si>
    <t>End</t>
  </si>
  <si>
    <t>Size</t>
  </si>
  <si>
    <t>Status</t>
  </si>
  <si>
    <t>Release Date</t>
  </si>
  <si>
    <t>Goal</t>
  </si>
  <si>
    <t>Backend connection established and (User signup/login)</t>
  </si>
  <si>
    <t>Template note: Increment plan is intended to collect individual sprints into larger releases. In smaller projects, this is not needed.</t>
  </si>
  <si>
    <t>Sprint Plan</t>
  </si>
  <si>
    <t>Sprint</t>
  </si>
  <si>
    <t>Increment</t>
  </si>
  <si>
    <t>Planned</t>
  </si>
  <si>
    <t>Database connection and the user login system, basic backend connections</t>
  </si>
  <si>
    <t>Functional application with interactable features</t>
  </si>
  <si>
    <t>Testing and designing polish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</si>
  <si>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</si>
  <si>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</si>
  <si>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</si>
  <si>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</si>
  <si>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</si>
  <si>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</si>
  <si>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</si>
  <si>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ST1</t>
  </si>
  <si>
    <t>As a busy university student, I want to sync my class timetable with my personal calendar (Google, Apple, etc) so I can stay organised. </t>
  </si>
  <si>
    <t>Ongoing</t>
  </si>
  <si>
    <t>High</t>
  </si>
  <si>
    <t>Develop syncing feature for personal calendar.</t>
  </si>
  <si>
    <t>ST3</t>
  </si>
  <si>
    <t>As a student, I want the web app to provide insights into potential timetable clashes (private and uni) so I can make adjustments  in advance.</t>
  </si>
  <si>
    <t>Removed</t>
  </si>
  <si>
    <t>Show potential timetable clashes, ST1, linking to personal calendar will derive this function.</t>
  </si>
  <si>
    <t>ST11</t>
  </si>
  <si>
    <t xml:space="preserve">As a student, I want the web app to save templates so I don't have to create recurring events from scratch. </t>
  </si>
  <si>
    <t>Can save recurring events</t>
  </si>
  <si>
    <t>ST15</t>
  </si>
  <si>
    <t>As a busy student, I want a streamlined view (by agenda / by month etc)to make providing feedback as quick as possible.</t>
  </si>
  <si>
    <t xml:space="preserve">Week, Month, Year, views </t>
  </si>
  <si>
    <t>ST4</t>
  </si>
  <si>
    <t>As a student, I want the app to show me key university dates, so I know when the semester breaks are.</t>
  </si>
  <si>
    <t>Medium</t>
  </si>
  <si>
    <t>ST16</t>
  </si>
  <si>
    <t>As a student, I want to print out a physical calendar with all my classes so it's more accessible.</t>
  </si>
  <si>
    <t>Output a physical calendar for  printing out</t>
  </si>
  <si>
    <t>ST5</t>
  </si>
  <si>
    <t>As a student, I want to be able to search upcoming key dates, so I know when to plan my holidays.</t>
  </si>
  <si>
    <t>ST7</t>
  </si>
  <si>
    <t>As a student, I want to customise the look of my calendar to feel more specific and personalised to me. (Adding icons to papers)</t>
  </si>
  <si>
    <t>Low</t>
  </si>
  <si>
    <t>ST10</t>
  </si>
  <si>
    <t>As a student, I want to be able to share events with my peers, so I can plan hangouts easily.</t>
  </si>
  <si>
    <t>ST6</t>
  </si>
  <si>
    <r>
      <t xml:space="preserve">As a student preparing for exams, I want to sync my </t>
    </r>
    <r>
      <rPr>
        <sz val="10"/>
        <color rgb="FFFF0000"/>
        <rFont val="Arial"/>
        <family val="2"/>
      </rPr>
      <t>exam</t>
    </r>
    <r>
      <rPr>
        <sz val="10"/>
        <rFont val="Arial"/>
        <family val="2"/>
      </rPr>
      <t xml:space="preserve"> timetable with my personal calendar so I can plan my study schedule effectively prior to exams. </t>
    </r>
  </si>
  <si>
    <t xml:space="preserve">High </t>
  </si>
  <si>
    <t>ST8</t>
  </si>
  <si>
    <t>As a student I want to use a streamlined, simple aesthetic application.</t>
  </si>
  <si>
    <t>ST9</t>
  </si>
  <si>
    <t>As a student I want to be able to view the weather forecast so I know when it rains</t>
  </si>
  <si>
    <t>ST12</t>
  </si>
  <si>
    <t>As a student aiming to excel academically, I want the app to suggest study sessions based on my timetable and exam schedule to optimise my learning.</t>
  </si>
  <si>
    <t>ST14</t>
  </si>
  <si>
    <t>As a student I want to be able to create healthy habits based on available times in my calendar.</t>
  </si>
  <si>
    <t>ST2</t>
  </si>
  <si>
    <t>As a student, I want the app to automatically update my calendar with any changes to my timetable or exam schedule to avoid confusion.</t>
  </si>
  <si>
    <t>You can add comments here to add key detail or explanation to the story. For larger definitions, use external tools and materials.</t>
  </si>
  <si>
    <t>ST13</t>
  </si>
  <si>
    <t>As a group of students taking the same paper, we want suggestions for group study sessions where everyone is free.</t>
  </si>
  <si>
    <t>ST17</t>
  </si>
  <si>
    <t>As a student with a hectic schedule, I want the app to send me reminders before each class and exam so I can stay on top of my academic commitments. 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</si>
  <si>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</si>
  <si>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</si>
  <si>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</si>
  <si>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</si>
  <si>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</si>
  <si>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</si>
  <si>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</si>
  <si>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</si>
  <si>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</si>
  <si>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</si>
  <si>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</si>
  <si>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</si>
  <si>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</si>
  <si>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</si>
  <si>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</si>
  <si>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</si>
  <si>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</si>
  <si>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</si>
  <si>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</si>
  <si>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</si>
  <si>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</si>
  <si>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</si>
  <si>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</si>
  <si>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</si>
  <si>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</si>
  <si>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</si>
  <si>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</si>
  <si>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</si>
  <si>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</si>
  <si>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</si>
  <si>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</si>
  <si>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</si>
  <si>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</si>
  <si>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</si>
  <si>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</si>
  <si>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</si>
  <si>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</si>
  <si>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</si>
  <si>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</si>
  <si>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</si>
  <si>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</si>
  <si>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</si>
  <si>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</si>
  <si>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</si>
  <si>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</si>
  <si>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</si>
  <si>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</si>
  <si>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</si>
  <si>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</si>
  <si>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</si>
  <si>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</si>
  <si>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</si>
  <si>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</si>
  <si>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</si>
  <si>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</si>
  <si>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</si>
  <si>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</si>
  <si>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</si>
  <si>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</si>
  <si>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</si>
  <si>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</si>
  <si>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</si>
  <si>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</si>
  <si>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Syncing calendar feature with Google cal</t>
  </si>
  <si>
    <t>James</t>
  </si>
  <si>
    <t>Evision and Personal Calendar clashes (show a warning message)</t>
  </si>
  <si>
    <t>Deleted</t>
  </si>
  <si>
    <t>Calendar viewing (Weekly,Monthly)</t>
  </si>
  <si>
    <t>Sam</t>
  </si>
  <si>
    <t>Physical Calendar output</t>
  </si>
  <si>
    <t>Yuki</t>
  </si>
  <si>
    <t>Done</t>
  </si>
  <si>
    <t>Database connection signing in (Supabase)</t>
  </si>
  <si>
    <t>Null</t>
  </si>
  <si>
    <t>Sam , Shreya</t>
  </si>
  <si>
    <t>CSS (Hamburger Menu Styling)</t>
  </si>
  <si>
    <t>Cyrus</t>
  </si>
  <si>
    <t>Login page</t>
  </si>
  <si>
    <t xml:space="preserve">Signup Page </t>
  </si>
  <si>
    <t>Shreya</t>
  </si>
  <si>
    <t>Show key dates on calendar (from otago key dates)</t>
  </si>
  <si>
    <t>Profile settings page (Welcome message)</t>
  </si>
  <si>
    <t>Shreya, Yuki</t>
  </si>
  <si>
    <t>Database connection Events in (Supabase)</t>
  </si>
  <si>
    <t>Testing Signup</t>
  </si>
  <si>
    <t>Testing Login</t>
  </si>
  <si>
    <t>Log out button</t>
  </si>
  <si>
    <t>Cancelled</t>
  </si>
  <si>
    <t>CSS styling</t>
  </si>
  <si>
    <t xml:space="preserve">Exam dates inputting to events </t>
  </si>
  <si>
    <t xml:space="preserve">Integrating weather </t>
  </si>
  <si>
    <t>Testing DatabaseTables</t>
  </si>
  <si>
    <t>A button for Implementing syncing to google calender from front end</t>
  </si>
  <si>
    <t>ST18</t>
  </si>
  <si>
    <t>Show the key dates and exam dates on the dashboard calendar.</t>
  </si>
  <si>
    <t>Physical Calendar page UI improvement</t>
  </si>
  <si>
    <t>Google syncing</t>
  </si>
  <si>
    <t>Everyone</t>
  </si>
  <si>
    <t>Final Improvements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</si>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</sst>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7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/>
    <xf numFmtId="166" fontId="3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0" fillId="0" borderId="0" xfId="0" applyNumberFormat="1" applyAlignment="1">
      <alignment horizontal="left"/>
    </xf>
    <xf numFmtId="0" fontId="6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2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94</c:v>
                </c:pt>
                <c:pt idx="1">
                  <c:v>56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4-C045-A514-4BB72031348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94</c:v>
                </c:pt>
                <c:pt idx="1">
                  <c:v>56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4-C045-A514-4BB720313484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  <c:pt idx="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4-C045-A514-4BB720313484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4-C045-A514-4BB720313484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4"/>
                <c:pt idx="0">
                  <c:v>87.666666666666657</c:v>
                </c:pt>
                <c:pt idx="1">
                  <c:v>54.166666666666657</c:v>
                </c:pt>
                <c:pt idx="2">
                  <c:v>20.666666666666671</c:v>
                </c:pt>
                <c:pt idx="3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4-C045-A514-4BB720313484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34-C045-A514-4BB72031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1569065552"/>
        <c:axId val="1"/>
      </c:lineChart>
      <c:catAx>
        <c:axId val="156906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06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9-B746-8D9C-63771054C2CC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38</c:v>
                </c:pt>
                <c:pt idx="1">
                  <c:v>39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9-B746-8D9C-6377105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0795136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9-B746-8D9C-63771054C2CC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9-B746-8D9C-63771054C2CC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9-B746-8D9C-6377105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795136"/>
        <c:axId val="1"/>
      </c:lineChart>
      <c:catAx>
        <c:axId val="460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79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45</c:v>
                </c:pt>
                <c:pt idx="1">
                  <c:v>36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4-764E-B888-865606CE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161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45</c:v>
                </c:pt>
                <c:pt idx="1">
                  <c:v>36</c:v>
                </c:pt>
                <c:pt idx="2">
                  <c:v>27</c:v>
                </c:pt>
                <c:pt idx="3">
                  <c:v>18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4-764E-B888-865606CECE3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48.333333333333329</c:v>
                </c:pt>
                <c:pt idx="1">
                  <c:v>29.333333333333329</c:v>
                </c:pt>
                <c:pt idx="2">
                  <c:v>10.333333333333329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4-764E-B888-865606CEC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161136"/>
        <c:axId val="1"/>
      </c:lineChart>
      <c:catAx>
        <c:axId val="156916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16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39</c:v>
                </c:pt>
                <c:pt idx="1">
                  <c:v>21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BB4D-8731-407BC03F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826528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39</c:v>
                </c:pt>
                <c:pt idx="1">
                  <c:v>31.2</c:v>
                </c:pt>
                <c:pt idx="2">
                  <c:v>23.4</c:v>
                </c:pt>
                <c:pt idx="3">
                  <c:v>15.600000000000001</c:v>
                </c:pt>
                <c:pt idx="4">
                  <c:v>7.8000000000000007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BB4D-8731-407BC03F4859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36.833333333333329</c:v>
                </c:pt>
                <c:pt idx="1">
                  <c:v>25.333333333333336</c:v>
                </c:pt>
                <c:pt idx="2">
                  <c:v>13.833333333333343</c:v>
                </c:pt>
                <c:pt idx="3">
                  <c:v>2.3333333333333428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BB4D-8731-407BC03F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6528"/>
        <c:axId val="1"/>
      </c:lineChart>
      <c:catAx>
        <c:axId val="46082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82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DE43-A4B1-F349EFFE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826528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39</c:v>
                </c:pt>
                <c:pt idx="1">
                  <c:v>31.2</c:v>
                </c:pt>
                <c:pt idx="2">
                  <c:v>23.4</c:v>
                </c:pt>
                <c:pt idx="3">
                  <c:v>15.600000000000001</c:v>
                </c:pt>
                <c:pt idx="4">
                  <c:v>7.8000000000000007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3-DE43-A4B1-F349EFFEDA7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36.833333333333329</c:v>
                </c:pt>
                <c:pt idx="1">
                  <c:v>25.333333333333336</c:v>
                </c:pt>
                <c:pt idx="2">
                  <c:v>13.833333333333343</c:v>
                </c:pt>
                <c:pt idx="3">
                  <c:v>2.3333333333333428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3-DE43-A4B1-F349EFFE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26528"/>
        <c:axId val="1"/>
      </c:lineChart>
      <c:catAx>
        <c:axId val="46082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82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6.7310388379614561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88900</xdr:rowOff>
        </xdr:from>
        <xdr:to>
          <xdr:col>6</xdr:col>
          <xdr:colOff>1041400</xdr:colOff>
          <xdr:row>1</xdr:row>
          <xdr:rowOff>88900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587375</xdr:colOff>
      <xdr:row>19</xdr:row>
      <xdr:rowOff>139700</xdr:rowOff>
    </xdr:to>
    <xdr:graphicFrame macro="">
      <xdr:nvGraphicFramePr>
        <xdr:cNvPr id="18466" name="Chart 2">
          <a:extLst>
            <a:ext uri="{FF2B5EF4-FFF2-40B4-BE49-F238E27FC236}">
              <a16:creationId xmlns:a16="http://schemas.microsoft.com/office/drawing/2014/main" id="{00000000-0008-0000-0200-000022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67" name="Chart 17">
          <a:extLst>
            <a:ext uri="{FF2B5EF4-FFF2-40B4-BE49-F238E27FC236}">
              <a16:creationId xmlns:a16="http://schemas.microsoft.com/office/drawing/2014/main" id="{00000000-0008-0000-0200-000023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6" name="Chart 2">
          <a:extLst>
            <a:ext uri="{FF2B5EF4-FFF2-40B4-BE49-F238E27FC236}">
              <a16:creationId xmlns:a16="http://schemas.microsoft.com/office/drawing/2014/main" id="{00000000-0008-0000-0300-00001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0</xdr:col>
          <xdr:colOff>2298700</xdr:colOff>
          <xdr:row>7</xdr:row>
          <xdr:rowOff>25400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88900</xdr:rowOff>
        </xdr:from>
        <xdr:to>
          <xdr:col>2</xdr:col>
          <xdr:colOff>342900</xdr:colOff>
          <xdr:row>7</xdr:row>
          <xdr:rowOff>25400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9" name="Chart 2">
          <a:extLst>
            <a:ext uri="{FF2B5EF4-FFF2-40B4-BE49-F238E27FC236}">
              <a16:creationId xmlns:a16="http://schemas.microsoft.com/office/drawing/2014/main" id="{00000000-0008-0000-0400-00001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0</xdr:col>
          <xdr:colOff>1981200</xdr:colOff>
          <xdr:row>7</xdr:row>
          <xdr:rowOff>25400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88900</xdr:rowOff>
        </xdr:from>
        <xdr:to>
          <xdr:col>2</xdr:col>
          <xdr:colOff>241300</xdr:colOff>
          <xdr:row>7</xdr:row>
          <xdr:rowOff>25400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88900</xdr:rowOff>
        </xdr:from>
        <xdr:to>
          <xdr:col>1</xdr:col>
          <xdr:colOff>1981200</xdr:colOff>
          <xdr:row>7</xdr:row>
          <xdr:rowOff>25400</xdr:rowOff>
        </xdr:to>
        <xdr:sp macro="" textlink="">
          <xdr:nvSpPr>
            <xdr:cNvPr id="23553" name="Butto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5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2286000</xdr:colOff>
          <xdr:row>5</xdr:row>
          <xdr:rowOff>88900</xdr:rowOff>
        </xdr:from>
        <xdr:to>
          <xdr:col>2</xdr:col>
          <xdr:colOff>241300</xdr:colOff>
          <xdr:row>7</xdr:row>
          <xdr:rowOff>25400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5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 pitchFamily="2" charset="0"/>
                  <a:cs typeface="Arial" pitchFamily="2" charset="0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mments" Target="../comments5.xml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opLeftCell="A2" workbookViewId="0">
      <selection activeCell="H5" sqref="H5"/>
    </sheetView>
  </sheetViews>
  <sheetFormatPr baseColWidth="10" defaultColWidth="11.5" defaultRowHeight="13" x14ac:dyDescent="0.15"/>
  <cols>
    <col min="1" max="1" width="7.83203125" customWidth="1"/>
    <col min="2" max="2" width="10.5" customWidth="1"/>
    <col min="3" max="3" width="9.5" customWidth="1"/>
    <col min="4" max="5" width="10.6640625" customWidth="1"/>
    <col min="6" max="6" width="8.83203125" customWidth="1"/>
    <col min="7" max="7" width="13.6640625" style="2" customWidth="1"/>
    <col min="8" max="8" width="59.1640625" customWidth="1"/>
    <col min="9" max="9" width="10.6640625" customWidth="1"/>
    <col min="10" max="256" width="8.83203125" customWidth="1"/>
  </cols>
  <sheetData>
    <row r="1" spans="1:10" ht="18" x14ac:dyDescent="0.2">
      <c r="A1" s="12" t="s">
        <v>0</v>
      </c>
    </row>
    <row r="3" spans="1:10" x14ac:dyDescent="0.15">
      <c r="A3" s="6" t="s">
        <v>1</v>
      </c>
      <c r="B3" s="37" t="s">
        <v>2</v>
      </c>
      <c r="C3" s="38" t="s">
        <v>3</v>
      </c>
      <c r="D3" s="38" t="s">
        <v>4</v>
      </c>
      <c r="E3" s="37" t="s">
        <v>5</v>
      </c>
      <c r="F3" s="7" t="s">
        <v>6</v>
      </c>
      <c r="G3" s="37" t="s">
        <v>7</v>
      </c>
      <c r="H3" s="8" t="s">
        <v>8</v>
      </c>
      <c r="I3" s="1"/>
      <c r="J3" s="1"/>
    </row>
    <row r="4" spans="1:10" x14ac:dyDescent="0.15">
      <c r="A4" s="9">
        <v>1</v>
      </c>
      <c r="B4" s="34">
        <v>45390</v>
      </c>
      <c r="C4" s="20">
        <v>14</v>
      </c>
      <c r="D4" s="34">
        <f>IF(OR(B4="",C4=""),"",B4+C4-1)</f>
        <v>45403</v>
      </c>
      <c r="E4" s="17">
        <v>0</v>
      </c>
      <c r="G4" s="39"/>
      <c r="H4" s="70" t="s">
        <v>9</v>
      </c>
    </row>
    <row r="5" spans="1:10" x14ac:dyDescent="0.15">
      <c r="A5" s="10">
        <v>2</v>
      </c>
      <c r="B5" s="31">
        <f>IF(A5="","",B4+C4)</f>
        <v>45404</v>
      </c>
      <c r="C5" s="17">
        <v>14</v>
      </c>
      <c r="D5" s="31">
        <f t="shared" ref="D5:D10" si="0">IF(OR(B5="",C5=""),"",B5+C5-1)</f>
        <v>45417</v>
      </c>
      <c r="E5" s="17">
        <f>IF(A5="","",SUMIF(I$16:I$30,'Release Plan'!A5,E$16:E$30))</f>
        <v>0</v>
      </c>
      <c r="G5" s="40"/>
      <c r="H5" s="4"/>
    </row>
    <row r="6" spans="1:10" x14ac:dyDescent="0.15">
      <c r="A6" s="10">
        <v>3</v>
      </c>
      <c r="B6" s="31">
        <v>45418</v>
      </c>
      <c r="C6" s="17">
        <v>14</v>
      </c>
      <c r="D6" s="31">
        <f t="shared" si="0"/>
        <v>45431</v>
      </c>
      <c r="E6" s="17">
        <f>IF(A6="","",SUMIF(I$16:I$30,'Release Plan'!A6,E$16:E$30))</f>
        <v>0</v>
      </c>
      <c r="G6" s="40"/>
      <c r="H6" s="4"/>
    </row>
    <row r="7" spans="1:10" x14ac:dyDescent="0.15">
      <c r="A7" s="10"/>
      <c r="B7" s="31"/>
      <c r="C7" s="17" t="str">
        <f t="shared" ref="C7:C10" si="1">IF(A7="","",SUMIF(I$16:I$30,A7,C$16:C$30))</f>
        <v/>
      </c>
      <c r="D7" s="31" t="str">
        <f t="shared" si="0"/>
        <v/>
      </c>
      <c r="E7" s="17" t="str">
        <f>IF(A7="","",SUMIF(I$16:I$30,'Release Plan'!A7,E$16:E$30))</f>
        <v/>
      </c>
      <c r="G7" s="40"/>
      <c r="H7" s="4"/>
    </row>
    <row r="8" spans="1:10" x14ac:dyDescent="0.15">
      <c r="A8" s="10"/>
      <c r="B8" s="31"/>
      <c r="C8" s="17" t="str">
        <f t="shared" si="1"/>
        <v/>
      </c>
      <c r="D8" s="31" t="str">
        <f t="shared" si="0"/>
        <v/>
      </c>
      <c r="E8" s="17" t="str">
        <f>IF(A8="","",SUMIF(I$16:I$30,'Release Plan'!A8,E$16:E$30))</f>
        <v/>
      </c>
      <c r="G8" s="40"/>
      <c r="H8" s="4"/>
    </row>
    <row r="9" spans="1:10" x14ac:dyDescent="0.15">
      <c r="A9" s="10"/>
      <c r="B9" s="31"/>
      <c r="C9" s="17" t="str">
        <f t="shared" si="1"/>
        <v/>
      </c>
      <c r="D9" s="31" t="str">
        <f t="shared" si="0"/>
        <v/>
      </c>
      <c r="E9" s="17" t="str">
        <f>IF(A9="","",SUMIF(I$16:I$30,'Release Plan'!A9,E$16:E$30))</f>
        <v/>
      </c>
      <c r="G9" s="40"/>
      <c r="H9" s="4"/>
    </row>
    <row r="10" spans="1:10" x14ac:dyDescent="0.15">
      <c r="A10" s="11"/>
      <c r="B10" s="32"/>
      <c r="C10" s="33" t="str">
        <f t="shared" si="1"/>
        <v/>
      </c>
      <c r="D10" s="32" t="str">
        <f t="shared" si="0"/>
        <v/>
      </c>
      <c r="E10" s="33" t="str">
        <f>IF(A10="","",SUMIF(I$16:I$30,'Release Plan'!A10,E$16:E$30))</f>
        <v/>
      </c>
      <c r="F10" s="3"/>
      <c r="G10" s="41"/>
      <c r="H10" s="5"/>
    </row>
    <row r="11" spans="1:10" x14ac:dyDescent="0.15">
      <c r="A11" s="28" t="s">
        <v>10</v>
      </c>
    </row>
    <row r="13" spans="1:10" ht="18" x14ac:dyDescent="0.2">
      <c r="A13" s="12" t="s">
        <v>11</v>
      </c>
    </row>
    <row r="15" spans="1:10" x14ac:dyDescent="0.15">
      <c r="A15" s="6" t="s">
        <v>12</v>
      </c>
      <c r="B15" s="37" t="s">
        <v>2</v>
      </c>
      <c r="C15" s="37" t="s">
        <v>3</v>
      </c>
      <c r="D15" s="37" t="s">
        <v>4</v>
      </c>
      <c r="E15" s="37" t="s">
        <v>5</v>
      </c>
      <c r="F15" s="7" t="s">
        <v>6</v>
      </c>
      <c r="G15" s="37" t="s">
        <v>7</v>
      </c>
      <c r="H15" s="62" t="s">
        <v>8</v>
      </c>
      <c r="I15" s="43" t="s">
        <v>13</v>
      </c>
      <c r="J15" s="1"/>
    </row>
    <row r="16" spans="1:10" x14ac:dyDescent="0.15">
      <c r="A16" s="17">
        <v>1</v>
      </c>
      <c r="B16" s="66">
        <v>45390</v>
      </c>
      <c r="C16" s="2">
        <v>14</v>
      </c>
      <c r="D16" s="21">
        <f t="shared" ref="D16:D30" si="2">IF(AND(B16&lt;&gt;"",C16&lt;&gt;""),B16+C16-1,"")</f>
        <v>45403</v>
      </c>
      <c r="E16" s="17"/>
      <c r="F16" t="s">
        <v>14</v>
      </c>
      <c r="H16" s="69" t="s">
        <v>15</v>
      </c>
      <c r="I16" s="61">
        <v>1</v>
      </c>
    </row>
    <row r="17" spans="1:9" x14ac:dyDescent="0.15">
      <c r="A17" s="17">
        <v>2</v>
      </c>
      <c r="B17" s="21">
        <f>IF(AND(B16&lt;&gt;"",C16&lt;&gt;"",C17&lt;&gt;""),B16+C16,"")</f>
        <v>45404</v>
      </c>
      <c r="C17" s="2">
        <v>14</v>
      </c>
      <c r="D17" s="21">
        <f>IF(AND(B17&lt;&gt;"",C17&lt;&gt;""),B17+C17-1,"")</f>
        <v>45417</v>
      </c>
      <c r="E17" s="17"/>
      <c r="F17" t="s">
        <v>14</v>
      </c>
      <c r="H17" s="71" t="s">
        <v>16</v>
      </c>
      <c r="I17" s="29">
        <v>1</v>
      </c>
    </row>
    <row r="18" spans="1:9" x14ac:dyDescent="0.15">
      <c r="A18" s="17">
        <v>3</v>
      </c>
      <c r="B18" s="21">
        <f>IF(AND(B17&lt;&gt;"",C17&lt;&gt;"",C18&lt;&gt;""),B17+C17,"")</f>
        <v>45418</v>
      </c>
      <c r="C18" s="2">
        <v>14</v>
      </c>
      <c r="D18" s="21">
        <f>IF(AND(B18&lt;&gt;"",C18&lt;&gt;""),B18+C18-1,"")</f>
        <v>45431</v>
      </c>
      <c r="E18" s="17"/>
      <c r="F18" t="str">
        <f>IF(AND(OR(F17="Planned",F17="Ongoing"),C18&lt;&gt;""),"Planned","Unplanned")</f>
        <v>Planned</v>
      </c>
      <c r="H18" s="71" t="s">
        <v>17</v>
      </c>
      <c r="I18" s="29">
        <v>1</v>
      </c>
    </row>
    <row r="19" spans="1:9" x14ac:dyDescent="0.15">
      <c r="A19" s="17"/>
      <c r="B19" s="21"/>
      <c r="C19" s="2"/>
      <c r="D19" s="21"/>
      <c r="E19" s="17"/>
      <c r="H19" s="22"/>
      <c r="I19" s="29"/>
    </row>
    <row r="20" spans="1:9" x14ac:dyDescent="0.15">
      <c r="A20" s="17"/>
      <c r="B20" s="21"/>
      <c r="C20" s="2"/>
      <c r="D20" s="21"/>
      <c r="E20" s="17"/>
      <c r="H20" s="22"/>
      <c r="I20" s="29"/>
    </row>
    <row r="21" spans="1:9" x14ac:dyDescent="0.15">
      <c r="A21" s="17"/>
      <c r="B21" s="21"/>
      <c r="C21" s="2"/>
      <c r="D21" s="21"/>
      <c r="E21" s="17"/>
      <c r="H21" s="22"/>
      <c r="I21" s="29"/>
    </row>
    <row r="22" spans="1:9" x14ac:dyDescent="0.15">
      <c r="A22" s="17" t="str">
        <f t="shared" ref="A22:A30" si="3">IF(AND(B22&lt;&gt;"",C22&lt;&gt;""),A21+1,"")</f>
        <v/>
      </c>
      <c r="B22" s="21" t="str">
        <f t="shared" ref="B22:B30" si="4">IF(AND(B21&lt;&gt;"",C21&lt;&gt;"",C22&lt;&gt;""),B21+C21,"")</f>
        <v/>
      </c>
      <c r="C22" s="2"/>
      <c r="D22" s="21" t="str">
        <f t="shared" si="2"/>
        <v/>
      </c>
      <c r="E22" s="17" t="str">
        <f>IF(A22="","",SUMIF('Product Backlog'!E$6:E$103,'Release Plan'!A22,'Product Backlog'!D$6:D$103))</f>
        <v/>
      </c>
      <c r="F22" t="str">
        <f t="shared" ref="F22:F30" si="5">IF(AND(OR(F21="Planned",F21="Ongoing"),C22&lt;&gt;""),"Planned","Unplanned")</f>
        <v>Unplanned</v>
      </c>
      <c r="H22" s="22"/>
      <c r="I22" s="29"/>
    </row>
    <row r="23" spans="1:9" x14ac:dyDescent="0.15">
      <c r="A23" s="17" t="str">
        <f t="shared" si="3"/>
        <v/>
      </c>
      <c r="B23" s="21" t="str">
        <f t="shared" si="4"/>
        <v/>
      </c>
      <c r="C23" s="2"/>
      <c r="D23" s="21" t="str">
        <f t="shared" si="2"/>
        <v/>
      </c>
      <c r="E23" s="17" t="str">
        <f>IF(A23="","",SUMIF('Product Backlog'!E$6:E$103,'Release Plan'!A23,'Product Backlog'!D$6:D$103))</f>
        <v/>
      </c>
      <c r="F23" t="str">
        <f t="shared" si="5"/>
        <v>Unplanned</v>
      </c>
      <c r="H23" s="22"/>
      <c r="I23" s="29"/>
    </row>
    <row r="24" spans="1:9" x14ac:dyDescent="0.15">
      <c r="A24" s="17" t="str">
        <f t="shared" si="3"/>
        <v/>
      </c>
      <c r="B24" s="21" t="str">
        <f t="shared" si="4"/>
        <v/>
      </c>
      <c r="C24" s="2"/>
      <c r="D24" s="21" t="str">
        <f t="shared" si="2"/>
        <v/>
      </c>
      <c r="E24" s="17" t="str">
        <f>IF(A24="","",SUMIF('Product Backlog'!E$6:E$103,'Release Plan'!A24,'Product Backlog'!D$6:D$103))</f>
        <v/>
      </c>
      <c r="F24" t="str">
        <f t="shared" si="5"/>
        <v>Unplanned</v>
      </c>
      <c r="H24" s="22"/>
      <c r="I24" s="29"/>
    </row>
    <row r="25" spans="1:9" x14ac:dyDescent="0.15">
      <c r="A25" s="17" t="str">
        <f t="shared" si="3"/>
        <v/>
      </c>
      <c r="B25" s="21" t="str">
        <f t="shared" si="4"/>
        <v/>
      </c>
      <c r="C25" s="2"/>
      <c r="D25" s="21" t="str">
        <f t="shared" si="2"/>
        <v/>
      </c>
      <c r="E25" s="17" t="str">
        <f>IF(A25="","",SUMIF('Product Backlog'!E$6:E$103,'Release Plan'!A25,'Product Backlog'!D$6:D$103))</f>
        <v/>
      </c>
      <c r="F25" t="str">
        <f t="shared" si="5"/>
        <v>Unplanned</v>
      </c>
      <c r="H25" s="22"/>
      <c r="I25" s="29"/>
    </row>
    <row r="26" spans="1:9" x14ac:dyDescent="0.15">
      <c r="A26" s="17" t="str">
        <f t="shared" si="3"/>
        <v/>
      </c>
      <c r="B26" s="21" t="str">
        <f t="shared" si="4"/>
        <v/>
      </c>
      <c r="C26" s="2"/>
      <c r="D26" s="21" t="str">
        <f t="shared" si="2"/>
        <v/>
      </c>
      <c r="E26" s="17" t="str">
        <f>IF(A26="","",SUMIF('Product Backlog'!E$6:E$103,'Release Plan'!A26,'Product Backlog'!D$6:D$103))</f>
        <v/>
      </c>
      <c r="F26" t="str">
        <f t="shared" si="5"/>
        <v>Unplanned</v>
      </c>
      <c r="H26" s="22"/>
      <c r="I26" s="29"/>
    </row>
    <row r="27" spans="1:9" x14ac:dyDescent="0.15">
      <c r="A27" s="17" t="str">
        <f t="shared" si="3"/>
        <v/>
      </c>
      <c r="B27" s="21" t="str">
        <f t="shared" si="4"/>
        <v/>
      </c>
      <c r="C27" s="2"/>
      <c r="D27" s="21" t="str">
        <f t="shared" si="2"/>
        <v/>
      </c>
      <c r="E27" s="17" t="str">
        <f>IF(A27="","",SUMIF('Product Backlog'!E$6:E$103,'Release Plan'!A27,'Product Backlog'!D$6:D$103))</f>
        <v/>
      </c>
      <c r="F27" t="str">
        <f t="shared" si="5"/>
        <v>Unplanned</v>
      </c>
      <c r="H27" s="22"/>
      <c r="I27" s="29"/>
    </row>
    <row r="28" spans="1:9" x14ac:dyDescent="0.15">
      <c r="A28" s="17" t="str">
        <f t="shared" si="3"/>
        <v/>
      </c>
      <c r="B28" s="21" t="str">
        <f t="shared" si="4"/>
        <v/>
      </c>
      <c r="C28" s="2"/>
      <c r="D28" s="21" t="str">
        <f t="shared" si="2"/>
        <v/>
      </c>
      <c r="E28" s="17" t="str">
        <f>IF(A28="","",SUMIF('Product Backlog'!E$6:E$103,'Release Plan'!A28,'Product Backlog'!D$6:D$103))</f>
        <v/>
      </c>
      <c r="F28" t="str">
        <f t="shared" si="5"/>
        <v>Unplanned</v>
      </c>
      <c r="H28" s="22"/>
      <c r="I28" s="29"/>
    </row>
    <row r="29" spans="1:9" x14ac:dyDescent="0.15">
      <c r="A29" s="17" t="str">
        <f t="shared" si="3"/>
        <v/>
      </c>
      <c r="B29" s="21" t="str">
        <f t="shared" si="4"/>
        <v/>
      </c>
      <c r="C29" s="2"/>
      <c r="D29" s="21" t="str">
        <f t="shared" si="2"/>
        <v/>
      </c>
      <c r="E29" s="17" t="str">
        <f>IF(A29="","",SUMIF('Product Backlog'!E$6:E$103,'Release Plan'!A29,'Product Backlog'!D$6:D$103))</f>
        <v/>
      </c>
      <c r="F29" t="str">
        <f t="shared" si="5"/>
        <v>Unplanned</v>
      </c>
      <c r="H29" s="22"/>
      <c r="I29" s="29"/>
    </row>
    <row r="30" spans="1:9" x14ac:dyDescent="0.15">
      <c r="A30" s="17" t="str">
        <f t="shared" si="3"/>
        <v/>
      </c>
      <c r="B30" s="21" t="str">
        <f t="shared" si="4"/>
        <v/>
      </c>
      <c r="C30" s="2"/>
      <c r="D30" s="21" t="str">
        <f t="shared" si="2"/>
        <v/>
      </c>
      <c r="E30" s="17" t="str">
        <f>IF(A30="","",SUMIF('Product Backlog'!E$6:E$103,'Release Plan'!A30,'Product Backlog'!D$6:D$103))</f>
        <v/>
      </c>
      <c r="F30" t="str">
        <f t="shared" si="5"/>
        <v>Unplanned</v>
      </c>
      <c r="H30" s="23"/>
      <c r="I30" s="30"/>
    </row>
    <row r="31" spans="1:9" x14ac:dyDescent="0.15">
      <c r="A31" s="18"/>
      <c r="B31" s="18"/>
      <c r="C31" s="18"/>
      <c r="D31" s="19" t="s">
        <v>18</v>
      </c>
      <c r="E31" s="20">
        <f>SUMIF('Product Backlog'!E$6:E$103,"",'Product Backlog'!D$6:D$103)-SUMIF('Product Backlog'!C$6:C$103,"Removed",'Product Backlog'!D$6:D$103)</f>
        <v>99</v>
      </c>
      <c r="F31" s="18"/>
      <c r="G31" s="42"/>
      <c r="H31" s="18"/>
    </row>
  </sheetData>
  <phoneticPr fontId="2" type="noConversion"/>
  <conditionalFormatting sqref="A4:D10 F4:H10 E5:E10 E31">
    <cfRule type="expression" dxfId="27" priority="1" stopIfTrue="1">
      <formula>$F4="Planned"</formula>
    </cfRule>
    <cfRule type="expression" dxfId="26" priority="2" stopIfTrue="1">
      <formula>$F4="Ongoing"</formula>
    </cfRule>
  </conditionalFormatting>
  <conditionalFormatting sqref="E4 A16:E30 G16:H30">
    <cfRule type="expression" dxfId="25" priority="7" stopIfTrue="1">
      <formula>$F4="Ongoing"</formula>
    </cfRule>
    <cfRule type="expression" dxfId="24" priority="6" stopIfTrue="1">
      <formula>OR($F4="Planned",$F4="Unplanned")</formula>
    </cfRule>
  </conditionalFormatting>
  <conditionalFormatting sqref="F16:F30 F4:F10">
    <cfRule type="cellIs" dxfId="23" priority="5" stopIfTrue="1" operator="equal">
      <formula>"Unplanned"</formula>
    </cfRule>
  </conditionalFormatting>
  <conditionalFormatting sqref="F16:F30">
    <cfRule type="expression" dxfId="22" priority="3" stopIfTrue="1">
      <formula>$F16="Planned"</formula>
    </cfRule>
    <cfRule type="expression" dxfId="21" priority="4" stopIfTrue="1">
      <formula>$F16="Ongoing"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31" workbookViewId="0">
      <pane ySplit="4" topLeftCell="A5" activePane="bottomLeft" state="frozen"/>
      <selection pane="bottomLeft" activeCell="C13" sqref="C13"/>
    </sheetView>
  </sheetViews>
  <sheetFormatPr baseColWidth="10" defaultColWidth="9.1640625" defaultRowHeight="13" x14ac:dyDescent="0.15"/>
  <cols>
    <col min="1" max="1" width="9.1640625" style="26"/>
    <col min="2" max="2" width="39.33203125" style="24" customWidth="1"/>
    <col min="3" max="3" width="10.83203125" style="26" customWidth="1"/>
    <col min="4" max="6" width="9.1640625" style="26"/>
    <col min="7" max="7" width="39.5" style="24" customWidth="1"/>
    <col min="8" max="16384" width="9.1640625" style="27"/>
  </cols>
  <sheetData>
    <row r="1" spans="1:7" ht="18" x14ac:dyDescent="0.15">
      <c r="A1" s="44" t="s">
        <v>19</v>
      </c>
      <c r="C1" s="25" t="s">
        <v>20</v>
      </c>
    </row>
    <row r="2" spans="1:7" x14ac:dyDescent="0.15">
      <c r="D2" s="65"/>
    </row>
    <row r="4" spans="1:7" ht="15" thickBot="1" x14ac:dyDescent="0.2">
      <c r="A4" s="35" t="s">
        <v>21</v>
      </c>
      <c r="B4" s="36" t="s">
        <v>22</v>
      </c>
      <c r="C4" s="35" t="s">
        <v>6</v>
      </c>
      <c r="D4" s="35" t="s">
        <v>5</v>
      </c>
      <c r="E4" s="35" t="s">
        <v>12</v>
      </c>
      <c r="F4" s="35" t="s">
        <v>23</v>
      </c>
      <c r="G4" s="36" t="s">
        <v>24</v>
      </c>
    </row>
    <row r="5" spans="1:7" ht="42" x14ac:dyDescent="0.15">
      <c r="A5" s="67" t="s">
        <v>25</v>
      </c>
      <c r="B5" s="68" t="s">
        <v>26</v>
      </c>
      <c r="C5" s="67" t="s">
        <v>142</v>
      </c>
      <c r="D5" s="26">
        <v>4</v>
      </c>
      <c r="E5" s="26">
        <v>1</v>
      </c>
      <c r="F5" s="67" t="s">
        <v>28</v>
      </c>
      <c r="G5" s="68" t="s">
        <v>29</v>
      </c>
    </row>
    <row r="6" spans="1:7" ht="42" x14ac:dyDescent="0.15">
      <c r="A6" s="67" t="s">
        <v>30</v>
      </c>
      <c r="B6" s="68" t="s">
        <v>31</v>
      </c>
      <c r="C6" s="26" t="s">
        <v>32</v>
      </c>
      <c r="D6" s="26">
        <v>7</v>
      </c>
      <c r="E6" s="26">
        <v>1</v>
      </c>
      <c r="F6" s="67" t="s">
        <v>28</v>
      </c>
      <c r="G6" s="68" t="s">
        <v>33</v>
      </c>
    </row>
    <row r="7" spans="1:7" ht="42" x14ac:dyDescent="0.15">
      <c r="A7" s="67" t="s">
        <v>34</v>
      </c>
      <c r="B7" s="68" t="s">
        <v>35</v>
      </c>
      <c r="C7" s="67" t="s">
        <v>27</v>
      </c>
      <c r="D7" s="26">
        <v>6</v>
      </c>
      <c r="E7" s="26">
        <v>1</v>
      </c>
      <c r="F7" s="67" t="s">
        <v>28</v>
      </c>
      <c r="G7" s="68" t="s">
        <v>36</v>
      </c>
    </row>
    <row r="8" spans="1:7" ht="42" x14ac:dyDescent="0.15">
      <c r="A8" s="67" t="s">
        <v>37</v>
      </c>
      <c r="B8" s="24" t="s">
        <v>38</v>
      </c>
      <c r="C8" s="67" t="s">
        <v>142</v>
      </c>
      <c r="D8" s="26">
        <v>6</v>
      </c>
      <c r="E8" s="26">
        <v>1</v>
      </c>
      <c r="F8" s="67" t="s">
        <v>28</v>
      </c>
      <c r="G8" s="68" t="s">
        <v>39</v>
      </c>
    </row>
    <row r="9" spans="1:7" ht="42" x14ac:dyDescent="0.15">
      <c r="A9" s="67" t="s">
        <v>40</v>
      </c>
      <c r="B9" s="24" t="s">
        <v>41</v>
      </c>
      <c r="C9" s="26" t="s">
        <v>142</v>
      </c>
      <c r="D9" s="26">
        <v>2</v>
      </c>
      <c r="E9" s="26">
        <v>1</v>
      </c>
      <c r="F9" s="67" t="s">
        <v>42</v>
      </c>
    </row>
    <row r="10" spans="1:7" ht="26.25" customHeight="1" x14ac:dyDescent="0.15">
      <c r="A10" s="67" t="s">
        <v>43</v>
      </c>
      <c r="B10" s="68" t="s">
        <v>44</v>
      </c>
      <c r="C10" s="67" t="s">
        <v>142</v>
      </c>
      <c r="D10" s="26">
        <v>6</v>
      </c>
      <c r="E10" s="26">
        <v>1</v>
      </c>
      <c r="F10" s="67" t="s">
        <v>42</v>
      </c>
      <c r="G10" s="68" t="s">
        <v>45</v>
      </c>
    </row>
    <row r="11" spans="1:7" ht="26.25" customHeight="1" x14ac:dyDescent="0.15">
      <c r="A11" s="67" t="s">
        <v>46</v>
      </c>
      <c r="B11" s="24" t="s">
        <v>47</v>
      </c>
      <c r="C11" s="26" t="s">
        <v>27</v>
      </c>
      <c r="D11" s="26">
        <v>5</v>
      </c>
      <c r="E11" s="26">
        <v>2</v>
      </c>
      <c r="F11" s="67" t="s">
        <v>42</v>
      </c>
    </row>
    <row r="12" spans="1:7" ht="42" x14ac:dyDescent="0.15">
      <c r="A12" s="67" t="s">
        <v>48</v>
      </c>
      <c r="B12" s="24" t="s">
        <v>49</v>
      </c>
      <c r="C12" s="67" t="s">
        <v>142</v>
      </c>
      <c r="D12" s="26">
        <v>6</v>
      </c>
      <c r="E12" s="26">
        <v>2</v>
      </c>
      <c r="F12" s="67" t="s">
        <v>50</v>
      </c>
    </row>
    <row r="13" spans="1:7" ht="28" x14ac:dyDescent="0.15">
      <c r="A13" s="67" t="s">
        <v>51</v>
      </c>
      <c r="B13" s="68" t="s">
        <v>52</v>
      </c>
      <c r="C13" s="67" t="s">
        <v>142</v>
      </c>
      <c r="D13" s="26">
        <v>2</v>
      </c>
      <c r="E13" s="26">
        <v>2</v>
      </c>
      <c r="F13" s="67" t="s">
        <v>42</v>
      </c>
    </row>
    <row r="14" spans="1:7" ht="56" x14ac:dyDescent="0.15">
      <c r="A14" s="67" t="s">
        <v>53</v>
      </c>
      <c r="B14" s="68" t="s">
        <v>54</v>
      </c>
      <c r="C14" s="67" t="s">
        <v>142</v>
      </c>
      <c r="D14" s="26">
        <v>7</v>
      </c>
      <c r="E14" s="26">
        <v>3</v>
      </c>
      <c r="F14" s="67" t="s">
        <v>55</v>
      </c>
    </row>
    <row r="15" spans="1:7" ht="28" x14ac:dyDescent="0.15">
      <c r="A15" s="67" t="s">
        <v>56</v>
      </c>
      <c r="B15" s="68" t="s">
        <v>57</v>
      </c>
      <c r="C15" s="67" t="s">
        <v>142</v>
      </c>
      <c r="D15" s="26">
        <v>6</v>
      </c>
      <c r="E15" s="26">
        <v>3</v>
      </c>
      <c r="F15" s="67" t="s">
        <v>50</v>
      </c>
    </row>
    <row r="16" spans="1:7" ht="28" x14ac:dyDescent="0.15">
      <c r="A16" s="67" t="s">
        <v>58</v>
      </c>
      <c r="B16" s="24" t="s">
        <v>59</v>
      </c>
      <c r="C16" s="67" t="s">
        <v>142</v>
      </c>
      <c r="D16" s="26">
        <v>3</v>
      </c>
      <c r="E16" s="26">
        <v>2</v>
      </c>
      <c r="F16" s="67" t="s">
        <v>50</v>
      </c>
    </row>
    <row r="17" spans="1:7" ht="56" x14ac:dyDescent="0.15">
      <c r="A17" s="67" t="s">
        <v>60</v>
      </c>
      <c r="B17" s="68" t="s">
        <v>61</v>
      </c>
      <c r="C17" s="67" t="s">
        <v>14</v>
      </c>
      <c r="D17" s="26">
        <v>7</v>
      </c>
      <c r="E17" s="26">
        <v>3</v>
      </c>
      <c r="F17" s="67" t="s">
        <v>50</v>
      </c>
    </row>
    <row r="18" spans="1:7" ht="28" x14ac:dyDescent="0.15">
      <c r="A18" s="67" t="s">
        <v>62</v>
      </c>
      <c r="B18" s="24" t="s">
        <v>63</v>
      </c>
      <c r="C18" s="67" t="s">
        <v>14</v>
      </c>
      <c r="D18" s="26">
        <v>4</v>
      </c>
      <c r="E18" s="26">
        <v>3</v>
      </c>
      <c r="F18" s="67" t="s">
        <v>50</v>
      </c>
    </row>
    <row r="19" spans="1:7" ht="42" x14ac:dyDescent="0.15">
      <c r="A19" s="67" t="s">
        <v>64</v>
      </c>
      <c r="B19" s="24" t="s">
        <v>65</v>
      </c>
      <c r="C19" s="67" t="s">
        <v>32</v>
      </c>
      <c r="D19" s="26">
        <v>9</v>
      </c>
      <c r="G19" s="24" t="s">
        <v>66</v>
      </c>
    </row>
    <row r="20" spans="1:7" ht="42" x14ac:dyDescent="0.15">
      <c r="A20" s="67" t="s">
        <v>67</v>
      </c>
      <c r="B20" s="24" t="s">
        <v>68</v>
      </c>
      <c r="C20" s="67" t="s">
        <v>32</v>
      </c>
      <c r="D20" s="26">
        <v>6</v>
      </c>
      <c r="F20" s="67" t="s">
        <v>42</v>
      </c>
    </row>
    <row r="21" spans="1:7" ht="56" x14ac:dyDescent="0.15">
      <c r="A21" s="67" t="s">
        <v>69</v>
      </c>
      <c r="B21" s="24" t="s">
        <v>70</v>
      </c>
      <c r="C21" s="67" t="s">
        <v>32</v>
      </c>
      <c r="D21" s="26">
        <v>8</v>
      </c>
      <c r="F21" s="67" t="s">
        <v>50</v>
      </c>
    </row>
    <row r="22" spans="1:7" ht="28" x14ac:dyDescent="0.15">
      <c r="A22" s="67" t="s">
        <v>164</v>
      </c>
      <c r="B22" s="68" t="s">
        <v>163</v>
      </c>
      <c r="D22" s="26">
        <v>6</v>
      </c>
    </row>
    <row r="23" spans="1:7" x14ac:dyDescent="0.15">
      <c r="D23" s="26">
        <f>SUM(D5:D22)</f>
        <v>100</v>
      </c>
    </row>
    <row r="29" spans="1:7" x14ac:dyDescent="0.15">
      <c r="B29" s="27"/>
    </row>
    <row r="37" spans="7:10" x14ac:dyDescent="0.15">
      <c r="J37" s="63"/>
    </row>
    <row r="42" spans="7:10" x14ac:dyDescent="0.15">
      <c r="G42" s="64"/>
    </row>
    <row r="53" spans="1:6" x14ac:dyDescent="0.15">
      <c r="A53" s="27"/>
      <c r="B53" s="27"/>
      <c r="C53" s="27"/>
      <c r="D53" s="27"/>
      <c r="E53" s="27"/>
      <c r="F53" s="27"/>
    </row>
  </sheetData>
  <sortState xmlns:xlrd2="http://schemas.microsoft.com/office/spreadsheetml/2017/richdata2" ref="A5:G22">
    <sortCondition ref="E5:E22"/>
  </sortState>
  <phoneticPr fontId="2" type="noConversion"/>
  <conditionalFormatting sqref="A4:G6 B7:G10 A7:A52 G11:G21 B11:F44 G23:G41 G44:G52 C45:C46 B47:F52 A54:G163">
    <cfRule type="expression" dxfId="20" priority="1" stopIfTrue="1">
      <formula>$C4="Done"</formula>
    </cfRule>
    <cfRule type="expression" dxfId="19" priority="2" stopIfTrue="1">
      <formula>$C4="Ongoing"</formula>
    </cfRule>
    <cfRule type="expression" dxfId="18" priority="3" stopIfTrue="1">
      <formula>$C4="Removed"</formula>
    </cfRule>
  </conditionalFormatting>
  <conditionalFormatting sqref="G22">
    <cfRule type="expression" dxfId="17" priority="12" stopIfTrue="1">
      <formula>#REF!="Removed"</formula>
    </cfRule>
    <cfRule type="expression" dxfId="16" priority="11" stopIfTrue="1">
      <formula>#REF!="Ongoing"</formula>
    </cfRule>
    <cfRule type="expression" dxfId="15" priority="10" stopIfTrue="1">
      <formula>#REF!="Done"</formula>
    </cfRule>
  </conditionalFormatting>
  <conditionalFormatting sqref="G42:G43">
    <cfRule type="expression" dxfId="14" priority="7" stopIfTrue="1">
      <formula>#REF!="Done"</formula>
    </cfRule>
    <cfRule type="expression" dxfId="13" priority="8" stopIfTrue="1">
      <formula>#REF!="Ongoing"</formula>
    </cfRule>
    <cfRule type="expression" dxfId="12" priority="9" stopIfTrue="1">
      <formula>#REF!="Removed"</formula>
    </cfRule>
  </conditionalFormatting>
  <conditionalFormatting sqref="G53">
    <cfRule type="expression" dxfId="11" priority="4" stopIfTrue="1">
      <formula>$C43="Done"</formula>
    </cfRule>
    <cfRule type="expression" dxfId="10" priority="6" stopIfTrue="1">
      <formula>$C43="Removed"</formula>
    </cfRule>
    <cfRule type="expression" dxfId="9" priority="5" stopIfTrue="1">
      <formula>$C43="Ongoing"</formula>
    </cfRule>
  </conditionalFormatting>
  <dataValidations count="1">
    <dataValidation type="list" allowBlank="1" showInputMessage="1" sqref="C54:C163 C4 C6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3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88900</xdr:rowOff>
                  </from>
                  <to>
                    <xdr:col>6</xdr:col>
                    <xdr:colOff>1041400</xdr:colOff>
                    <xdr:row>1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V44" sqref="V44"/>
    </sheetView>
  </sheetViews>
  <sheetFormatPr baseColWidth="10" defaultColWidth="11.5" defaultRowHeight="13" x14ac:dyDescent="0.15"/>
  <cols>
    <col min="1" max="1" width="11.83203125" customWidth="1"/>
    <col min="2" max="4" width="8.83203125" customWidth="1"/>
    <col min="5" max="5" width="14.5" customWidth="1"/>
    <col min="6" max="6" width="15.6640625" hidden="1" customWidth="1"/>
    <col min="7" max="8" width="5.5" hidden="1" customWidth="1"/>
    <col min="9" max="9" width="7.33203125" hidden="1" customWidth="1"/>
    <col min="10" max="10" width="4.33203125" hidden="1" customWidth="1"/>
    <col min="11" max="13" width="6.83203125" hidden="1" customWidth="1"/>
    <col min="14" max="16" width="9.1640625" hidden="1" customWidth="1"/>
    <col min="17" max="17" width="10.5" hidden="1" customWidth="1"/>
    <col min="18" max="256" width="8.83203125" customWidth="1"/>
  </cols>
  <sheetData>
    <row r="1" spans="1:26" ht="18" x14ac:dyDescent="0.15">
      <c r="A1" s="44" t="s">
        <v>71</v>
      </c>
    </row>
    <row r="3" spans="1:26" x14ac:dyDescent="0.15">
      <c r="A3" t="s">
        <v>72</v>
      </c>
      <c r="D3" s="72">
        <v>101</v>
      </c>
      <c r="F3" t="s">
        <v>73</v>
      </c>
      <c r="G3" s="45">
        <f>IF(COUNT(B28:B39)=0,1,COUNT(B28:B39))</f>
        <v>3</v>
      </c>
    </row>
    <row r="4" spans="1:26" x14ac:dyDescent="0.15">
      <c r="A4" t="s">
        <v>74</v>
      </c>
      <c r="D4">
        <v>3</v>
      </c>
      <c r="E4" t="s">
        <v>75</v>
      </c>
      <c r="F4" t="s">
        <v>76</v>
      </c>
      <c r="G4" s="45">
        <f>IF(COUNT(D28:D51)=0,1,COUNT(D28:D51)+1)</f>
        <v>4</v>
      </c>
    </row>
    <row r="5" spans="1:26" x14ac:dyDescent="0.15">
      <c r="F5" t="s">
        <v>77</v>
      </c>
      <c r="G5" s="45">
        <f>IF(G4&gt;D4,G4-D4,0)</f>
        <v>1</v>
      </c>
      <c r="Z5" s="28" t="s">
        <v>78</v>
      </c>
    </row>
    <row r="6" spans="1:26" x14ac:dyDescent="0.15">
      <c r="A6" s="1" t="s">
        <v>79</v>
      </c>
      <c r="F6" t="s">
        <v>80</v>
      </c>
      <c r="G6" s="45">
        <f>TrendSprintCount-TrendOffset</f>
        <v>3</v>
      </c>
      <c r="Z6" s="28" t="s">
        <v>81</v>
      </c>
    </row>
    <row r="7" spans="1:26" x14ac:dyDescent="0.15">
      <c r="A7" t="s">
        <v>82</v>
      </c>
      <c r="D7">
        <v>26</v>
      </c>
      <c r="Z7" s="28" t="s">
        <v>83</v>
      </c>
    </row>
    <row r="8" spans="1:26" x14ac:dyDescent="0.15">
      <c r="A8" s="80">
        <f>D$4</f>
        <v>3</v>
      </c>
      <c r="B8" s="80"/>
      <c r="D8" s="48">
        <f ca="1">IF(D28="","",AVERAGE(OFFSET(D27,TrendOffset,0,SprintsInTrend,1)))</f>
        <v>35</v>
      </c>
      <c r="Z8" s="28" t="s">
        <v>84</v>
      </c>
    </row>
    <row r="9" spans="1:26" x14ac:dyDescent="0.15">
      <c r="A9" t="s">
        <v>85</v>
      </c>
      <c r="D9" s="48">
        <f ca="1">IF(D28="","",AVERAGE(OFFSET(D27,1,0,SprintCount,1)))</f>
        <v>35</v>
      </c>
      <c r="F9" t="s">
        <v>86</v>
      </c>
      <c r="G9" s="45">
        <f ca="1">IF(M28="",1,COUNT(M28:M110))</f>
        <v>4</v>
      </c>
      <c r="Z9" s="28" t="s">
        <v>87</v>
      </c>
    </row>
    <row r="10" spans="1:26" x14ac:dyDescent="0.15">
      <c r="A10" t="s">
        <v>88</v>
      </c>
      <c r="D10" s="48">
        <f ca="1">IF(D28="","",AVERAGE(LastEight))</f>
        <v>35</v>
      </c>
      <c r="Z10" s="28" t="s">
        <v>89</v>
      </c>
    </row>
    <row r="11" spans="1:26" x14ac:dyDescent="0.15">
      <c r="A11" t="s">
        <v>90</v>
      </c>
      <c r="D11" s="48">
        <f ca="1">IF(D28="","",IF(TrendSprintCount&lt;4,D10,AVERAGE(SMALL(LastEight,1),SMALL(LastEight,2),SMALL(LastEight,3))))</f>
        <v>35</v>
      </c>
      <c r="Z11" s="28" t="s">
        <v>91</v>
      </c>
    </row>
    <row r="12" spans="1:26" x14ac:dyDescent="0.15">
      <c r="A12" t="s">
        <v>92</v>
      </c>
      <c r="D12" s="48">
        <f ca="1">IF(M29="","",M28-M29)</f>
        <v>33.5</v>
      </c>
      <c r="Z12" s="28" t="s">
        <v>93</v>
      </c>
    </row>
    <row r="13" spans="1:26" x14ac:dyDescent="0.15">
      <c r="F13" s="46" t="s">
        <v>94</v>
      </c>
      <c r="Z13" s="28" t="s">
        <v>95</v>
      </c>
    </row>
    <row r="14" spans="1:26" x14ac:dyDescent="0.15">
      <c r="A14" s="1" t="s">
        <v>96</v>
      </c>
    </row>
    <row r="15" spans="1:26" x14ac:dyDescent="0.15">
      <c r="A15" t="s">
        <v>97</v>
      </c>
      <c r="D15" s="49">
        <f>IF(D7="",0,ROUNDUP(D3/D7*0.6,0))</f>
        <v>3</v>
      </c>
    </row>
    <row r="16" spans="1:26" x14ac:dyDescent="0.15">
      <c r="A16" t="s">
        <v>98</v>
      </c>
      <c r="D16" s="49">
        <f>IF(D7="",0,ROUNDUP(D3/D7,0))</f>
        <v>4</v>
      </c>
    </row>
    <row r="17" spans="1:17" x14ac:dyDescent="0.15">
      <c r="A17" t="s">
        <v>99</v>
      </c>
      <c r="D17" s="49">
        <f>IF(D7="",0,ROUNDUP(D3/D7*1.6,0))</f>
        <v>7</v>
      </c>
      <c r="F17" t="s">
        <v>100</v>
      </c>
      <c r="G17">
        <f>IF(OR(D28="",D29=""),1,STDEV(D28:D51))</f>
        <v>6.0827625302982193</v>
      </c>
    </row>
    <row r="18" spans="1:17" x14ac:dyDescent="0.15">
      <c r="A18" s="80">
        <f>D$4</f>
        <v>3</v>
      </c>
      <c r="B18" s="80"/>
      <c r="D18" s="49">
        <f ca="1">IF(D8="","",IF(LastRealized="",ROUNDUP(LastPlanned/D8,0)+SprintCount-1,ROUNDUP((LastPlanned-LastRealized)/D8+SprintCount,0)))</f>
        <v>3</v>
      </c>
    </row>
    <row r="19" spans="1:17" x14ac:dyDescent="0.15">
      <c r="A19" t="s">
        <v>101</v>
      </c>
      <c r="D19" s="49">
        <f ca="1">IF(D9="","",IF(LastRealized="",ROUNDUP(LastPlanned/D9+SprintCount-1,0),ROUNDUP((LastPlanned-LastRealized)/D9,0)+SprintCount))</f>
        <v>3</v>
      </c>
      <c r="F19" t="s">
        <v>102</v>
      </c>
      <c r="G19">
        <f ca="1">LastPlanned</f>
        <v>28</v>
      </c>
    </row>
    <row r="20" spans="1:17" x14ac:dyDescent="0.15">
      <c r="A20" t="s">
        <v>88</v>
      </c>
      <c r="D20" s="49">
        <f ca="1">IF(D10="","",IF(LastRealized="",ROUNDUP(LastPlanned/D10+SprintCount-1,0),ROUNDUP((LastPlanned-LastRealized)/D10,0)+SprintCount))</f>
        <v>3</v>
      </c>
      <c r="F20" t="s">
        <v>103</v>
      </c>
      <c r="G20">
        <f ca="1">LastRealized</f>
        <v>28</v>
      </c>
    </row>
    <row r="21" spans="1:17" x14ac:dyDescent="0.15">
      <c r="A21" t="s">
        <v>90</v>
      </c>
      <c r="D21" s="49">
        <f ca="1">IF(D11="","",IF(LastRealized="",ROUNDUP(LastPlanned/D11+SprintCount-1,0),ROUNDUP((LastPlanned-LastRealized)/D11,0)+SprintCount))</f>
        <v>3</v>
      </c>
    </row>
    <row r="22" spans="1:17" x14ac:dyDescent="0.15">
      <c r="A22" t="s">
        <v>92</v>
      </c>
      <c r="D22" s="49">
        <f ca="1">IF(COUNT(M28:M51)-1&gt;0,COUNT(M28:M51)-1,"")</f>
        <v>3</v>
      </c>
    </row>
    <row r="23" spans="1:17" x14ac:dyDescent="0.15">
      <c r="A23" t="s">
        <v>104</v>
      </c>
      <c r="D23" s="49">
        <f ca="1">IF(D9="","",IF(LastRealized="",ROUNDUP(LastPlanned/(D9+G17)+SprintCount-1,0),ROUNDUP((LastPlanned-LastRealized)/(D9+G17)+SprintCount,0)))</f>
        <v>3</v>
      </c>
    </row>
    <row r="24" spans="1:17" x14ac:dyDescent="0.15">
      <c r="A24" t="s">
        <v>105</v>
      </c>
      <c r="D24" s="49">
        <f ca="1">IF(D9="","",IF(LastRealized="",ROUNDUP(LastPlanned/(D9-G17)+SprintCount-1,0),ROUNDUP((LastPlanned-LastRealized)/(D9-G17)+SprintCount,0)))</f>
        <v>3</v>
      </c>
    </row>
    <row r="26" spans="1:17" ht="12.75" customHeight="1" x14ac:dyDescent="0.15">
      <c r="F26" s="82" t="s">
        <v>92</v>
      </c>
      <c r="G26" s="82"/>
      <c r="H26" s="82"/>
      <c r="I26" s="82"/>
      <c r="J26" s="82"/>
      <c r="K26" s="82"/>
      <c r="L26" s="82"/>
      <c r="M26" s="82"/>
      <c r="N26" s="82"/>
      <c r="O26" s="82" t="s">
        <v>106</v>
      </c>
      <c r="P26" s="82"/>
      <c r="Q26" s="82"/>
    </row>
    <row r="27" spans="1:17" ht="29" thickBot="1" x14ac:dyDescent="0.2">
      <c r="A27" s="50" t="s">
        <v>12</v>
      </c>
      <c r="B27" s="51" t="s">
        <v>107</v>
      </c>
      <c r="C27" s="51" t="s">
        <v>108</v>
      </c>
      <c r="D27" s="52" t="s">
        <v>109</v>
      </c>
      <c r="E27" s="52" t="s">
        <v>110</v>
      </c>
      <c r="F27" s="53" t="s">
        <v>111</v>
      </c>
      <c r="G27" s="81" t="s">
        <v>112</v>
      </c>
      <c r="H27" s="81"/>
      <c r="I27" s="53" t="s">
        <v>113</v>
      </c>
      <c r="J27" s="54"/>
      <c r="K27" s="53" t="s">
        <v>114</v>
      </c>
      <c r="L27" s="53" t="s">
        <v>115</v>
      </c>
      <c r="M27" s="53" t="s">
        <v>116</v>
      </c>
      <c r="N27" s="55" t="s">
        <v>117</v>
      </c>
      <c r="O27" s="53" t="s">
        <v>118</v>
      </c>
      <c r="P27" s="53" t="s">
        <v>119</v>
      </c>
      <c r="Q27" s="53" t="s">
        <v>120</v>
      </c>
    </row>
    <row r="28" spans="1:17" x14ac:dyDescent="0.15">
      <c r="A28" s="47">
        <v>1</v>
      </c>
      <c r="B28" s="2">
        <v>94</v>
      </c>
      <c r="C28" s="2">
        <v>45</v>
      </c>
      <c r="D28" s="2">
        <v>38</v>
      </c>
      <c r="E28" s="47">
        <v>56</v>
      </c>
      <c r="F28" s="45">
        <f>B28</f>
        <v>94</v>
      </c>
      <c r="G28" s="45">
        <f t="shared" ref="G28:G51" si="0">F28</f>
        <v>94</v>
      </c>
      <c r="H28" s="45">
        <f t="shared" ref="H28:H33" si="1">I28</f>
        <v>0</v>
      </c>
      <c r="I28" s="45">
        <v>0</v>
      </c>
      <c r="K28">
        <f t="shared" ref="K28:K33" si="2">IF(F28&lt;I28,I28,F28)</f>
        <v>94</v>
      </c>
      <c r="L28" s="45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87.666666666666657</v>
      </c>
      <c r="M28" s="45">
        <f ca="1">L28</f>
        <v>87.666666666666657</v>
      </c>
      <c r="N28" s="45">
        <f t="shared" ref="N28:N51" ca="1" si="4">OFFSET($I$27,TrendSprintCount,0,1,1)</f>
        <v>-11</v>
      </c>
      <c r="O28" s="56">
        <f t="shared" ref="O28:O51" ca="1" si="5">D$9</f>
        <v>35</v>
      </c>
      <c r="P28" s="56">
        <f t="shared" ref="P28:P51" ca="1" si="6">D$10</f>
        <v>35</v>
      </c>
      <c r="Q28" s="56">
        <f t="shared" ref="Q28:Q51" ca="1" si="7">D$11</f>
        <v>35</v>
      </c>
    </row>
    <row r="29" spans="1:17" x14ac:dyDescent="0.15">
      <c r="A29" s="47">
        <v>2</v>
      </c>
      <c r="B29" s="2">
        <f t="shared" ref="B29:B51" si="8">IF(OR(B28="",C28=""),"",IF(D28="",IF(B28-C28&lt;=0,"",B28-C28),IF(B28-D28&lt;=0,"",B28-D28)))</f>
        <v>56</v>
      </c>
      <c r="C29" s="2">
        <v>32</v>
      </c>
      <c r="D29" s="2">
        <v>39</v>
      </c>
      <c r="E29" s="47">
        <v>28</v>
      </c>
      <c r="F29" s="45">
        <f t="shared" ref="F29:F34" si="9">IF(B29="",IF(B28="","",IF(D28="","",I28)),IF(AND(D28="",C28=""),"",IF(AND(D28="",C28&lt;&gt;""),IF(I28&gt;F28,F28,I28),F28-D28)))</f>
        <v>56</v>
      </c>
      <c r="G29" s="45">
        <f t="shared" si="0"/>
        <v>56</v>
      </c>
      <c r="H29" s="45">
        <f t="shared" si="1"/>
        <v>0</v>
      </c>
      <c r="I29" s="45">
        <f>IF(B29="",IF(B28="","",IF(D28="","",F28-D28)),IF(AND(C28="",D28=""),"",IF(AND(D28="",C28&lt;&gt;""),IF(I28&gt;F28,I28-C28,F28-C28),B$28-B29-SUM(D$28:D28))))</f>
        <v>0</v>
      </c>
      <c r="K29">
        <f t="shared" si="2"/>
        <v>56</v>
      </c>
      <c r="L29" s="45">
        <f t="shared" ca="1" si="3"/>
        <v>54.166666666666657</v>
      </c>
      <c r="M29" s="45">
        <f ca="1">IF(L29=L28,"",L29)</f>
        <v>54.166666666666657</v>
      </c>
      <c r="N29" s="45">
        <f t="shared" ca="1" si="4"/>
        <v>-11</v>
      </c>
      <c r="O29" s="56">
        <f t="shared" ca="1" si="5"/>
        <v>35</v>
      </c>
      <c r="P29" s="56">
        <f t="shared" ca="1" si="6"/>
        <v>35</v>
      </c>
      <c r="Q29" s="56">
        <f t="shared" ca="1" si="7"/>
        <v>35</v>
      </c>
    </row>
    <row r="30" spans="1:17" x14ac:dyDescent="0.15">
      <c r="A30" s="47">
        <v>3</v>
      </c>
      <c r="B30" s="2">
        <v>28</v>
      </c>
      <c r="C30" s="2">
        <v>28</v>
      </c>
      <c r="D30" s="2">
        <v>28</v>
      </c>
      <c r="E30" s="47"/>
      <c r="F30" s="45">
        <f t="shared" si="9"/>
        <v>17</v>
      </c>
      <c r="G30" s="45">
        <f t="shared" si="0"/>
        <v>17</v>
      </c>
      <c r="H30" s="45">
        <f t="shared" si="1"/>
        <v>-11</v>
      </c>
      <c r="I30" s="45">
        <f>IF(B30="",IF(B29="","",IF(D29="","",F29-D29)),IF(AND(C29="",D29=""),"",IF(AND(D29="",C29&lt;&gt;""),IF(I29&gt;F29,I29-C29,F29-C29),B$28-B30-SUM(D$28:D29))))</f>
        <v>-11</v>
      </c>
      <c r="K30">
        <f t="shared" si="2"/>
        <v>17</v>
      </c>
      <c r="L30" s="45">
        <f t="shared" ca="1" si="3"/>
        <v>20.666666666666671</v>
      </c>
      <c r="M30" s="45">
        <f t="shared" ref="M30:M51" ca="1" si="10">IF(L30=L29,"",L30)</f>
        <v>20.666666666666671</v>
      </c>
      <c r="N30" s="45">
        <f t="shared" ca="1" si="4"/>
        <v>-11</v>
      </c>
      <c r="O30" s="56">
        <f t="shared" ca="1" si="5"/>
        <v>35</v>
      </c>
      <c r="P30" s="56">
        <f t="shared" ca="1" si="6"/>
        <v>35</v>
      </c>
      <c r="Q30" s="56">
        <f t="shared" ca="1" si="7"/>
        <v>35</v>
      </c>
    </row>
    <row r="31" spans="1:17" x14ac:dyDescent="0.15">
      <c r="A31" s="47">
        <v>4</v>
      </c>
      <c r="B31" s="2" t="str">
        <f>IF(OR(B30="",C30=""),"",IF(D30="",IF(B30-C30&lt;=0,"",B30-C30),IF(B30-D30&lt;=0,"",B30-D30)))</f>
        <v/>
      </c>
      <c r="C31" s="2"/>
      <c r="D31" s="2"/>
      <c r="E31" s="47" t="str">
        <f>IF(B31="","",IF(D30="",E30,B31+SUM(D$28:D30)))</f>
        <v/>
      </c>
      <c r="F31" s="45">
        <f t="shared" si="9"/>
        <v>-11</v>
      </c>
      <c r="G31" s="45">
        <f t="shared" si="0"/>
        <v>-11</v>
      </c>
      <c r="H31" s="45">
        <f t="shared" si="1"/>
        <v>-11</v>
      </c>
      <c r="I31" s="45">
        <f>IF(B31="",IF(B30="","",IF(D30="","",F30-D30)),IF(AND(C30="",D30=""),"",IF(AND(D30="",C30&lt;&gt;""),IF(I30&gt;F30,I30-C30,F30-C30),B$28-B31-SUM(D$28:D30))))</f>
        <v>-11</v>
      </c>
      <c r="K31">
        <f t="shared" si="2"/>
        <v>-11</v>
      </c>
      <c r="L31" s="45">
        <f t="shared" ca="1" si="3"/>
        <v>-11</v>
      </c>
      <c r="M31" s="45">
        <f t="shared" ca="1" si="10"/>
        <v>-11</v>
      </c>
      <c r="N31" s="45">
        <f t="shared" ca="1" si="4"/>
        <v>-11</v>
      </c>
      <c r="O31" s="56">
        <f t="shared" ca="1" si="5"/>
        <v>35</v>
      </c>
      <c r="P31" s="56">
        <f t="shared" ca="1" si="6"/>
        <v>35</v>
      </c>
      <c r="Q31" s="56">
        <f t="shared" ca="1" si="7"/>
        <v>35</v>
      </c>
    </row>
    <row r="32" spans="1:17" x14ac:dyDescent="0.15">
      <c r="A32" s="47">
        <v>5</v>
      </c>
      <c r="B32" s="2" t="str">
        <f>IF(OR(B31="",C31=""),"",IF(D31="",IF(B31-C31&lt;=0,"",B31-C31),IF(B31-D31&lt;=0,"",B31-D31)))</f>
        <v/>
      </c>
      <c r="C32" s="2"/>
      <c r="D32" s="2"/>
      <c r="E32" s="47" t="str">
        <f>IF(B32="","",IF(D31="",E31,B32+SUM(D$28:D31)))</f>
        <v/>
      </c>
      <c r="F32" s="45" t="str">
        <f t="shared" si="9"/>
        <v/>
      </c>
      <c r="G32" s="45" t="str">
        <f t="shared" si="0"/>
        <v/>
      </c>
      <c r="H32" s="45" t="str">
        <f t="shared" si="1"/>
        <v/>
      </c>
      <c r="I32" s="45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5">
        <f t="shared" ca="1" si="3"/>
        <v>-11</v>
      </c>
      <c r="M32" s="45" t="str">
        <f t="shared" ca="1" si="10"/>
        <v/>
      </c>
      <c r="N32" s="45">
        <f t="shared" ca="1" si="4"/>
        <v>-11</v>
      </c>
      <c r="O32" s="56">
        <f t="shared" ca="1" si="5"/>
        <v>35</v>
      </c>
      <c r="P32" s="56">
        <f t="shared" ca="1" si="6"/>
        <v>35</v>
      </c>
      <c r="Q32" s="56">
        <f t="shared" ca="1" si="7"/>
        <v>35</v>
      </c>
    </row>
    <row r="33" spans="1:17" x14ac:dyDescent="0.15">
      <c r="A33" s="47">
        <v>6</v>
      </c>
      <c r="B33" s="2" t="str">
        <f>IF(OR(B32="",C32=""),"",IF(D32="",IF(B32-C32&lt;=0,"",B32-C32),IF(B32-D32&lt;=0,"",B32-D32)))</f>
        <v/>
      </c>
      <c r="C33" s="2"/>
      <c r="D33" s="2"/>
      <c r="E33" s="47" t="str">
        <f>IF(B33="","",IF(D32="",E32,B33+SUM(D$28:D32)))</f>
        <v/>
      </c>
      <c r="F33" s="45" t="str">
        <f t="shared" si="9"/>
        <v/>
      </c>
      <c r="G33" s="45" t="str">
        <f t="shared" si="0"/>
        <v/>
      </c>
      <c r="H33" s="45" t="str">
        <f t="shared" si="1"/>
        <v/>
      </c>
      <c r="I33" s="45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5">
        <f t="shared" ca="1" si="3"/>
        <v>-11</v>
      </c>
      <c r="M33" s="45" t="str">
        <f t="shared" ca="1" si="10"/>
        <v/>
      </c>
      <c r="N33" s="45">
        <f t="shared" ca="1" si="4"/>
        <v>-11</v>
      </c>
      <c r="O33" s="56">
        <f t="shared" ca="1" si="5"/>
        <v>35</v>
      </c>
      <c r="P33" s="56">
        <f t="shared" ca="1" si="6"/>
        <v>35</v>
      </c>
      <c r="Q33" s="56">
        <f t="shared" ca="1" si="7"/>
        <v>35</v>
      </c>
    </row>
    <row r="34" spans="1:17" x14ac:dyDescent="0.15">
      <c r="A34" s="47">
        <v>7</v>
      </c>
      <c r="B34" s="2" t="str">
        <f>IF(OR(B33="",C33=""),"",IF(D33="",IF(B33-C33&lt;=0,"",B33-C33),IF(B33-D33&lt;=0,"",B33-D33)))</f>
        <v/>
      </c>
      <c r="C34" s="2"/>
      <c r="D34" s="2"/>
      <c r="E34" s="47" t="str">
        <f>IF(B34="","",IF(D33="",E33,B34+SUM(D$28:D33)))</f>
        <v/>
      </c>
      <c r="F34" s="45" t="str">
        <f t="shared" si="9"/>
        <v/>
      </c>
      <c r="G34" s="45" t="str">
        <f t="shared" si="0"/>
        <v/>
      </c>
      <c r="H34" s="45" t="str">
        <f t="shared" ref="H34:H51" si="11">I34</f>
        <v/>
      </c>
      <c r="I34" s="45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5">
        <f t="shared" ca="1" si="3"/>
        <v>-11</v>
      </c>
      <c r="M34" s="45" t="str">
        <f t="shared" ca="1" si="10"/>
        <v/>
      </c>
      <c r="N34" s="45">
        <f t="shared" ca="1" si="4"/>
        <v>-11</v>
      </c>
      <c r="O34" s="56">
        <f t="shared" ca="1" si="5"/>
        <v>35</v>
      </c>
      <c r="P34" s="56">
        <f t="shared" ca="1" si="6"/>
        <v>35</v>
      </c>
      <c r="Q34" s="56">
        <f t="shared" ca="1" si="7"/>
        <v>35</v>
      </c>
    </row>
    <row r="35" spans="1:17" x14ac:dyDescent="0.15">
      <c r="A35" s="47">
        <v>8</v>
      </c>
      <c r="B35" s="2" t="str">
        <f t="shared" si="8"/>
        <v/>
      </c>
      <c r="C35" s="2"/>
      <c r="D35" s="2"/>
      <c r="E35" s="47" t="str">
        <f>IF(B35="","",IF(D34="",E34,B35+SUM(D$28:D34)))</f>
        <v/>
      </c>
      <c r="F35" s="45" t="str">
        <f t="shared" ref="F35:F51" si="13">IF(B35="",IF(B34="","",IF(D34="","",I34)),IF(AND(D34="",C34=""),"",IF(AND(D34="",C34&lt;&gt;""),IF(I34&gt;F34,F34,I34),F34-D34)))</f>
        <v/>
      </c>
      <c r="G35" s="45" t="str">
        <f t="shared" si="0"/>
        <v/>
      </c>
      <c r="H35" s="45" t="str">
        <f t="shared" si="11"/>
        <v/>
      </c>
      <c r="I35" s="45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5">
        <f t="shared" ca="1" si="3"/>
        <v>-11</v>
      </c>
      <c r="M35" s="45" t="str">
        <f t="shared" ca="1" si="10"/>
        <v/>
      </c>
      <c r="N35" s="45">
        <f t="shared" ca="1" si="4"/>
        <v>-11</v>
      </c>
      <c r="O35" s="56">
        <f t="shared" ca="1" si="5"/>
        <v>35</v>
      </c>
      <c r="P35" s="56">
        <f t="shared" ca="1" si="6"/>
        <v>35</v>
      </c>
      <c r="Q35" s="56">
        <f t="shared" ca="1" si="7"/>
        <v>35</v>
      </c>
    </row>
    <row r="36" spans="1:17" x14ac:dyDescent="0.15">
      <c r="A36" s="47">
        <v>9</v>
      </c>
      <c r="B36" s="2" t="str">
        <f t="shared" si="8"/>
        <v/>
      </c>
      <c r="C36" s="2"/>
      <c r="D36" s="2"/>
      <c r="E36" s="47" t="str">
        <f>IF(B36="","",IF(D35="",E35,B36+SUM(D$28:D35)))</f>
        <v/>
      </c>
      <c r="F36" s="45" t="str">
        <f t="shared" si="13"/>
        <v/>
      </c>
      <c r="G36" s="45" t="str">
        <f t="shared" si="0"/>
        <v/>
      </c>
      <c r="H36" s="45" t="str">
        <f t="shared" si="11"/>
        <v/>
      </c>
      <c r="I36" s="45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5">
        <f t="shared" ca="1" si="3"/>
        <v>-11</v>
      </c>
      <c r="M36" s="45" t="str">
        <f t="shared" ca="1" si="10"/>
        <v/>
      </c>
      <c r="N36" s="45">
        <f t="shared" ca="1" si="4"/>
        <v>-11</v>
      </c>
      <c r="O36" s="56">
        <f t="shared" ca="1" si="5"/>
        <v>35</v>
      </c>
      <c r="P36" s="56">
        <f t="shared" ca="1" si="6"/>
        <v>35</v>
      </c>
      <c r="Q36" s="56">
        <f t="shared" ca="1" si="7"/>
        <v>35</v>
      </c>
    </row>
    <row r="37" spans="1:17" x14ac:dyDescent="0.15">
      <c r="A37" s="47">
        <v>10</v>
      </c>
      <c r="B37" s="2" t="str">
        <f t="shared" si="8"/>
        <v/>
      </c>
      <c r="C37" s="2"/>
      <c r="D37" s="2"/>
      <c r="E37" s="47" t="str">
        <f>IF(B37="","",IF(D36="",E36,B37+SUM(D$28:D36)))</f>
        <v/>
      </c>
      <c r="F37" s="45" t="str">
        <f t="shared" si="13"/>
        <v/>
      </c>
      <c r="G37" s="45" t="str">
        <f t="shared" si="0"/>
        <v/>
      </c>
      <c r="H37" s="45" t="str">
        <f t="shared" si="11"/>
        <v/>
      </c>
      <c r="I37" s="45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5">
        <f t="shared" ca="1" si="3"/>
        <v>-11</v>
      </c>
      <c r="M37" s="45" t="str">
        <f t="shared" ca="1" si="10"/>
        <v/>
      </c>
      <c r="N37" s="45">
        <f t="shared" ca="1" si="4"/>
        <v>-11</v>
      </c>
      <c r="O37" s="56">
        <f t="shared" ca="1" si="5"/>
        <v>35</v>
      </c>
      <c r="P37" s="56">
        <f t="shared" ca="1" si="6"/>
        <v>35</v>
      </c>
      <c r="Q37" s="56">
        <f t="shared" ca="1" si="7"/>
        <v>35</v>
      </c>
    </row>
    <row r="38" spans="1:17" x14ac:dyDescent="0.15">
      <c r="A38" s="47">
        <v>11</v>
      </c>
      <c r="B38" s="2" t="str">
        <f t="shared" si="8"/>
        <v/>
      </c>
      <c r="C38" s="2"/>
      <c r="D38" s="2"/>
      <c r="E38" s="47" t="str">
        <f>IF(B38="","",IF(D37="",E37,B38+SUM(D$28:D37)))</f>
        <v/>
      </c>
      <c r="F38" s="45" t="str">
        <f t="shared" si="13"/>
        <v/>
      </c>
      <c r="G38" s="45" t="str">
        <f t="shared" si="0"/>
        <v/>
      </c>
      <c r="H38" s="45" t="str">
        <f t="shared" si="11"/>
        <v/>
      </c>
      <c r="I38" s="45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5">
        <f t="shared" ca="1" si="3"/>
        <v>-11</v>
      </c>
      <c r="M38" s="45" t="str">
        <f t="shared" ca="1" si="10"/>
        <v/>
      </c>
      <c r="N38" s="45">
        <f t="shared" ca="1" si="4"/>
        <v>-11</v>
      </c>
      <c r="O38" s="56">
        <f t="shared" ca="1" si="5"/>
        <v>35</v>
      </c>
      <c r="P38" s="56">
        <f t="shared" ca="1" si="6"/>
        <v>35</v>
      </c>
      <c r="Q38" s="56">
        <f t="shared" ca="1" si="7"/>
        <v>35</v>
      </c>
    </row>
    <row r="39" spans="1:17" x14ac:dyDescent="0.15">
      <c r="A39" s="47">
        <v>12</v>
      </c>
      <c r="B39" s="2" t="str">
        <f t="shared" si="8"/>
        <v/>
      </c>
      <c r="C39" s="2"/>
      <c r="D39" s="2"/>
      <c r="E39" s="47" t="str">
        <f>IF(B39="","",IF(D38="",E38,B39+SUM(D$28:D38)))</f>
        <v/>
      </c>
      <c r="F39" s="45" t="str">
        <f t="shared" si="13"/>
        <v/>
      </c>
      <c r="G39" s="45" t="str">
        <f t="shared" si="0"/>
        <v/>
      </c>
      <c r="H39" s="45" t="str">
        <f t="shared" si="11"/>
        <v/>
      </c>
      <c r="I39" s="45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5">
        <f t="shared" ca="1" si="3"/>
        <v>-11</v>
      </c>
      <c r="M39" s="45" t="str">
        <f t="shared" ca="1" si="10"/>
        <v/>
      </c>
      <c r="N39" s="45">
        <f t="shared" ca="1" si="4"/>
        <v>-11</v>
      </c>
      <c r="O39" s="56">
        <f t="shared" ca="1" si="5"/>
        <v>35</v>
      </c>
      <c r="P39" s="56">
        <f t="shared" ca="1" si="6"/>
        <v>35</v>
      </c>
      <c r="Q39" s="56">
        <f t="shared" ca="1" si="7"/>
        <v>35</v>
      </c>
    </row>
    <row r="40" spans="1:17" x14ac:dyDescent="0.15">
      <c r="A40" s="47">
        <v>13</v>
      </c>
      <c r="B40" s="2" t="str">
        <f t="shared" si="8"/>
        <v/>
      </c>
      <c r="C40" s="2"/>
      <c r="E40" s="47" t="str">
        <f>IF(B40="","",IF(D39="",E39,B40+SUM(D$28:D39)))</f>
        <v/>
      </c>
      <c r="F40" s="45" t="str">
        <f t="shared" si="13"/>
        <v/>
      </c>
      <c r="G40" s="45" t="str">
        <f t="shared" si="0"/>
        <v/>
      </c>
      <c r="H40" s="45" t="str">
        <f t="shared" si="11"/>
        <v/>
      </c>
      <c r="I40" s="45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5">
        <f t="shared" ca="1" si="3"/>
        <v>-11</v>
      </c>
      <c r="M40" s="45" t="str">
        <f t="shared" ca="1" si="10"/>
        <v/>
      </c>
      <c r="N40" s="45">
        <f t="shared" ca="1" si="4"/>
        <v>-11</v>
      </c>
      <c r="O40" s="56">
        <f t="shared" ca="1" si="5"/>
        <v>35</v>
      </c>
      <c r="P40" s="56">
        <f t="shared" ca="1" si="6"/>
        <v>35</v>
      </c>
      <c r="Q40" s="56">
        <f t="shared" ca="1" si="7"/>
        <v>35</v>
      </c>
    </row>
    <row r="41" spans="1:17" x14ac:dyDescent="0.15">
      <c r="A41" s="47">
        <v>14</v>
      </c>
      <c r="B41" s="2" t="str">
        <f t="shared" si="8"/>
        <v/>
      </c>
      <c r="C41" s="2"/>
      <c r="E41" s="47" t="str">
        <f>IF(B41="","",IF(D40="",E40,B41+SUM(D$28:D40)))</f>
        <v/>
      </c>
      <c r="F41" s="45" t="str">
        <f t="shared" si="13"/>
        <v/>
      </c>
      <c r="G41" s="45" t="str">
        <f t="shared" si="0"/>
        <v/>
      </c>
      <c r="H41" s="45" t="str">
        <f t="shared" si="11"/>
        <v/>
      </c>
      <c r="I41" s="45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5">
        <f t="shared" ca="1" si="3"/>
        <v>-11</v>
      </c>
      <c r="M41" s="45" t="str">
        <f t="shared" ca="1" si="10"/>
        <v/>
      </c>
      <c r="N41" s="45">
        <f t="shared" ca="1" si="4"/>
        <v>-11</v>
      </c>
      <c r="O41" s="56">
        <f t="shared" ca="1" si="5"/>
        <v>35</v>
      </c>
      <c r="P41" s="56">
        <f t="shared" ca="1" si="6"/>
        <v>35</v>
      </c>
      <c r="Q41" s="56">
        <f t="shared" ca="1" si="7"/>
        <v>35</v>
      </c>
    </row>
    <row r="42" spans="1:17" x14ac:dyDescent="0.15">
      <c r="A42" s="47">
        <v>15</v>
      </c>
      <c r="B42" s="2" t="str">
        <f t="shared" si="8"/>
        <v/>
      </c>
      <c r="C42" s="2"/>
      <c r="E42" s="47" t="str">
        <f>IF(B42="","",IF(D41="",E41,B42+SUM(D$28:D41)))</f>
        <v/>
      </c>
      <c r="F42" s="45" t="str">
        <f t="shared" si="13"/>
        <v/>
      </c>
      <c r="G42" s="45" t="str">
        <f t="shared" si="0"/>
        <v/>
      </c>
      <c r="H42" s="45" t="str">
        <f t="shared" si="11"/>
        <v/>
      </c>
      <c r="I42" s="45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5">
        <f t="shared" ca="1" si="3"/>
        <v>-11</v>
      </c>
      <c r="M42" s="45" t="str">
        <f t="shared" ca="1" si="10"/>
        <v/>
      </c>
      <c r="N42" s="45">
        <f t="shared" ca="1" si="4"/>
        <v>-11</v>
      </c>
      <c r="O42" s="56">
        <f t="shared" ca="1" si="5"/>
        <v>35</v>
      </c>
      <c r="P42" s="56">
        <f t="shared" ca="1" si="6"/>
        <v>35</v>
      </c>
      <c r="Q42" s="56">
        <f t="shared" ca="1" si="7"/>
        <v>35</v>
      </c>
    </row>
    <row r="43" spans="1:17" x14ac:dyDescent="0.15">
      <c r="A43" s="47">
        <v>16</v>
      </c>
      <c r="B43" s="2" t="str">
        <f t="shared" si="8"/>
        <v/>
      </c>
      <c r="C43" s="2"/>
      <c r="E43" s="47" t="str">
        <f>IF(B43="","",IF(D42="",E42,B43+SUM(D$28:D42)))</f>
        <v/>
      </c>
      <c r="F43" s="45" t="str">
        <f t="shared" si="13"/>
        <v/>
      </c>
      <c r="G43" s="45" t="str">
        <f t="shared" si="0"/>
        <v/>
      </c>
      <c r="H43" s="45" t="str">
        <f t="shared" si="11"/>
        <v/>
      </c>
      <c r="I43" s="45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5">
        <f t="shared" ca="1" si="3"/>
        <v>-11</v>
      </c>
      <c r="M43" s="45" t="str">
        <f t="shared" ca="1" si="10"/>
        <v/>
      </c>
      <c r="N43" s="45">
        <f t="shared" ca="1" si="4"/>
        <v>-11</v>
      </c>
      <c r="O43" s="56">
        <f t="shared" ca="1" si="5"/>
        <v>35</v>
      </c>
      <c r="P43" s="56">
        <f t="shared" ca="1" si="6"/>
        <v>35</v>
      </c>
      <c r="Q43" s="56">
        <f t="shared" ca="1" si="7"/>
        <v>35</v>
      </c>
    </row>
    <row r="44" spans="1:17" x14ac:dyDescent="0.15">
      <c r="A44" s="47">
        <v>17</v>
      </c>
      <c r="B44" s="2" t="str">
        <f t="shared" si="8"/>
        <v/>
      </c>
      <c r="C44" s="2"/>
      <c r="E44" s="47" t="str">
        <f>IF(B44="","",IF(D43="",E43,B44+SUM(D$28:D43)))</f>
        <v/>
      </c>
      <c r="F44" s="45" t="str">
        <f t="shared" si="13"/>
        <v/>
      </c>
      <c r="G44" s="45" t="str">
        <f t="shared" si="0"/>
        <v/>
      </c>
      <c r="H44" s="45" t="str">
        <f t="shared" si="11"/>
        <v/>
      </c>
      <c r="I44" s="45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5">
        <f t="shared" ca="1" si="3"/>
        <v>-11</v>
      </c>
      <c r="M44" s="45" t="str">
        <f t="shared" ca="1" si="10"/>
        <v/>
      </c>
      <c r="N44" s="45">
        <f t="shared" ca="1" si="4"/>
        <v>-11</v>
      </c>
      <c r="O44" s="56">
        <f t="shared" ca="1" si="5"/>
        <v>35</v>
      </c>
      <c r="P44" s="56">
        <f t="shared" ca="1" si="6"/>
        <v>35</v>
      </c>
      <c r="Q44" s="56">
        <f t="shared" ca="1" si="7"/>
        <v>35</v>
      </c>
    </row>
    <row r="45" spans="1:17" x14ac:dyDescent="0.15">
      <c r="A45" s="47">
        <v>18</v>
      </c>
      <c r="B45" s="2" t="str">
        <f t="shared" si="8"/>
        <v/>
      </c>
      <c r="C45" s="2"/>
      <c r="E45" s="47" t="str">
        <f>IF(B45="","",IF(D44="",E44,B45+SUM(D$28:D44)))</f>
        <v/>
      </c>
      <c r="F45" s="45" t="str">
        <f t="shared" si="13"/>
        <v/>
      </c>
      <c r="G45" s="45" t="str">
        <f t="shared" si="0"/>
        <v/>
      </c>
      <c r="H45" s="45" t="str">
        <f t="shared" si="11"/>
        <v/>
      </c>
      <c r="I45" s="45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5">
        <f t="shared" ca="1" si="3"/>
        <v>-11</v>
      </c>
      <c r="M45" s="45" t="str">
        <f t="shared" ca="1" si="10"/>
        <v/>
      </c>
      <c r="N45" s="45">
        <f t="shared" ca="1" si="4"/>
        <v>-11</v>
      </c>
      <c r="O45" s="56">
        <f t="shared" ca="1" si="5"/>
        <v>35</v>
      </c>
      <c r="P45" s="56">
        <f t="shared" ca="1" si="6"/>
        <v>35</v>
      </c>
      <c r="Q45" s="56">
        <f t="shared" ca="1" si="7"/>
        <v>35</v>
      </c>
    </row>
    <row r="46" spans="1:17" x14ac:dyDescent="0.15">
      <c r="A46" s="47">
        <v>19</v>
      </c>
      <c r="B46" s="2" t="str">
        <f t="shared" si="8"/>
        <v/>
      </c>
      <c r="C46" s="2"/>
      <c r="E46" s="47" t="str">
        <f>IF(B46="","",IF(D45="",E45,B46+SUM(D$28:D45)))</f>
        <v/>
      </c>
      <c r="F46" s="45" t="str">
        <f t="shared" si="13"/>
        <v/>
      </c>
      <c r="G46" s="45" t="str">
        <f t="shared" si="0"/>
        <v/>
      </c>
      <c r="H46" s="45" t="str">
        <f t="shared" si="11"/>
        <v/>
      </c>
      <c r="I46" s="45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5">
        <f t="shared" ca="1" si="3"/>
        <v>-11</v>
      </c>
      <c r="M46" s="45" t="str">
        <f t="shared" ca="1" si="10"/>
        <v/>
      </c>
      <c r="N46" s="45">
        <f t="shared" ca="1" si="4"/>
        <v>-11</v>
      </c>
      <c r="O46" s="56">
        <f t="shared" ca="1" si="5"/>
        <v>35</v>
      </c>
      <c r="P46" s="56">
        <f t="shared" ca="1" si="6"/>
        <v>35</v>
      </c>
      <c r="Q46" s="56">
        <f t="shared" ca="1" si="7"/>
        <v>35</v>
      </c>
    </row>
    <row r="47" spans="1:17" x14ac:dyDescent="0.15">
      <c r="A47" s="47">
        <v>20</v>
      </c>
      <c r="B47" s="2" t="str">
        <f t="shared" si="8"/>
        <v/>
      </c>
      <c r="C47" s="2"/>
      <c r="E47" s="47" t="str">
        <f>IF(B47="","",IF(D46="",E46,B47+SUM(D$28:D46)))</f>
        <v/>
      </c>
      <c r="F47" s="45" t="str">
        <f t="shared" si="13"/>
        <v/>
      </c>
      <c r="G47" s="45" t="str">
        <f t="shared" si="0"/>
        <v/>
      </c>
      <c r="H47" s="45" t="str">
        <f t="shared" si="11"/>
        <v/>
      </c>
      <c r="I47" s="45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5">
        <f t="shared" ca="1" si="3"/>
        <v>-11</v>
      </c>
      <c r="M47" s="45" t="str">
        <f t="shared" ca="1" si="10"/>
        <v/>
      </c>
      <c r="N47" s="45">
        <f t="shared" ca="1" si="4"/>
        <v>-11</v>
      </c>
      <c r="O47" s="56">
        <f t="shared" ca="1" si="5"/>
        <v>35</v>
      </c>
      <c r="P47" s="56">
        <f t="shared" ca="1" si="6"/>
        <v>35</v>
      </c>
      <c r="Q47" s="56">
        <f t="shared" ca="1" si="7"/>
        <v>35</v>
      </c>
    </row>
    <row r="48" spans="1:17" x14ac:dyDescent="0.15">
      <c r="A48" s="47">
        <v>21</v>
      </c>
      <c r="B48" s="2" t="str">
        <f t="shared" si="8"/>
        <v/>
      </c>
      <c r="C48" s="2"/>
      <c r="E48" s="47" t="str">
        <f>IF(B48="","",IF(D47="",E47,B48+SUM(D$28:D47)))</f>
        <v/>
      </c>
      <c r="F48" s="45" t="str">
        <f t="shared" si="13"/>
        <v/>
      </c>
      <c r="G48" s="45" t="str">
        <f t="shared" si="0"/>
        <v/>
      </c>
      <c r="H48" s="45" t="str">
        <f t="shared" si="11"/>
        <v/>
      </c>
      <c r="I48" s="45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5">
        <f t="shared" ca="1" si="3"/>
        <v>-11</v>
      </c>
      <c r="M48" s="45" t="str">
        <f t="shared" ca="1" si="10"/>
        <v/>
      </c>
      <c r="N48" s="45">
        <f t="shared" ca="1" si="4"/>
        <v>-11</v>
      </c>
      <c r="O48" s="56">
        <f t="shared" ca="1" si="5"/>
        <v>35</v>
      </c>
      <c r="P48" s="56">
        <f t="shared" ca="1" si="6"/>
        <v>35</v>
      </c>
      <c r="Q48" s="56">
        <f t="shared" ca="1" si="7"/>
        <v>35</v>
      </c>
    </row>
    <row r="49" spans="1:17" x14ac:dyDescent="0.15">
      <c r="A49" s="47">
        <v>22</v>
      </c>
      <c r="B49" s="2" t="str">
        <f t="shared" si="8"/>
        <v/>
      </c>
      <c r="C49" s="2"/>
      <c r="E49" s="47" t="str">
        <f>IF(B49="","",IF(D48="",E48,B49+SUM(D$28:D48)))</f>
        <v/>
      </c>
      <c r="F49" s="45" t="str">
        <f t="shared" si="13"/>
        <v/>
      </c>
      <c r="G49" s="45" t="str">
        <f t="shared" si="0"/>
        <v/>
      </c>
      <c r="H49" s="45" t="str">
        <f t="shared" si="11"/>
        <v/>
      </c>
      <c r="I49" s="45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5">
        <f t="shared" ca="1" si="3"/>
        <v>-11</v>
      </c>
      <c r="M49" s="45" t="str">
        <f t="shared" ca="1" si="10"/>
        <v/>
      </c>
      <c r="N49" s="45">
        <f t="shared" ca="1" si="4"/>
        <v>-11</v>
      </c>
      <c r="O49" s="56">
        <f t="shared" ca="1" si="5"/>
        <v>35</v>
      </c>
      <c r="P49" s="56">
        <f t="shared" ca="1" si="6"/>
        <v>35</v>
      </c>
      <c r="Q49" s="56">
        <f t="shared" ca="1" si="7"/>
        <v>35</v>
      </c>
    </row>
    <row r="50" spans="1:17" x14ac:dyDescent="0.15">
      <c r="A50" s="47">
        <v>23</v>
      </c>
      <c r="B50" s="2" t="str">
        <f t="shared" si="8"/>
        <v/>
      </c>
      <c r="C50" s="2"/>
      <c r="E50" s="47" t="str">
        <f>IF(B50="","",IF(D49="",E49,B50+SUM(D$28:D49)))</f>
        <v/>
      </c>
      <c r="F50" s="45" t="str">
        <f t="shared" si="13"/>
        <v/>
      </c>
      <c r="G50" s="45" t="str">
        <f t="shared" si="0"/>
        <v/>
      </c>
      <c r="H50" s="45" t="str">
        <f t="shared" si="11"/>
        <v/>
      </c>
      <c r="I50" s="45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5">
        <f t="shared" ca="1" si="3"/>
        <v>-11</v>
      </c>
      <c r="M50" s="45" t="str">
        <f t="shared" ca="1" si="10"/>
        <v/>
      </c>
      <c r="N50" s="45">
        <f t="shared" ca="1" si="4"/>
        <v>-11</v>
      </c>
      <c r="O50" s="56">
        <f t="shared" ca="1" si="5"/>
        <v>35</v>
      </c>
      <c r="P50" s="56">
        <f t="shared" ca="1" si="6"/>
        <v>35</v>
      </c>
      <c r="Q50" s="56">
        <f t="shared" ca="1" si="7"/>
        <v>35</v>
      </c>
    </row>
    <row r="51" spans="1:17" x14ac:dyDescent="0.15">
      <c r="A51" s="47">
        <v>24</v>
      </c>
      <c r="B51" s="2" t="str">
        <f t="shared" si="8"/>
        <v/>
      </c>
      <c r="C51" s="2"/>
      <c r="E51" s="47" t="str">
        <f>IF(B51="","",IF(D50="",E50,B51+SUM(D$28:D50)))</f>
        <v/>
      </c>
      <c r="F51" s="45" t="str">
        <f t="shared" si="13"/>
        <v/>
      </c>
      <c r="G51" s="45" t="str">
        <f t="shared" si="0"/>
        <v/>
      </c>
      <c r="H51" s="45" t="str">
        <f t="shared" si="11"/>
        <v/>
      </c>
      <c r="I51" s="45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5">
        <f t="shared" ca="1" si="3"/>
        <v>-11</v>
      </c>
      <c r="M51" s="45" t="str">
        <f t="shared" ca="1" si="10"/>
        <v/>
      </c>
      <c r="N51" s="45">
        <f t="shared" ca="1" si="4"/>
        <v>-11</v>
      </c>
      <c r="O51" s="56">
        <f t="shared" ca="1" si="5"/>
        <v>35</v>
      </c>
      <c r="P51" s="56">
        <f t="shared" ca="1" si="6"/>
        <v>35</v>
      </c>
      <c r="Q51" s="56">
        <f t="shared" ca="1" si="7"/>
        <v>35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8" priority="1" stopIfTrue="1">
      <formula>$D26="Done"</formula>
    </cfRule>
    <cfRule type="expression" dxfId="7" priority="2" stopIfTrue="1">
      <formula>$D26="Ongoing"</formula>
    </cfRule>
    <cfRule type="expression" dxfId="6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zoomScale="114" workbookViewId="0">
      <pane ySplit="14" topLeftCell="A15" activePane="bottomLeft" state="frozen"/>
      <selection pane="bottomLeft" activeCell="E10" sqref="E10"/>
    </sheetView>
  </sheetViews>
  <sheetFormatPr baseColWidth="10" defaultColWidth="9.1640625" defaultRowHeight="13" x14ac:dyDescent="0.15"/>
  <cols>
    <col min="1" max="1" width="43.5" style="27" customWidth="1"/>
    <col min="2" max="2" width="8.5" style="26" customWidth="1"/>
    <col min="3" max="3" width="13.6640625" style="27" customWidth="1"/>
    <col min="4" max="4" width="10.83203125" style="27" customWidth="1"/>
    <col min="5" max="5" width="6.5" style="26" customWidth="1"/>
    <col min="6" max="30" width="4.5" style="26" customWidth="1"/>
    <col min="31" max="16384" width="9.1640625" style="27"/>
  </cols>
  <sheetData>
    <row r="1" spans="1:30" ht="18" x14ac:dyDescent="0.15">
      <c r="A1" s="73">
        <v>1</v>
      </c>
      <c r="B1" s="74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15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 x14ac:dyDescent="0.15">
      <c r="A9" s="57" t="s">
        <v>121</v>
      </c>
      <c r="B9" s="26">
        <v>5</v>
      </c>
      <c r="C9" s="57"/>
      <c r="D9" s="58"/>
      <c r="E9" s="57" t="s">
        <v>122</v>
      </c>
      <c r="F9" s="57" t="s">
        <v>123</v>
      </c>
      <c r="G9" s="57"/>
      <c r="H9" s="57"/>
      <c r="I9" s="57"/>
      <c r="J9" s="57"/>
      <c r="K9" s="57"/>
      <c r="L9" s="57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15">
      <c r="A10" s="57" t="s">
        <v>124</v>
      </c>
      <c r="B10" s="26">
        <v>5</v>
      </c>
      <c r="C10" s="57" t="s">
        <v>3</v>
      </c>
      <c r="D10" s="57" t="s">
        <v>125</v>
      </c>
      <c r="E10" s="59">
        <f ca="1">SUM(OFFSET(E14,1,0,TaskRows,1))</f>
        <v>45</v>
      </c>
      <c r="F10" s="59">
        <f ca="1">IF(AND(SUM(OFFSET(F14,1,0,TaskRows,1))=0),0,SUM(OFFSET(F14,1,0,TaskRows,1)))</f>
        <v>45</v>
      </c>
      <c r="G10" s="59">
        <f t="shared" ref="G10:AD10" ca="1" si="0">IF(AND(SUM(OFFSET(G14,1,0,TaskRows,1))=0),"",SUM(OFFSET(G14,1,0,TaskRows,1)))</f>
        <v>36</v>
      </c>
      <c r="H10" s="59">
        <f t="shared" ca="1" si="0"/>
        <v>7</v>
      </c>
      <c r="I10" s="59" t="str">
        <f t="shared" ca="1" si="0"/>
        <v/>
      </c>
      <c r="J10" s="59" t="str">
        <f t="shared" ca="1" si="0"/>
        <v/>
      </c>
      <c r="K10" s="59" t="str">
        <f t="shared" ca="1" si="0"/>
        <v/>
      </c>
      <c r="L10" s="59" t="str">
        <f t="shared" ca="1" si="0"/>
        <v/>
      </c>
      <c r="M10" s="59" t="str">
        <f t="shared" ca="1" si="0"/>
        <v/>
      </c>
      <c r="N10" s="59" t="str">
        <f t="shared" ca="1" si="0"/>
        <v/>
      </c>
      <c r="O10" s="59" t="str">
        <f t="shared" ca="1" si="0"/>
        <v/>
      </c>
      <c r="P10" s="59" t="str">
        <f t="shared" ca="1" si="0"/>
        <v/>
      </c>
      <c r="Q10" s="59" t="str">
        <f t="shared" ca="1" si="0"/>
        <v/>
      </c>
      <c r="R10" s="59" t="str">
        <f t="shared" ca="1" si="0"/>
        <v/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15">
      <c r="A11" t="s">
        <v>126</v>
      </c>
      <c r="B11" s="2">
        <f>IF(COUNTA(A15:A242)=0,1,COUNTA(A15:A242))</f>
        <v>12</v>
      </c>
      <c r="C11" t="s">
        <v>127</v>
      </c>
      <c r="D11" s="2">
        <f ca="1">IF(COUNTIF(F10:AD10,"&gt;0")=0,1,COUNTIF(F10:AD10,"&gt;0"))</f>
        <v>3</v>
      </c>
      <c r="E11" s="2"/>
      <c r="F11" s="2">
        <f ca="1">IF(F14="","",$E10-$E10/($B9-1)*(F14-1))</f>
        <v>45</v>
      </c>
      <c r="G11" s="2">
        <f t="shared" ref="G11:AD11" ca="1" si="1">IF(G14="","",TotalEffort-TotalEffort/(ImplementationDays)*(G14-1))</f>
        <v>36</v>
      </c>
      <c r="H11" s="2">
        <f t="shared" ca="1" si="1"/>
        <v>27</v>
      </c>
      <c r="I11" s="2">
        <f t="shared" ca="1" si="1"/>
        <v>18</v>
      </c>
      <c r="J11" s="2">
        <f t="shared" ca="1" si="1"/>
        <v>9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15">
      <c r="A12" s="46" t="s">
        <v>128</v>
      </c>
      <c r="C12" t="s">
        <v>92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48.333333333333329</v>
      </c>
      <c r="G12" s="2">
        <f t="shared" ca="1" si="2"/>
        <v>29.333333333333329</v>
      </c>
      <c r="H12" s="2">
        <f t="shared" ca="1" si="2"/>
        <v>10.333333333333329</v>
      </c>
      <c r="I12" s="2" t="str">
        <f t="shared" ca="1" si="2"/>
        <v/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15">
      <c r="A13" s="46" t="s">
        <v>129</v>
      </c>
      <c r="C13" t="s">
        <v>130</v>
      </c>
      <c r="D13" s="2">
        <f ca="1">IF(DoneDays&gt;B10,B10,DoneDays)</f>
        <v>3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57" t="s">
        <v>131</v>
      </c>
      <c r="B14" s="60" t="s">
        <v>21</v>
      </c>
      <c r="C14" s="57" t="s">
        <v>132</v>
      </c>
      <c r="D14" s="57" t="s">
        <v>6</v>
      </c>
      <c r="E14" s="60" t="s">
        <v>133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 t="str">
        <f t="shared" si="3"/>
        <v/>
      </c>
      <c r="L14" s="60" t="str">
        <f t="shared" si="3"/>
        <v/>
      </c>
      <c r="M14" s="60" t="str">
        <f t="shared" si="3"/>
        <v/>
      </c>
      <c r="N14" s="60" t="str">
        <f t="shared" si="3"/>
        <v/>
      </c>
      <c r="O14" s="60" t="str">
        <f t="shared" si="3"/>
        <v/>
      </c>
      <c r="P14" s="60" t="str">
        <f t="shared" si="3"/>
        <v/>
      </c>
      <c r="Q14" s="60" t="str">
        <f t="shared" si="3"/>
        <v/>
      </c>
      <c r="R14" s="60" t="str">
        <f t="shared" si="3"/>
        <v/>
      </c>
      <c r="S14" s="60" t="str">
        <f t="shared" si="3"/>
        <v/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15">
      <c r="A15" s="72" t="s">
        <v>134</v>
      </c>
      <c r="B15" s="2">
        <v>1</v>
      </c>
      <c r="C15" s="72" t="s">
        <v>135</v>
      </c>
      <c r="D15" s="72" t="s">
        <v>142</v>
      </c>
      <c r="E15" s="2">
        <v>4</v>
      </c>
      <c r="F15" s="2">
        <f t="shared" ref="F15:F23" si="4">IF(OR(F$14="",$E15=""),"",E15)</f>
        <v>4</v>
      </c>
      <c r="G15" s="2">
        <v>2</v>
      </c>
      <c r="H15" s="2">
        <v>0</v>
      </c>
      <c r="I15" s="2"/>
    </row>
    <row r="16" spans="1:30" x14ac:dyDescent="0.15">
      <c r="A16" s="77" t="s">
        <v>136</v>
      </c>
      <c r="B16" s="78" t="s">
        <v>137</v>
      </c>
      <c r="C16" s="77"/>
      <c r="D16" s="77" t="s">
        <v>158</v>
      </c>
      <c r="E16" s="78">
        <v>0</v>
      </c>
      <c r="F16" s="78">
        <f t="shared" si="4"/>
        <v>0</v>
      </c>
      <c r="G16" s="78"/>
      <c r="H16" s="78"/>
      <c r="I16" s="2"/>
    </row>
    <row r="17" spans="1:30" x14ac:dyDescent="0.15">
      <c r="A17" s="72" t="s">
        <v>36</v>
      </c>
      <c r="B17" s="2">
        <v>11</v>
      </c>
      <c r="C17"/>
      <c r="D17" t="s">
        <v>142</v>
      </c>
      <c r="E17" s="2">
        <v>6</v>
      </c>
      <c r="F17" s="2">
        <f t="shared" si="4"/>
        <v>6</v>
      </c>
      <c r="G17" s="2">
        <v>12</v>
      </c>
      <c r="H17" s="2">
        <v>0</v>
      </c>
      <c r="I17" s="2"/>
      <c r="AC17" s="26" t="str">
        <f t="shared" ref="AC17:AD34" si="5">IF(OR(AC$14="",$E17=""),"",AB17)</f>
        <v/>
      </c>
      <c r="AD17" s="26" t="str">
        <f t="shared" si="5"/>
        <v/>
      </c>
    </row>
    <row r="18" spans="1:30" x14ac:dyDescent="0.15">
      <c r="A18" s="72" t="s">
        <v>138</v>
      </c>
      <c r="B18" s="2">
        <v>15</v>
      </c>
      <c r="C18" t="s">
        <v>139</v>
      </c>
      <c r="D18" t="s">
        <v>142</v>
      </c>
      <c r="E18" s="2">
        <v>6</v>
      </c>
      <c r="F18" s="2">
        <f t="shared" si="4"/>
        <v>6</v>
      </c>
      <c r="G18" s="2">
        <v>9</v>
      </c>
      <c r="H18" s="2">
        <v>0</v>
      </c>
      <c r="I18" s="2"/>
    </row>
    <row r="19" spans="1:30" ht="14" x14ac:dyDescent="0.15">
      <c r="A19" s="68" t="s">
        <v>140</v>
      </c>
      <c r="B19" s="26">
        <v>16</v>
      </c>
      <c r="C19" s="72" t="s">
        <v>141</v>
      </c>
      <c r="D19" s="27" t="s">
        <v>142</v>
      </c>
      <c r="E19" s="26">
        <v>6</v>
      </c>
      <c r="F19" s="26">
        <f t="shared" si="4"/>
        <v>6</v>
      </c>
      <c r="G19" s="26">
        <v>0</v>
      </c>
      <c r="H19" s="26">
        <v>0</v>
      </c>
      <c r="AC19" s="26" t="str">
        <f t="shared" si="5"/>
        <v/>
      </c>
      <c r="AD19" s="26" t="str">
        <f t="shared" si="5"/>
        <v/>
      </c>
    </row>
    <row r="20" spans="1:30" ht="14" x14ac:dyDescent="0.15">
      <c r="A20" s="68" t="s">
        <v>143</v>
      </c>
      <c r="B20" s="67" t="s">
        <v>144</v>
      </c>
      <c r="C20" s="72" t="s">
        <v>145</v>
      </c>
      <c r="D20" s="27" t="s">
        <v>142</v>
      </c>
      <c r="E20" s="26">
        <v>4</v>
      </c>
      <c r="F20" s="26">
        <f t="shared" si="4"/>
        <v>4</v>
      </c>
      <c r="G20" s="26">
        <v>0</v>
      </c>
      <c r="H20" s="26">
        <v>0</v>
      </c>
      <c r="AC20" s="26" t="str">
        <f t="shared" si="5"/>
        <v/>
      </c>
      <c r="AD20" s="26" t="str">
        <f t="shared" si="5"/>
        <v/>
      </c>
    </row>
    <row r="21" spans="1:30" ht="14" x14ac:dyDescent="0.15">
      <c r="A21" s="68" t="s">
        <v>146</v>
      </c>
      <c r="B21" s="67" t="s">
        <v>144</v>
      </c>
      <c r="C21" s="72" t="s">
        <v>147</v>
      </c>
      <c r="D21" s="27" t="s">
        <v>142</v>
      </c>
      <c r="E21" s="26">
        <v>3</v>
      </c>
      <c r="F21" s="26">
        <f t="shared" si="4"/>
        <v>3</v>
      </c>
      <c r="G21" s="26">
        <v>3</v>
      </c>
      <c r="H21" s="26">
        <v>0</v>
      </c>
      <c r="AC21" s="26" t="str">
        <f t="shared" si="5"/>
        <v/>
      </c>
      <c r="AD21" s="26" t="str">
        <f t="shared" si="5"/>
        <v/>
      </c>
    </row>
    <row r="22" spans="1:30" ht="14" x14ac:dyDescent="0.15">
      <c r="A22" s="68" t="s">
        <v>148</v>
      </c>
      <c r="B22" s="67" t="s">
        <v>144</v>
      </c>
      <c r="C22" s="72" t="s">
        <v>139</v>
      </c>
      <c r="D22" s="27" t="s">
        <v>142</v>
      </c>
      <c r="E22" s="26">
        <v>3</v>
      </c>
      <c r="F22" s="26">
        <v>3</v>
      </c>
      <c r="G22" s="26">
        <v>0</v>
      </c>
      <c r="H22" s="26">
        <v>0</v>
      </c>
      <c r="AC22" s="26" t="str">
        <f t="shared" si="5"/>
        <v/>
      </c>
      <c r="AD22" s="26" t="str">
        <f t="shared" si="5"/>
        <v/>
      </c>
    </row>
    <row r="23" spans="1:30" ht="15" customHeight="1" x14ac:dyDescent="0.15">
      <c r="A23" s="68" t="s">
        <v>149</v>
      </c>
      <c r="B23" s="67" t="s">
        <v>144</v>
      </c>
      <c r="C23" s="72" t="s">
        <v>150</v>
      </c>
      <c r="D23" s="27" t="s">
        <v>142</v>
      </c>
      <c r="E23" s="26">
        <v>3</v>
      </c>
      <c r="F23" s="26">
        <f t="shared" si="4"/>
        <v>3</v>
      </c>
      <c r="G23" s="26">
        <v>0</v>
      </c>
      <c r="H23" s="26">
        <v>0</v>
      </c>
      <c r="AC23" s="26" t="str">
        <f t="shared" si="5"/>
        <v/>
      </c>
      <c r="AD23" s="26" t="str">
        <f t="shared" si="5"/>
        <v/>
      </c>
    </row>
    <row r="24" spans="1:30" ht="14" x14ac:dyDescent="0.15">
      <c r="A24" s="68" t="s">
        <v>151</v>
      </c>
      <c r="B24" s="26">
        <v>4</v>
      </c>
      <c r="C24"/>
      <c r="D24" s="27" t="s">
        <v>27</v>
      </c>
      <c r="E24" s="26">
        <v>4</v>
      </c>
      <c r="F24" s="26">
        <v>4</v>
      </c>
      <c r="G24" s="26">
        <v>4</v>
      </c>
      <c r="H24" s="26">
        <v>4</v>
      </c>
      <c r="AC24" s="26" t="str">
        <f t="shared" si="5"/>
        <v/>
      </c>
      <c r="AD24" s="26" t="str">
        <f t="shared" si="5"/>
        <v/>
      </c>
    </row>
    <row r="25" spans="1:30" ht="14" x14ac:dyDescent="0.15">
      <c r="A25" s="68" t="s">
        <v>152</v>
      </c>
      <c r="B25" s="67" t="s">
        <v>144</v>
      </c>
      <c r="C25" t="s">
        <v>153</v>
      </c>
      <c r="D25" s="27" t="s">
        <v>27</v>
      </c>
      <c r="E25" s="26">
        <v>3</v>
      </c>
      <c r="F25" s="26">
        <v>3</v>
      </c>
      <c r="G25" s="26">
        <v>3</v>
      </c>
      <c r="H25" s="26">
        <v>3</v>
      </c>
      <c r="AC25" s="26" t="str">
        <f t="shared" si="5"/>
        <v/>
      </c>
      <c r="AD25" s="26" t="str">
        <f t="shared" si="5"/>
        <v/>
      </c>
    </row>
    <row r="26" spans="1:30" ht="14" x14ac:dyDescent="0.15">
      <c r="A26" s="68" t="s">
        <v>154</v>
      </c>
      <c r="B26" s="67" t="s">
        <v>144</v>
      </c>
      <c r="C26"/>
      <c r="D26" s="27" t="s">
        <v>142</v>
      </c>
      <c r="E26" s="26">
        <v>3</v>
      </c>
      <c r="F26" s="26">
        <v>3</v>
      </c>
      <c r="G26" s="26">
        <v>3</v>
      </c>
      <c r="H26" s="26">
        <v>0</v>
      </c>
      <c r="AC26" s="26" t="str">
        <f t="shared" si="5"/>
        <v/>
      </c>
      <c r="AD26" s="26" t="str">
        <f t="shared" si="5"/>
        <v/>
      </c>
    </row>
    <row r="27" spans="1:30" x14ac:dyDescent="0.15">
      <c r="A27" s="68"/>
      <c r="C27"/>
      <c r="AC27" s="26" t="str">
        <f t="shared" si="5"/>
        <v/>
      </c>
      <c r="AD27" s="26" t="str">
        <f t="shared" si="5"/>
        <v/>
      </c>
    </row>
    <row r="28" spans="1:30" x14ac:dyDescent="0.15">
      <c r="A28" s="24"/>
      <c r="C28"/>
      <c r="AC28" s="26" t="str">
        <f t="shared" si="5"/>
        <v/>
      </c>
      <c r="AD28" s="26" t="str">
        <f t="shared" si="5"/>
        <v/>
      </c>
    </row>
    <row r="29" spans="1:30" x14ac:dyDescent="0.15">
      <c r="A29" s="24"/>
      <c r="C29"/>
      <c r="AC29" s="26" t="str">
        <f t="shared" si="5"/>
        <v/>
      </c>
      <c r="AD29" s="26" t="str">
        <f t="shared" si="5"/>
        <v/>
      </c>
    </row>
    <row r="30" spans="1:30" x14ac:dyDescent="0.15">
      <c r="A30" s="24"/>
      <c r="C30"/>
      <c r="AC30" s="26" t="str">
        <f t="shared" si="5"/>
        <v/>
      </c>
      <c r="AD30" s="26" t="str">
        <f t="shared" si="5"/>
        <v/>
      </c>
    </row>
    <row r="31" spans="1:30" x14ac:dyDescent="0.15">
      <c r="A31" s="24"/>
      <c r="C31"/>
      <c r="AC31" s="26" t="str">
        <f t="shared" si="5"/>
        <v/>
      </c>
      <c r="AD31" s="26" t="str">
        <f t="shared" si="5"/>
        <v/>
      </c>
    </row>
    <row r="32" spans="1:30" x14ac:dyDescent="0.15">
      <c r="A32" s="24"/>
      <c r="C32"/>
      <c r="AC32" s="26" t="str">
        <f t="shared" si="5"/>
        <v/>
      </c>
      <c r="AD32" s="26" t="str">
        <f t="shared" si="5"/>
        <v/>
      </c>
    </row>
    <row r="33" spans="1:30" x14ac:dyDescent="0.15">
      <c r="A33" s="24"/>
      <c r="C33"/>
      <c r="AC33" s="26" t="str">
        <f t="shared" si="5"/>
        <v/>
      </c>
      <c r="AD33" s="26" t="str">
        <f t="shared" si="5"/>
        <v/>
      </c>
    </row>
    <row r="34" spans="1:30" x14ac:dyDescent="0.15">
      <c r="A34" s="24"/>
      <c r="C34"/>
      <c r="AC34" s="26" t="str">
        <f t="shared" si="5"/>
        <v/>
      </c>
      <c r="AD34" s="26" t="str">
        <f t="shared" si="5"/>
        <v/>
      </c>
    </row>
    <row r="35" spans="1:30" x14ac:dyDescent="0.15">
      <c r="A35" s="24"/>
      <c r="C35"/>
    </row>
    <row r="36" spans="1:30" x14ac:dyDescent="0.15">
      <c r="A36" s="24"/>
      <c r="C36"/>
      <c r="AC36" s="26" t="str">
        <f t="shared" ref="AC36:AD40" si="6">IF(OR(AC$14="",$E36=""),"",AB36)</f>
        <v/>
      </c>
      <c r="AD36" s="26" t="str">
        <f t="shared" si="6"/>
        <v/>
      </c>
    </row>
    <row r="37" spans="1:30" x14ac:dyDescent="0.15">
      <c r="A37" s="24"/>
      <c r="C37"/>
      <c r="AC37" s="26" t="str">
        <f t="shared" si="6"/>
        <v/>
      </c>
      <c r="AD37" s="26" t="str">
        <f t="shared" si="6"/>
        <v/>
      </c>
    </row>
    <row r="38" spans="1:30" x14ac:dyDescent="0.15">
      <c r="A38" s="24"/>
      <c r="C38"/>
      <c r="AC38" s="26" t="str">
        <f t="shared" si="6"/>
        <v/>
      </c>
      <c r="AD38" s="26" t="str">
        <f t="shared" si="6"/>
        <v/>
      </c>
    </row>
    <row r="39" spans="1:30" x14ac:dyDescent="0.15">
      <c r="A39" s="24"/>
      <c r="C39"/>
      <c r="AC39" s="26" t="str">
        <f t="shared" si="6"/>
        <v/>
      </c>
      <c r="AD39" s="26" t="str">
        <f t="shared" si="6"/>
        <v/>
      </c>
    </row>
    <row r="40" spans="1:30" x14ac:dyDescent="0.15">
      <c r="A40" s="24"/>
      <c r="C40"/>
      <c r="AC40" s="26" t="str">
        <f t="shared" si="6"/>
        <v/>
      </c>
      <c r="AD40" s="26" t="str">
        <f t="shared" si="6"/>
        <v/>
      </c>
    </row>
    <row r="41" spans="1:30" x14ac:dyDescent="0.15">
      <c r="A41" s="24"/>
      <c r="C41"/>
      <c r="D41" s="27" t="str">
        <f t="shared" ref="D41:D64" si="7">IF(A41&lt;&gt;"","Planned","")</f>
        <v/>
      </c>
      <c r="F41" s="26" t="str">
        <f t="shared" ref="F41:F63" si="8">IF(OR(F$14="",$E41=""),"",E41)</f>
        <v/>
      </c>
      <c r="AC41" s="26" t="str">
        <f t="shared" ref="AC41:AD59" si="9">IF(OR(AC$14="",$E41=""),"",AB41)</f>
        <v/>
      </c>
      <c r="AD41" s="26" t="str">
        <f t="shared" si="9"/>
        <v/>
      </c>
    </row>
    <row r="42" spans="1:30" x14ac:dyDescent="0.15">
      <c r="C42"/>
      <c r="D42" s="27" t="str">
        <f t="shared" si="7"/>
        <v/>
      </c>
      <c r="F42" s="26" t="str">
        <f t="shared" si="8"/>
        <v/>
      </c>
      <c r="AC42" s="26" t="str">
        <f t="shared" si="9"/>
        <v/>
      </c>
      <c r="AD42" s="26" t="str">
        <f t="shared" si="9"/>
        <v/>
      </c>
    </row>
    <row r="43" spans="1:30" x14ac:dyDescent="0.15">
      <c r="C43"/>
      <c r="D43" s="27" t="str">
        <f t="shared" si="7"/>
        <v/>
      </c>
      <c r="F43" s="26" t="str">
        <f t="shared" si="8"/>
        <v/>
      </c>
      <c r="AC43" s="26" t="str">
        <f t="shared" si="9"/>
        <v/>
      </c>
      <c r="AD43" s="26" t="str">
        <f t="shared" si="9"/>
        <v/>
      </c>
    </row>
    <row r="44" spans="1:30" x14ac:dyDescent="0.15">
      <c r="C44"/>
      <c r="D44" s="27" t="str">
        <f t="shared" si="7"/>
        <v/>
      </c>
      <c r="F44" s="26" t="str">
        <f t="shared" si="8"/>
        <v/>
      </c>
      <c r="AC44" s="26" t="str">
        <f t="shared" si="9"/>
        <v/>
      </c>
      <c r="AD44" s="26" t="str">
        <f t="shared" si="9"/>
        <v/>
      </c>
    </row>
    <row r="45" spans="1:30" x14ac:dyDescent="0.15">
      <c r="C45"/>
      <c r="D45" s="27" t="str">
        <f t="shared" si="7"/>
        <v/>
      </c>
      <c r="F45" s="26" t="str">
        <f t="shared" si="8"/>
        <v/>
      </c>
      <c r="AC45" s="26" t="str">
        <f t="shared" si="9"/>
        <v/>
      </c>
      <c r="AD45" s="26" t="str">
        <f t="shared" si="9"/>
        <v/>
      </c>
    </row>
    <row r="46" spans="1:30" x14ac:dyDescent="0.15">
      <c r="C46"/>
      <c r="D46" s="27" t="str">
        <f t="shared" si="7"/>
        <v/>
      </c>
      <c r="F46" s="26" t="str">
        <f t="shared" si="8"/>
        <v/>
      </c>
      <c r="AC46" s="26" t="str">
        <f t="shared" si="9"/>
        <v/>
      </c>
      <c r="AD46" s="26" t="str">
        <f t="shared" si="9"/>
        <v/>
      </c>
    </row>
    <row r="47" spans="1:30" x14ac:dyDescent="0.15">
      <c r="C47"/>
      <c r="D47" s="27" t="str">
        <f t="shared" si="7"/>
        <v/>
      </c>
      <c r="F47" s="26" t="str">
        <f t="shared" si="8"/>
        <v/>
      </c>
      <c r="AC47" s="26" t="str">
        <f t="shared" si="9"/>
        <v/>
      </c>
      <c r="AD47" s="26" t="str">
        <f t="shared" si="9"/>
        <v/>
      </c>
    </row>
    <row r="48" spans="1:30" x14ac:dyDescent="0.15">
      <c r="C48"/>
      <c r="D48" s="27" t="str">
        <f t="shared" si="7"/>
        <v/>
      </c>
      <c r="F48" s="26" t="str">
        <f t="shared" si="8"/>
        <v/>
      </c>
      <c r="AC48" s="26" t="str">
        <f t="shared" si="9"/>
        <v/>
      </c>
      <c r="AD48" s="26" t="str">
        <f t="shared" si="9"/>
        <v/>
      </c>
    </row>
    <row r="49" spans="3:30" x14ac:dyDescent="0.15">
      <c r="C49"/>
      <c r="D49" s="27" t="str">
        <f t="shared" si="7"/>
        <v/>
      </c>
      <c r="F49" s="26" t="str">
        <f t="shared" si="8"/>
        <v/>
      </c>
      <c r="AC49" s="26" t="str">
        <f t="shared" si="9"/>
        <v/>
      </c>
      <c r="AD49" s="26" t="str">
        <f t="shared" si="9"/>
        <v/>
      </c>
    </row>
    <row r="50" spans="3:30" x14ac:dyDescent="0.15">
      <c r="C50"/>
      <c r="D50" s="27" t="str">
        <f t="shared" si="7"/>
        <v/>
      </c>
      <c r="F50" s="26" t="str">
        <f t="shared" si="8"/>
        <v/>
      </c>
      <c r="AC50" s="26" t="str">
        <f t="shared" si="9"/>
        <v/>
      </c>
      <c r="AD50" s="26" t="str">
        <f t="shared" si="9"/>
        <v/>
      </c>
    </row>
    <row r="51" spans="3:30" x14ac:dyDescent="0.15">
      <c r="C51"/>
      <c r="D51" s="27" t="str">
        <f t="shared" si="7"/>
        <v/>
      </c>
      <c r="F51" s="26" t="str">
        <f t="shared" si="8"/>
        <v/>
      </c>
      <c r="AC51" s="26" t="str">
        <f t="shared" si="9"/>
        <v/>
      </c>
      <c r="AD51" s="26" t="str">
        <f t="shared" si="9"/>
        <v/>
      </c>
    </row>
    <row r="52" spans="3:30" x14ac:dyDescent="0.15">
      <c r="C52"/>
      <c r="D52" s="27" t="str">
        <f t="shared" si="7"/>
        <v/>
      </c>
      <c r="F52" s="26" t="str">
        <f t="shared" si="8"/>
        <v/>
      </c>
      <c r="AC52" s="26" t="str">
        <f t="shared" si="9"/>
        <v/>
      </c>
      <c r="AD52" s="26" t="str">
        <f t="shared" si="9"/>
        <v/>
      </c>
    </row>
    <row r="53" spans="3:30" x14ac:dyDescent="0.15">
      <c r="C53"/>
      <c r="D53" s="27" t="str">
        <f t="shared" si="7"/>
        <v/>
      </c>
      <c r="F53" s="26" t="str">
        <f t="shared" si="8"/>
        <v/>
      </c>
      <c r="AC53" s="26" t="str">
        <f t="shared" si="9"/>
        <v/>
      </c>
      <c r="AD53" s="26" t="str">
        <f t="shared" si="9"/>
        <v/>
      </c>
    </row>
    <row r="54" spans="3:30" x14ac:dyDescent="0.15">
      <c r="C54"/>
      <c r="D54" s="27" t="str">
        <f t="shared" si="7"/>
        <v/>
      </c>
      <c r="F54" s="26" t="str">
        <f t="shared" si="8"/>
        <v/>
      </c>
      <c r="AC54" s="26" t="str">
        <f t="shared" si="9"/>
        <v/>
      </c>
      <c r="AD54" s="26" t="str">
        <f t="shared" si="9"/>
        <v/>
      </c>
    </row>
    <row r="55" spans="3:30" x14ac:dyDescent="0.15">
      <c r="C55"/>
      <c r="D55" s="27" t="str">
        <f t="shared" si="7"/>
        <v/>
      </c>
      <c r="F55" s="26" t="str">
        <f t="shared" si="8"/>
        <v/>
      </c>
      <c r="AC55" s="26" t="str">
        <f t="shared" si="9"/>
        <v/>
      </c>
      <c r="AD55" s="26" t="str">
        <f t="shared" si="9"/>
        <v/>
      </c>
    </row>
    <row r="56" spans="3:30" x14ac:dyDescent="0.15">
      <c r="C56"/>
      <c r="D56" s="27" t="str">
        <f t="shared" si="7"/>
        <v/>
      </c>
      <c r="F56" s="26" t="str">
        <f t="shared" si="8"/>
        <v/>
      </c>
      <c r="AC56" s="26" t="str">
        <f t="shared" si="9"/>
        <v/>
      </c>
      <c r="AD56" s="26" t="str">
        <f t="shared" si="9"/>
        <v/>
      </c>
    </row>
    <row r="57" spans="3:30" x14ac:dyDescent="0.15">
      <c r="C57"/>
      <c r="D57" s="27" t="str">
        <f t="shared" si="7"/>
        <v/>
      </c>
      <c r="F57" s="26" t="str">
        <f t="shared" si="8"/>
        <v/>
      </c>
      <c r="AC57" s="26" t="str">
        <f t="shared" si="9"/>
        <v/>
      </c>
      <c r="AD57" s="26" t="str">
        <f t="shared" si="9"/>
        <v/>
      </c>
    </row>
    <row r="58" spans="3:30" x14ac:dyDescent="0.15">
      <c r="C58"/>
      <c r="D58" s="27" t="str">
        <f t="shared" si="7"/>
        <v/>
      </c>
      <c r="F58" s="26" t="str">
        <f t="shared" si="8"/>
        <v/>
      </c>
      <c r="AC58" s="26" t="str">
        <f t="shared" si="9"/>
        <v/>
      </c>
      <c r="AD58" s="26" t="str">
        <f t="shared" si="9"/>
        <v/>
      </c>
    </row>
    <row r="59" spans="3:30" x14ac:dyDescent="0.15">
      <c r="C59"/>
      <c r="D59" s="27" t="str">
        <f t="shared" si="7"/>
        <v/>
      </c>
      <c r="F59" s="26" t="str">
        <f t="shared" si="8"/>
        <v/>
      </c>
      <c r="AC59" s="26" t="str">
        <f t="shared" si="9"/>
        <v/>
      </c>
      <c r="AD59" s="26" t="str">
        <f t="shared" si="9"/>
        <v/>
      </c>
    </row>
    <row r="60" spans="3:30" x14ac:dyDescent="0.15">
      <c r="C60"/>
      <c r="D60" s="27" t="str">
        <f t="shared" si="7"/>
        <v/>
      </c>
      <c r="F60" s="26" t="str">
        <f t="shared" si="8"/>
        <v/>
      </c>
      <c r="AC60" s="26" t="str">
        <f t="shared" ref="AC60:AD63" si="10">IF(OR(AC$14="",$E60=""),"",AB60)</f>
        <v/>
      </c>
      <c r="AD60" s="26" t="str">
        <f t="shared" si="10"/>
        <v/>
      </c>
    </row>
    <row r="61" spans="3:30" x14ac:dyDescent="0.15">
      <c r="C61"/>
      <c r="D61" s="27" t="str">
        <f t="shared" si="7"/>
        <v/>
      </c>
      <c r="F61" s="26" t="str">
        <f t="shared" si="8"/>
        <v/>
      </c>
      <c r="AC61" s="26" t="str">
        <f t="shared" si="10"/>
        <v/>
      </c>
      <c r="AD61" s="26" t="str">
        <f t="shared" si="10"/>
        <v/>
      </c>
    </row>
    <row r="62" spans="3:30" x14ac:dyDescent="0.15">
      <c r="C62"/>
      <c r="D62" s="27" t="str">
        <f t="shared" si="7"/>
        <v/>
      </c>
      <c r="F62" s="26" t="str">
        <f t="shared" si="8"/>
        <v/>
      </c>
      <c r="G62" s="26" t="str">
        <f t="shared" ref="G62:AB62" si="11">IF(OR(G$14="",$E62=""),"",F62)</f>
        <v/>
      </c>
      <c r="H62" s="26" t="str">
        <f t="shared" si="11"/>
        <v/>
      </c>
      <c r="I62" s="26" t="str">
        <f t="shared" si="11"/>
        <v/>
      </c>
      <c r="J62" s="26" t="str">
        <f t="shared" si="11"/>
        <v/>
      </c>
      <c r="K62" s="26" t="str">
        <f t="shared" si="11"/>
        <v/>
      </c>
      <c r="L62" s="26" t="str">
        <f t="shared" si="11"/>
        <v/>
      </c>
      <c r="M62" s="26" t="str">
        <f t="shared" si="11"/>
        <v/>
      </c>
      <c r="N62" s="26" t="str">
        <f t="shared" si="11"/>
        <v/>
      </c>
      <c r="O62" s="26" t="str">
        <f t="shared" si="11"/>
        <v/>
      </c>
      <c r="P62" s="26" t="str">
        <f t="shared" si="11"/>
        <v/>
      </c>
      <c r="Q62" s="26" t="str">
        <f t="shared" si="11"/>
        <v/>
      </c>
      <c r="R62" s="26" t="str">
        <f t="shared" si="11"/>
        <v/>
      </c>
      <c r="S62" s="26" t="str">
        <f t="shared" si="11"/>
        <v/>
      </c>
      <c r="T62" s="26" t="str">
        <f t="shared" si="11"/>
        <v/>
      </c>
      <c r="U62" s="26" t="str">
        <f t="shared" si="11"/>
        <v/>
      </c>
      <c r="V62" s="26" t="str">
        <f t="shared" si="11"/>
        <v/>
      </c>
      <c r="W62" s="26" t="str">
        <f t="shared" si="11"/>
        <v/>
      </c>
      <c r="X62" s="26" t="str">
        <f t="shared" si="11"/>
        <v/>
      </c>
      <c r="Y62" s="26" t="str">
        <f t="shared" si="11"/>
        <v/>
      </c>
      <c r="Z62" s="26" t="str">
        <f t="shared" si="11"/>
        <v/>
      </c>
      <c r="AA62" s="26" t="str">
        <f t="shared" si="11"/>
        <v/>
      </c>
      <c r="AB62" s="26" t="str">
        <f t="shared" si="11"/>
        <v/>
      </c>
      <c r="AC62" s="26" t="str">
        <f t="shared" si="10"/>
        <v/>
      </c>
      <c r="AD62" s="26" t="str">
        <f t="shared" si="10"/>
        <v/>
      </c>
    </row>
    <row r="63" spans="3:30" x14ac:dyDescent="0.15">
      <c r="C63"/>
      <c r="D63" s="27" t="str">
        <f t="shared" si="7"/>
        <v/>
      </c>
      <c r="F63" s="26" t="str">
        <f t="shared" si="8"/>
        <v/>
      </c>
      <c r="G63" s="26" t="str">
        <f t="shared" ref="G63:AB63" si="12">IF(OR(G$14="",$E63=""),"",F63)</f>
        <v/>
      </c>
      <c r="H63" s="26" t="str">
        <f t="shared" si="12"/>
        <v/>
      </c>
      <c r="I63" s="26" t="str">
        <f t="shared" si="12"/>
        <v/>
      </c>
      <c r="J63" s="26" t="str">
        <f t="shared" si="12"/>
        <v/>
      </c>
      <c r="K63" s="26" t="str">
        <f t="shared" si="12"/>
        <v/>
      </c>
      <c r="L63" s="26" t="str">
        <f t="shared" si="12"/>
        <v/>
      </c>
      <c r="M63" s="26" t="str">
        <f t="shared" si="12"/>
        <v/>
      </c>
      <c r="N63" s="26" t="str">
        <f t="shared" si="12"/>
        <v/>
      </c>
      <c r="O63" s="26" t="str">
        <f t="shared" si="12"/>
        <v/>
      </c>
      <c r="P63" s="26" t="str">
        <f t="shared" si="12"/>
        <v/>
      </c>
      <c r="Q63" s="26" t="str">
        <f t="shared" si="12"/>
        <v/>
      </c>
      <c r="R63" s="26" t="str">
        <f t="shared" si="12"/>
        <v/>
      </c>
      <c r="S63" s="26" t="str">
        <f t="shared" si="12"/>
        <v/>
      </c>
      <c r="T63" s="26" t="str">
        <f t="shared" si="12"/>
        <v/>
      </c>
      <c r="U63" s="26" t="str">
        <f t="shared" si="12"/>
        <v/>
      </c>
      <c r="V63" s="26" t="str">
        <f t="shared" si="12"/>
        <v/>
      </c>
      <c r="W63" s="26" t="str">
        <f t="shared" si="12"/>
        <v/>
      </c>
      <c r="X63" s="26" t="str">
        <f t="shared" si="12"/>
        <v/>
      </c>
      <c r="Y63" s="26" t="str">
        <f t="shared" si="12"/>
        <v/>
      </c>
      <c r="Z63" s="26" t="str">
        <f t="shared" si="12"/>
        <v/>
      </c>
      <c r="AA63" s="26" t="str">
        <f t="shared" si="12"/>
        <v/>
      </c>
      <c r="AB63" s="26" t="str">
        <f t="shared" si="12"/>
        <v/>
      </c>
      <c r="AC63" s="26" t="str">
        <f t="shared" si="10"/>
        <v/>
      </c>
      <c r="AD63" s="26" t="str">
        <f t="shared" si="10"/>
        <v/>
      </c>
    </row>
    <row r="64" spans="3:30" x14ac:dyDescent="0.15">
      <c r="C64"/>
      <c r="D64" s="27" t="str">
        <f t="shared" si="7"/>
        <v/>
      </c>
    </row>
    <row r="65" spans="3:3" x14ac:dyDescent="0.15">
      <c r="C65"/>
    </row>
    <row r="66" spans="3:3" x14ac:dyDescent="0.15">
      <c r="C66"/>
    </row>
    <row r="67" spans="3:3" x14ac:dyDescent="0.15">
      <c r="C67"/>
    </row>
    <row r="68" spans="3:3" x14ac:dyDescent="0.15">
      <c r="C68"/>
    </row>
    <row r="69" spans="3:3" x14ac:dyDescent="0.15">
      <c r="C69"/>
    </row>
    <row r="70" spans="3:3" x14ac:dyDescent="0.15">
      <c r="C70"/>
    </row>
    <row r="71" spans="3:3" x14ac:dyDescent="0.15">
      <c r="C71"/>
    </row>
    <row r="72" spans="3:3" x14ac:dyDescent="0.15">
      <c r="C72"/>
    </row>
    <row r="73" spans="3:3" x14ac:dyDescent="0.15">
      <c r="C73"/>
    </row>
    <row r="74" spans="3:3" x14ac:dyDescent="0.15">
      <c r="C74"/>
    </row>
    <row r="75" spans="3:3" x14ac:dyDescent="0.15">
      <c r="C75"/>
    </row>
    <row r="76" spans="3:3" x14ac:dyDescent="0.15">
      <c r="C76"/>
    </row>
    <row r="77" spans="3:3" x14ac:dyDescent="0.15">
      <c r="C77"/>
    </row>
    <row r="78" spans="3:3" x14ac:dyDescent="0.15">
      <c r="C78"/>
    </row>
    <row r="79" spans="3:3" x14ac:dyDescent="0.15">
      <c r="C79"/>
    </row>
    <row r="80" spans="3:3" x14ac:dyDescent="0.15">
      <c r="C80"/>
    </row>
    <row r="81" spans="3:3" x14ac:dyDescent="0.15">
      <c r="C81"/>
    </row>
    <row r="82" spans="3:3" x14ac:dyDescent="0.15">
      <c r="C82"/>
    </row>
    <row r="83" spans="3:3" x14ac:dyDescent="0.15">
      <c r="C83"/>
    </row>
    <row r="84" spans="3:3" x14ac:dyDescent="0.15">
      <c r="C84"/>
    </row>
    <row r="85" spans="3:3" x14ac:dyDescent="0.15">
      <c r="C85"/>
    </row>
    <row r="86" spans="3:3" x14ac:dyDescent="0.15">
      <c r="C86"/>
    </row>
    <row r="87" spans="3:3" x14ac:dyDescent="0.15">
      <c r="C87"/>
    </row>
  </sheetData>
  <phoneticPr fontId="2" type="noConversion"/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0</xdr:col>
                    <xdr:colOff>2298700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88900</xdr:rowOff>
                  </from>
                  <to>
                    <xdr:col>2</xdr:col>
                    <xdr:colOff>342900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5"/>
  <sheetViews>
    <sheetView tabSelected="1" workbookViewId="0">
      <pane ySplit="14" topLeftCell="A15" activePane="bottomLeft" state="frozen"/>
      <selection pane="bottomLeft" activeCell="L14" sqref="L14"/>
    </sheetView>
  </sheetViews>
  <sheetFormatPr baseColWidth="10" defaultColWidth="11.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  <col min="31" max="256" width="8.83203125" customWidth="1"/>
  </cols>
  <sheetData>
    <row r="1" spans="1:30" ht="18" x14ac:dyDescent="0.2">
      <c r="A1" s="75">
        <v>2</v>
      </c>
      <c r="B1" s="76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5" t="s">
        <v>121</v>
      </c>
      <c r="B9" s="2">
        <v>5</v>
      </c>
      <c r="C9" s="15"/>
      <c r="D9" s="13"/>
      <c r="E9" s="15" t="s">
        <v>122</v>
      </c>
      <c r="F9" s="15" t="s">
        <v>123</v>
      </c>
      <c r="G9" s="15"/>
      <c r="H9" s="15"/>
      <c r="I9" s="15"/>
      <c r="J9" s="15"/>
      <c r="K9" s="15"/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15">
      <c r="A10" s="15" t="s">
        <v>124</v>
      </c>
      <c r="B10" s="2">
        <v>5</v>
      </c>
      <c r="C10" s="15" t="s">
        <v>3</v>
      </c>
      <c r="D10" s="15" t="s">
        <v>125</v>
      </c>
      <c r="E10" s="14">
        <f ca="1">SUM(OFFSET(E14,1,0,TaskRows,1))</f>
        <v>39</v>
      </c>
      <c r="F10" s="14">
        <f ca="1">IF(AND(SUM(OFFSET(F14,1,0,TaskRows,1))=0),0,SUM(OFFSET(F14,1,0,TaskRows,1)))</f>
        <v>39</v>
      </c>
      <c r="G10" s="14">
        <f t="shared" ref="G10:AD10" ca="1" si="0">IF(AND(SUM(OFFSET(G14,1,0,TaskRows,1))=0),"",SUM(OFFSET(G14,1,0,TaskRows,1)))</f>
        <v>21</v>
      </c>
      <c r="H10" s="14">
        <f t="shared" ca="1" si="0"/>
        <v>16</v>
      </c>
      <c r="I10" s="14" t="str">
        <f t="shared" ca="1" si="0"/>
        <v/>
      </c>
      <c r="J10" s="14" t="str">
        <f t="shared" ca="1" si="0"/>
        <v/>
      </c>
      <c r="K10" s="14" t="str">
        <f t="shared" ca="1" si="0"/>
        <v/>
      </c>
      <c r="L10" s="14" t="str">
        <f t="shared" ca="1" si="0"/>
        <v/>
      </c>
      <c r="M10" s="14" t="str">
        <f t="shared" ca="1" si="0"/>
        <v/>
      </c>
      <c r="N10" s="14" t="str">
        <f t="shared" ca="1" si="0"/>
        <v/>
      </c>
      <c r="O10" s="14" t="str">
        <f t="shared" ca="1" si="0"/>
        <v/>
      </c>
      <c r="P10" s="14" t="str">
        <f t="shared" ca="1" si="0"/>
        <v/>
      </c>
      <c r="Q10" s="14" t="str">
        <f t="shared" ca="1" si="0"/>
        <v/>
      </c>
      <c r="R10" s="14" t="str">
        <f t="shared" ca="1" si="0"/>
        <v/>
      </c>
      <c r="S10" s="14" t="str">
        <f t="shared" ca="1" si="0"/>
        <v/>
      </c>
      <c r="T10" s="14" t="str">
        <f t="shared" ca="1" si="0"/>
        <v/>
      </c>
      <c r="U10" s="14" t="str">
        <f t="shared" ca="1" si="0"/>
        <v/>
      </c>
      <c r="V10" s="14" t="str">
        <f t="shared" ca="1" si="0"/>
        <v/>
      </c>
      <c r="W10" s="14" t="str">
        <f t="shared" ca="1" si="0"/>
        <v/>
      </c>
      <c r="X10" s="14" t="str">
        <f t="shared" ca="1" si="0"/>
        <v/>
      </c>
      <c r="Y10" s="14" t="str">
        <f t="shared" ca="1" si="0"/>
        <v/>
      </c>
      <c r="Z10" s="14" t="str">
        <f t="shared" ca="1" si="0"/>
        <v/>
      </c>
      <c r="AA10" s="14" t="str">
        <f t="shared" ca="1" si="0"/>
        <v/>
      </c>
      <c r="AB10" s="14" t="str">
        <f t="shared" ca="1" si="0"/>
        <v/>
      </c>
      <c r="AC10" s="14" t="str">
        <f t="shared" ca="1" si="0"/>
        <v/>
      </c>
      <c r="AD10" s="14" t="str">
        <f t="shared" ca="1" si="0"/>
        <v/>
      </c>
    </row>
    <row r="11" spans="1:30" hidden="1" x14ac:dyDescent="0.15">
      <c r="A11" t="s">
        <v>126</v>
      </c>
      <c r="B11" s="2">
        <f>IF(COUNTA(A15:A243)=0,1,COUNTA(A15:A243))</f>
        <v>9</v>
      </c>
      <c r="C11" t="s">
        <v>127</v>
      </c>
      <c r="D11" s="2">
        <f ca="1">IF(COUNTIF(F10:AD10,"&gt;0")=0,1,COUNTIF(F10:AD10,"&gt;0"))</f>
        <v>3</v>
      </c>
      <c r="F11" s="2">
        <f ca="1">IF(F14="","",$E10-$E10/($B9-1)*(F14-1))</f>
        <v>39</v>
      </c>
      <c r="G11" s="2">
        <f t="shared" ref="G11:AD11" ca="1" si="1">IF(G14="","",TotalEffort-TotalEffort/(ImplementationDays)*(G14-1))</f>
        <v>31.2</v>
      </c>
      <c r="H11" s="2">
        <f t="shared" ca="1" si="1"/>
        <v>23.4</v>
      </c>
      <c r="I11" s="2">
        <f t="shared" ca="1" si="1"/>
        <v>15.600000000000001</v>
      </c>
      <c r="J11" s="2">
        <f t="shared" ca="1" si="1"/>
        <v>7.8000000000000007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46" t="s">
        <v>128</v>
      </c>
      <c r="B12"/>
      <c r="C12" t="s">
        <v>92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36.833333333333329</v>
      </c>
      <c r="G12" s="2">
        <f t="shared" ca="1" si="2"/>
        <v>25.333333333333336</v>
      </c>
      <c r="H12" s="2">
        <f t="shared" ca="1" si="2"/>
        <v>13.833333333333343</v>
      </c>
      <c r="I12" s="2">
        <f t="shared" ca="1" si="2"/>
        <v>2.3333333333333428</v>
      </c>
      <c r="J12" s="2" t="str">
        <f t="shared" ca="1" si="2"/>
        <v/>
      </c>
      <c r="K12" s="2" t="str">
        <f t="shared" ca="1" si="2"/>
        <v/>
      </c>
      <c r="L12" s="2" t="str">
        <f t="shared" ca="1" si="2"/>
        <v/>
      </c>
      <c r="M12" s="2" t="str">
        <f t="shared" ca="1" si="2"/>
        <v/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hidden="1" x14ac:dyDescent="0.15">
      <c r="A13" s="46" t="s">
        <v>129</v>
      </c>
      <c r="B13"/>
      <c r="C13" t="s">
        <v>130</v>
      </c>
      <c r="D13" s="2">
        <f ca="1">IF(DoneDays&gt;B10,B10,DoneDays)</f>
        <v>3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5" t="s">
        <v>131</v>
      </c>
      <c r="B14" s="16" t="s">
        <v>21</v>
      </c>
      <c r="C14" s="15" t="s">
        <v>132</v>
      </c>
      <c r="D14" s="15" t="s">
        <v>6</v>
      </c>
      <c r="E14" s="16" t="s">
        <v>133</v>
      </c>
      <c r="F14" s="16">
        <v>1</v>
      </c>
      <c r="G14" s="16">
        <f t="shared" ref="G14:AD14" si="3">IF($B$9&gt;F14,F14+1,"")</f>
        <v>2</v>
      </c>
      <c r="H14" s="16">
        <f t="shared" si="3"/>
        <v>3</v>
      </c>
      <c r="I14" s="16">
        <f t="shared" si="3"/>
        <v>4</v>
      </c>
      <c r="J14" s="16">
        <f t="shared" si="3"/>
        <v>5</v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6" t="str">
        <f t="shared" si="3"/>
        <v/>
      </c>
      <c r="Q14" s="16" t="str">
        <f t="shared" si="3"/>
        <v/>
      </c>
      <c r="R14" s="16" t="str">
        <f t="shared" si="3"/>
        <v/>
      </c>
      <c r="S14" s="16" t="str">
        <f t="shared" si="3"/>
        <v/>
      </c>
      <c r="T14" s="16" t="str">
        <f t="shared" si="3"/>
        <v/>
      </c>
      <c r="U14" s="16" t="str">
        <f t="shared" si="3"/>
        <v/>
      </c>
      <c r="V14" s="16" t="str">
        <f t="shared" si="3"/>
        <v/>
      </c>
      <c r="W14" s="16" t="str">
        <f t="shared" si="3"/>
        <v/>
      </c>
      <c r="X14" s="16" t="str">
        <f t="shared" si="3"/>
        <v/>
      </c>
      <c r="Y14" s="16" t="str">
        <f t="shared" si="3"/>
        <v/>
      </c>
      <c r="Z14" s="16" t="str">
        <f t="shared" si="3"/>
        <v/>
      </c>
      <c r="AA14" s="16" t="str">
        <f t="shared" si="3"/>
        <v/>
      </c>
      <c r="AB14" s="16" t="str">
        <f t="shared" si="3"/>
        <v/>
      </c>
      <c r="AC14" s="16" t="str">
        <f t="shared" si="3"/>
        <v/>
      </c>
      <c r="AD14" s="16" t="str">
        <f t="shared" si="3"/>
        <v/>
      </c>
    </row>
    <row r="15" spans="1:30" x14ac:dyDescent="0.15">
      <c r="A15" s="72" t="s">
        <v>155</v>
      </c>
      <c r="D15" t="s">
        <v>27</v>
      </c>
      <c r="E15" s="2">
        <v>5</v>
      </c>
      <c r="F15" s="2">
        <f t="shared" ref="F15:F60" si="4">IF(OR(F$14="",$E15=""),"",E15)</f>
        <v>5</v>
      </c>
      <c r="G15" s="2">
        <v>5</v>
      </c>
      <c r="H15" s="2">
        <v>5</v>
      </c>
    </row>
    <row r="16" spans="1:30" x14ac:dyDescent="0.15">
      <c r="A16" s="72" t="s">
        <v>162</v>
      </c>
      <c r="D16" s="72" t="s">
        <v>142</v>
      </c>
      <c r="E16" s="2">
        <v>5</v>
      </c>
      <c r="F16" s="2">
        <v>5</v>
      </c>
      <c r="G16" s="2">
        <v>5</v>
      </c>
      <c r="H16" s="2">
        <v>0</v>
      </c>
    </row>
    <row r="17" spans="1:30" x14ac:dyDescent="0.15">
      <c r="A17" s="72" t="s">
        <v>156</v>
      </c>
      <c r="C17" s="72"/>
      <c r="D17" t="s">
        <v>27</v>
      </c>
      <c r="E17" s="2">
        <v>5</v>
      </c>
      <c r="F17" s="2">
        <f t="shared" si="4"/>
        <v>5</v>
      </c>
      <c r="G17" s="2">
        <v>5</v>
      </c>
      <c r="H17" s="2">
        <v>5</v>
      </c>
      <c r="AC17" s="2" t="str">
        <f t="shared" ref="AC17:AD36" si="5">IF(OR(AC$14="",$E17=""),"",AB17)</f>
        <v/>
      </c>
      <c r="AD17" s="2" t="str">
        <f t="shared" si="5"/>
        <v/>
      </c>
    </row>
    <row r="18" spans="1:30" x14ac:dyDescent="0.15">
      <c r="A18" t="s">
        <v>157</v>
      </c>
      <c r="C18" s="72" t="s">
        <v>135</v>
      </c>
      <c r="D18" t="s">
        <v>142</v>
      </c>
      <c r="E18" s="2">
        <v>4</v>
      </c>
      <c r="F18" s="2">
        <f t="shared" si="4"/>
        <v>4</v>
      </c>
      <c r="G18" s="2">
        <v>0</v>
      </c>
      <c r="AC18" s="2" t="str">
        <f t="shared" si="5"/>
        <v/>
      </c>
      <c r="AD18" s="2" t="str">
        <f t="shared" si="5"/>
        <v/>
      </c>
    </row>
    <row r="19" spans="1:30" x14ac:dyDescent="0.15">
      <c r="A19" t="s">
        <v>151</v>
      </c>
      <c r="C19" s="72" t="s">
        <v>135</v>
      </c>
      <c r="D19" t="s">
        <v>142</v>
      </c>
      <c r="E19" s="2">
        <v>4</v>
      </c>
      <c r="F19" s="2">
        <f t="shared" si="4"/>
        <v>4</v>
      </c>
      <c r="G19" s="2">
        <v>0</v>
      </c>
      <c r="AC19" s="2" t="str">
        <f t="shared" si="5"/>
        <v/>
      </c>
      <c r="AD19" s="2" t="str">
        <f t="shared" si="5"/>
        <v/>
      </c>
    </row>
    <row r="20" spans="1:30" x14ac:dyDescent="0.15">
      <c r="A20" s="72" t="s">
        <v>152</v>
      </c>
      <c r="C20" s="72"/>
      <c r="D20" t="str">
        <f>IF(A20&lt;&gt;"","Planned","")</f>
        <v>Planned</v>
      </c>
      <c r="E20" s="2">
        <v>3</v>
      </c>
      <c r="F20" s="2">
        <f t="shared" si="4"/>
        <v>3</v>
      </c>
      <c r="G20" s="2">
        <v>3</v>
      </c>
      <c r="H20" s="2">
        <v>3</v>
      </c>
      <c r="AC20" s="2" t="str">
        <f t="shared" si="5"/>
        <v/>
      </c>
      <c r="AD20" s="2" t="str">
        <f t="shared" si="5"/>
        <v/>
      </c>
    </row>
    <row r="21" spans="1:30" x14ac:dyDescent="0.15">
      <c r="A21" t="s">
        <v>159</v>
      </c>
      <c r="C21" s="72" t="s">
        <v>147</v>
      </c>
      <c r="D21" t="s">
        <v>27</v>
      </c>
      <c r="E21" s="2">
        <v>3</v>
      </c>
      <c r="F21" s="2">
        <f t="shared" si="4"/>
        <v>3</v>
      </c>
      <c r="G21" s="2">
        <v>3</v>
      </c>
      <c r="H21" s="2">
        <v>3</v>
      </c>
      <c r="AC21" s="2" t="str">
        <f t="shared" si="5"/>
        <v/>
      </c>
      <c r="AD21" s="2" t="str">
        <f t="shared" si="5"/>
        <v/>
      </c>
    </row>
    <row r="22" spans="1:30" x14ac:dyDescent="0.15">
      <c r="A22" s="72" t="s">
        <v>160</v>
      </c>
      <c r="C22" s="72" t="s">
        <v>135</v>
      </c>
      <c r="D22" t="s">
        <v>142</v>
      </c>
      <c r="E22" s="2">
        <v>7</v>
      </c>
      <c r="F22" s="2">
        <f t="shared" si="4"/>
        <v>7</v>
      </c>
      <c r="G22" s="2">
        <v>0</v>
      </c>
      <c r="AC22" s="2" t="str">
        <f t="shared" si="5"/>
        <v/>
      </c>
      <c r="AD22" s="2" t="str">
        <f t="shared" si="5"/>
        <v/>
      </c>
    </row>
    <row r="23" spans="1:30" x14ac:dyDescent="0.15">
      <c r="A23" s="72" t="s">
        <v>161</v>
      </c>
      <c r="C23" s="72" t="s">
        <v>139</v>
      </c>
      <c r="D23" t="s">
        <v>142</v>
      </c>
      <c r="E23" s="2">
        <v>3</v>
      </c>
      <c r="F23" s="2">
        <f t="shared" si="4"/>
        <v>3</v>
      </c>
      <c r="G23" s="2">
        <v>0</v>
      </c>
      <c r="AC23" s="2" t="str">
        <f t="shared" si="5"/>
        <v/>
      </c>
      <c r="AD23" s="2" t="str">
        <f t="shared" si="5"/>
        <v/>
      </c>
    </row>
    <row r="24" spans="1:30" x14ac:dyDescent="0.15">
      <c r="A24" s="72"/>
      <c r="D24" t="str">
        <f t="shared" ref="D24:D60" si="6">IF(A24&lt;&gt;"","Planned","")</f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1:30" x14ac:dyDescent="0.1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1:30" x14ac:dyDescent="0.1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1:30" x14ac:dyDescent="0.1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1:30" x14ac:dyDescent="0.1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1:30" x14ac:dyDescent="0.1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1:30" x14ac:dyDescent="0.1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1:30" x14ac:dyDescent="0.1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1:30" x14ac:dyDescent="0.1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1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1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1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15">
      <c r="D36" t="str">
        <f t="shared" si="6"/>
        <v/>
      </c>
      <c r="F36" s="2" t="str">
        <f t="shared" si="4"/>
        <v/>
      </c>
      <c r="AC36" s="2" t="str">
        <f t="shared" si="5"/>
        <v/>
      </c>
      <c r="AD36" s="2" t="str">
        <f t="shared" si="5"/>
        <v/>
      </c>
    </row>
    <row r="37" spans="4:30" x14ac:dyDescent="0.15">
      <c r="D37" t="str">
        <f t="shared" si="6"/>
        <v/>
      </c>
      <c r="F37" s="2" t="str">
        <f t="shared" si="4"/>
        <v/>
      </c>
      <c r="AC37" s="2" t="str">
        <f t="shared" ref="AC37:AD56" si="7">IF(OR(AC$14="",$E37=""),"",AB37)</f>
        <v/>
      </c>
      <c r="AD37" s="2" t="str">
        <f t="shared" si="7"/>
        <v/>
      </c>
    </row>
    <row r="38" spans="4:30" x14ac:dyDescent="0.1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6"/>
        <v/>
      </c>
      <c r="F56" s="2" t="str">
        <f t="shared" si="4"/>
        <v/>
      </c>
      <c r="AC56" s="2" t="str">
        <f t="shared" si="7"/>
        <v/>
      </c>
      <c r="AD56" s="2" t="str">
        <f t="shared" si="7"/>
        <v/>
      </c>
    </row>
    <row r="57" spans="4:30" x14ac:dyDescent="0.15">
      <c r="D57" t="str">
        <f t="shared" si="6"/>
        <v/>
      </c>
      <c r="F57" s="2" t="str">
        <f t="shared" si="4"/>
        <v/>
      </c>
      <c r="AC57" s="2" t="str">
        <f t="shared" ref="AC57:AD60" si="8">IF(OR(AC$14="",$E57=""),"",AB57)</f>
        <v/>
      </c>
      <c r="AD57" s="2" t="str">
        <f t="shared" si="8"/>
        <v/>
      </c>
    </row>
    <row r="58" spans="4:30" x14ac:dyDescent="0.15">
      <c r="D58" t="str">
        <f t="shared" si="6"/>
        <v/>
      </c>
      <c r="F58" s="2" t="str">
        <f t="shared" si="4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6"/>
        <v/>
      </c>
      <c r="F59" s="2" t="str">
        <f t="shared" si="4"/>
        <v/>
      </c>
      <c r="G59" s="2" t="str">
        <f t="shared" ref="G59:AB59" si="9">IF(OR(G$14="",$E59=""),"",F59)</f>
        <v/>
      </c>
      <c r="H59" s="2" t="str">
        <f t="shared" si="9"/>
        <v/>
      </c>
      <c r="I59" s="2" t="str">
        <f t="shared" si="9"/>
        <v/>
      </c>
      <c r="J59" s="2" t="str">
        <f t="shared" si="9"/>
        <v/>
      </c>
      <c r="K59" s="2" t="str">
        <f t="shared" si="9"/>
        <v/>
      </c>
      <c r="L59" s="2" t="str">
        <f t="shared" si="9"/>
        <v/>
      </c>
      <c r="M59" s="2" t="str">
        <f t="shared" si="9"/>
        <v/>
      </c>
      <c r="N59" s="2" t="str">
        <f t="shared" si="9"/>
        <v/>
      </c>
      <c r="O59" s="2" t="str">
        <f t="shared" si="9"/>
        <v/>
      </c>
      <c r="P59" s="2" t="str">
        <f t="shared" si="9"/>
        <v/>
      </c>
      <c r="Q59" s="2" t="str">
        <f t="shared" si="9"/>
        <v/>
      </c>
      <c r="R59" s="2" t="str">
        <f t="shared" si="9"/>
        <v/>
      </c>
      <c r="S59" s="2" t="str">
        <f t="shared" si="9"/>
        <v/>
      </c>
      <c r="T59" s="2" t="str">
        <f t="shared" si="9"/>
        <v/>
      </c>
      <c r="U59" s="2" t="str">
        <f t="shared" si="9"/>
        <v/>
      </c>
      <c r="V59" s="2" t="str">
        <f t="shared" si="9"/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8"/>
        <v/>
      </c>
      <c r="AD59" s="2" t="str">
        <f t="shared" si="8"/>
        <v/>
      </c>
    </row>
    <row r="60" spans="4:30" x14ac:dyDescent="0.15">
      <c r="D60" t="str">
        <f t="shared" si="6"/>
        <v/>
      </c>
      <c r="F60" s="2" t="str">
        <f t="shared" si="4"/>
        <v/>
      </c>
      <c r="G60" s="2" t="str">
        <f t="shared" ref="G60:AB60" si="10">IF(OR(G$14="",$E60=""),"",F60)</f>
        <v/>
      </c>
      <c r="H60" s="2" t="str">
        <f t="shared" si="10"/>
        <v/>
      </c>
      <c r="I60" s="2" t="str">
        <f t="shared" si="10"/>
        <v/>
      </c>
      <c r="J60" s="2" t="str">
        <f t="shared" si="10"/>
        <v/>
      </c>
      <c r="K60" s="2" t="str">
        <f t="shared" si="10"/>
        <v/>
      </c>
      <c r="L60" s="2" t="str">
        <f t="shared" si="10"/>
        <v/>
      </c>
      <c r="M60" s="2" t="str">
        <f t="shared" si="10"/>
        <v/>
      </c>
      <c r="N60" s="2" t="str">
        <f t="shared" si="10"/>
        <v/>
      </c>
      <c r="O60" s="2" t="str">
        <f t="shared" si="10"/>
        <v/>
      </c>
      <c r="P60" s="2" t="str">
        <f t="shared" si="10"/>
        <v/>
      </c>
      <c r="Q60" s="2" t="str">
        <f t="shared" si="10"/>
        <v/>
      </c>
      <c r="R60" s="2" t="str">
        <f t="shared" si="10"/>
        <v/>
      </c>
      <c r="S60" s="2" t="str">
        <f t="shared" si="10"/>
        <v/>
      </c>
      <c r="T60" s="2" t="str">
        <f t="shared" si="10"/>
        <v/>
      </c>
      <c r="U60" s="2" t="str">
        <f t="shared" si="10"/>
        <v/>
      </c>
      <c r="V60" s="2" t="str">
        <f t="shared" si="10"/>
        <v/>
      </c>
      <c r="W60" s="2" t="str">
        <f t="shared" si="10"/>
        <v/>
      </c>
      <c r="X60" s="2" t="str">
        <f t="shared" si="10"/>
        <v/>
      </c>
      <c r="Y60" s="2" t="str">
        <f t="shared" si="10"/>
        <v/>
      </c>
      <c r="Z60" s="2" t="str">
        <f t="shared" si="10"/>
        <v/>
      </c>
      <c r="AA60" s="2" t="str">
        <f t="shared" si="10"/>
        <v/>
      </c>
      <c r="AB60" s="2" t="str">
        <f t="shared" si="10"/>
        <v/>
      </c>
      <c r="AC60" s="2" t="str">
        <f t="shared" si="8"/>
        <v/>
      </c>
      <c r="AD60" s="2" t="str">
        <f t="shared" si="8"/>
        <v/>
      </c>
    </row>
    <row r="65" spans="4:4" x14ac:dyDescent="0.15">
      <c r="D65" t="str">
        <f>IF(A65&lt;&gt;"","Planned","")</f>
        <v/>
      </c>
    </row>
  </sheetData>
  <sortState xmlns:xlrd2="http://schemas.microsoft.com/office/spreadsheetml/2017/richdata2" ref="A15:AD64">
    <sortCondition ref="B14"/>
    <sortCondition ref="D14"/>
  </sortState>
  <phoneticPr fontId="2" type="noConversion"/>
  <conditionalFormatting sqref="A15:AD59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15:D65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0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88900</xdr:rowOff>
                  </from>
                  <to>
                    <xdr:col>2</xdr:col>
                    <xdr:colOff>241300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6395-AEF9-E949-8690-40776E8B017B}">
  <dimension ref="A1:AD65"/>
  <sheetViews>
    <sheetView workbookViewId="0">
      <selection activeCell="H19" sqref="H19"/>
    </sheetView>
  </sheetViews>
  <sheetFormatPr baseColWidth="10" defaultColWidth="11.5" defaultRowHeight="13" x14ac:dyDescent="0.15"/>
  <cols>
    <col min="1" max="1" width="38.5" customWidth="1"/>
    <col min="2" max="2" width="8.5" style="2" customWidth="1"/>
    <col min="3" max="3" width="13.6640625" customWidth="1"/>
    <col min="4" max="4" width="10.83203125" customWidth="1"/>
    <col min="5" max="5" width="6.5" style="2" customWidth="1"/>
    <col min="6" max="30" width="4.5" style="2" customWidth="1"/>
    <col min="31" max="256" width="8.83203125" customWidth="1"/>
  </cols>
  <sheetData>
    <row r="1" spans="1:30" ht="18" x14ac:dyDescent="0.2">
      <c r="A1" s="75">
        <v>3</v>
      </c>
      <c r="B1" s="76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1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15">
      <c r="A9" s="15" t="s">
        <v>121</v>
      </c>
      <c r="B9" s="2">
        <v>5</v>
      </c>
      <c r="C9" s="15"/>
      <c r="D9" s="13"/>
      <c r="E9" s="15" t="s">
        <v>122</v>
      </c>
      <c r="F9" s="15" t="s">
        <v>123</v>
      </c>
      <c r="G9" s="15"/>
      <c r="H9" s="15"/>
      <c r="I9" s="15"/>
      <c r="J9" s="15"/>
      <c r="K9" s="15"/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15">
      <c r="A10" s="15" t="s">
        <v>124</v>
      </c>
      <c r="B10" s="2">
        <v>5</v>
      </c>
      <c r="C10" s="15" t="s">
        <v>3</v>
      </c>
      <c r="D10" s="15" t="s">
        <v>125</v>
      </c>
      <c r="E10" s="14">
        <f xml:space="preserve"> SUM(E15:E21)</f>
        <v>28</v>
      </c>
      <c r="F10" s="14">
        <v>28</v>
      </c>
      <c r="G10" s="14" t="e">
        <f t="shared" ref="G10:AD10" ca="1" si="0">IF(AND(SUM(OFFSET(G14,1,0,TaskRows,1))=0),"",SUM(OFFSET(G14,1,0,TaskRows,1)))</f>
        <v>#REF!</v>
      </c>
      <c r="H10" s="14" t="e">
        <f t="shared" ca="1" si="0"/>
        <v>#REF!</v>
      </c>
      <c r="I10" s="14" t="e">
        <f t="shared" ca="1" si="0"/>
        <v>#REF!</v>
      </c>
      <c r="J10" s="14" t="e">
        <f t="shared" ca="1" si="0"/>
        <v>#REF!</v>
      </c>
      <c r="K10" s="14" t="e">
        <f t="shared" ca="1" si="0"/>
        <v>#REF!</v>
      </c>
      <c r="L10" s="14" t="e">
        <f t="shared" ca="1" si="0"/>
        <v>#REF!</v>
      </c>
      <c r="M10" s="14" t="e">
        <f t="shared" ca="1" si="0"/>
        <v>#REF!</v>
      </c>
      <c r="N10" s="14" t="e">
        <f t="shared" ca="1" si="0"/>
        <v>#REF!</v>
      </c>
      <c r="O10" s="14" t="e">
        <f t="shared" ca="1" si="0"/>
        <v>#REF!</v>
      </c>
      <c r="P10" s="14" t="e">
        <f t="shared" ca="1" si="0"/>
        <v>#REF!</v>
      </c>
      <c r="Q10" s="14" t="e">
        <f t="shared" ca="1" si="0"/>
        <v>#REF!</v>
      </c>
      <c r="R10" s="14" t="e">
        <f t="shared" ca="1" si="0"/>
        <v>#REF!</v>
      </c>
      <c r="S10" s="14" t="e">
        <f t="shared" ca="1" si="0"/>
        <v>#REF!</v>
      </c>
      <c r="T10" s="14" t="e">
        <f t="shared" ca="1" si="0"/>
        <v>#REF!</v>
      </c>
      <c r="U10" s="14" t="e">
        <f t="shared" ca="1" si="0"/>
        <v>#REF!</v>
      </c>
      <c r="V10" s="14" t="e">
        <f t="shared" ca="1" si="0"/>
        <v>#REF!</v>
      </c>
      <c r="W10" s="14" t="e">
        <f t="shared" ca="1" si="0"/>
        <v>#REF!</v>
      </c>
      <c r="X10" s="14" t="e">
        <f t="shared" ca="1" si="0"/>
        <v>#REF!</v>
      </c>
      <c r="Y10" s="14" t="e">
        <f t="shared" ca="1" si="0"/>
        <v>#REF!</v>
      </c>
      <c r="Z10" s="14" t="e">
        <f t="shared" ca="1" si="0"/>
        <v>#REF!</v>
      </c>
      <c r="AA10" s="14" t="e">
        <f t="shared" ca="1" si="0"/>
        <v>#REF!</v>
      </c>
      <c r="AB10" s="14" t="e">
        <f t="shared" ca="1" si="0"/>
        <v>#REF!</v>
      </c>
      <c r="AC10" s="14" t="e">
        <f t="shared" ca="1" si="0"/>
        <v>#REF!</v>
      </c>
      <c r="AD10" s="14" t="e">
        <f t="shared" ca="1" si="0"/>
        <v>#REF!</v>
      </c>
    </row>
    <row r="11" spans="1:30" hidden="1" x14ac:dyDescent="0.15">
      <c r="A11" t="s">
        <v>126</v>
      </c>
      <c r="B11" s="2">
        <f>IF(COUNTA(A15:A243)=0,1,COUNTA(A15:A243))</f>
        <v>7</v>
      </c>
      <c r="C11" t="s">
        <v>127</v>
      </c>
      <c r="D11" s="2">
        <f ca="1">IF(COUNTIF(F10:AD10,"&gt;0")=0,1,COUNTIF(F10:AD10,"&gt;0"))</f>
        <v>1</v>
      </c>
      <c r="F11" s="2">
        <f>IF(F14="","",$E10-$E10/($B9-1)*(F14-1))</f>
        <v>28</v>
      </c>
      <c r="G11" s="2" t="e">
        <f t="shared" ref="G11:AD11" si="1">IF(G14="","",TotalEffort-TotalEffort/(ImplementationDays)*(G14-1))</f>
        <v>#REF!</v>
      </c>
      <c r="H11" s="2" t="e">
        <f t="shared" si="1"/>
        <v>#REF!</v>
      </c>
      <c r="I11" s="2" t="e">
        <f t="shared" si="1"/>
        <v>#REF!</v>
      </c>
      <c r="J11" s="2" t="e">
        <f t="shared" si="1"/>
        <v>#REF!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15">
      <c r="A12" s="46" t="s">
        <v>128</v>
      </c>
      <c r="B12"/>
      <c r="C12" t="s">
        <v>92</v>
      </c>
      <c r="D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hidden="1" x14ac:dyDescent="0.15">
      <c r="A13" s="46" t="s">
        <v>129</v>
      </c>
      <c r="B13"/>
      <c r="C13" t="s">
        <v>130</v>
      </c>
      <c r="D13" s="2" t="e">
        <f>IF(DoneDays&gt;B10,B10,DoneDays)</f>
        <v>#REF!</v>
      </c>
      <c r="F13" s="2" t="e">
        <f>IF(DoneDays&gt;E13,E13+1,"")</f>
        <v>#REF!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15">
      <c r="A14" s="15" t="s">
        <v>131</v>
      </c>
      <c r="B14" s="16" t="s">
        <v>21</v>
      </c>
      <c r="C14" s="15" t="s">
        <v>132</v>
      </c>
      <c r="D14" s="15" t="s">
        <v>6</v>
      </c>
      <c r="E14" s="16" t="s">
        <v>133</v>
      </c>
      <c r="F14" s="16">
        <v>1</v>
      </c>
      <c r="G14" s="16">
        <f t="shared" ref="G14:AD14" si="3">IF($B$9&gt;F14,F14+1,"")</f>
        <v>2</v>
      </c>
      <c r="H14" s="16">
        <f t="shared" si="3"/>
        <v>3</v>
      </c>
      <c r="I14" s="16">
        <f t="shared" si="3"/>
        <v>4</v>
      </c>
      <c r="J14" s="16">
        <f t="shared" si="3"/>
        <v>5</v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6" t="str">
        <f t="shared" si="3"/>
        <v/>
      </c>
      <c r="Q14" s="16" t="str">
        <f t="shared" si="3"/>
        <v/>
      </c>
      <c r="R14" s="16" t="str">
        <f t="shared" si="3"/>
        <v/>
      </c>
      <c r="S14" s="16" t="str">
        <f t="shared" si="3"/>
        <v/>
      </c>
      <c r="T14" s="16" t="str">
        <f t="shared" si="3"/>
        <v/>
      </c>
      <c r="U14" s="16" t="str">
        <f t="shared" si="3"/>
        <v/>
      </c>
      <c r="V14" s="16" t="str">
        <f t="shared" si="3"/>
        <v/>
      </c>
      <c r="W14" s="16" t="str">
        <f t="shared" si="3"/>
        <v/>
      </c>
      <c r="X14" s="16" t="str">
        <f t="shared" si="3"/>
        <v/>
      </c>
      <c r="Y14" s="16" t="str">
        <f t="shared" si="3"/>
        <v/>
      </c>
      <c r="Z14" s="16" t="str">
        <f t="shared" si="3"/>
        <v/>
      </c>
      <c r="AA14" s="16" t="str">
        <f t="shared" si="3"/>
        <v/>
      </c>
      <c r="AB14" s="16" t="str">
        <f t="shared" si="3"/>
        <v/>
      </c>
      <c r="AC14" s="16" t="str">
        <f t="shared" si="3"/>
        <v/>
      </c>
      <c r="AD14" s="16" t="str">
        <f t="shared" si="3"/>
        <v/>
      </c>
    </row>
    <row r="15" spans="1:30" x14ac:dyDescent="0.15">
      <c r="A15" s="72" t="s">
        <v>155</v>
      </c>
      <c r="B15" s="79" t="s">
        <v>170</v>
      </c>
      <c r="D15" t="s">
        <v>14</v>
      </c>
      <c r="E15" s="2">
        <v>5</v>
      </c>
      <c r="F15" s="2">
        <f t="shared" ref="F15:U60" si="4">IF(OR(F$14="",$E15=""),"",E15)</f>
        <v>5</v>
      </c>
    </row>
    <row r="16" spans="1:30" x14ac:dyDescent="0.15">
      <c r="A16" s="72" t="s">
        <v>165</v>
      </c>
      <c r="B16" s="2">
        <v>4</v>
      </c>
      <c r="C16" s="72"/>
      <c r="D16" s="72" t="s">
        <v>14</v>
      </c>
      <c r="E16" s="2">
        <v>5</v>
      </c>
      <c r="F16" s="2">
        <v>5</v>
      </c>
    </row>
    <row r="17" spans="1:30" x14ac:dyDescent="0.15">
      <c r="A17" s="72" t="s">
        <v>156</v>
      </c>
      <c r="B17" s="79" t="s">
        <v>170</v>
      </c>
      <c r="C17" s="72"/>
      <c r="D17" t="s">
        <v>14</v>
      </c>
      <c r="E17" s="2">
        <v>5</v>
      </c>
      <c r="F17" s="2">
        <f t="shared" si="4"/>
        <v>5</v>
      </c>
      <c r="AC17" s="2" t="str">
        <f t="shared" ref="AC17:AD36" si="5">IF(OR(AC$14="",$E17=""),"",AB17)</f>
        <v/>
      </c>
      <c r="AD17" s="2" t="str">
        <f t="shared" si="5"/>
        <v/>
      </c>
    </row>
    <row r="18" spans="1:30" x14ac:dyDescent="0.15">
      <c r="A18" s="72" t="s">
        <v>167</v>
      </c>
      <c r="B18" s="2">
        <v>1</v>
      </c>
      <c r="C18" s="72" t="s">
        <v>135</v>
      </c>
      <c r="D18" t="s">
        <v>27</v>
      </c>
      <c r="E18" s="2">
        <v>4</v>
      </c>
      <c r="F18" s="2">
        <f t="shared" si="4"/>
        <v>4</v>
      </c>
      <c r="AC18" s="2" t="str">
        <f t="shared" si="5"/>
        <v/>
      </c>
      <c r="AD18" s="2" t="str">
        <f t="shared" si="5"/>
        <v/>
      </c>
    </row>
    <row r="19" spans="1:30" x14ac:dyDescent="0.15">
      <c r="A19" s="72" t="s">
        <v>166</v>
      </c>
      <c r="B19" s="2">
        <v>16</v>
      </c>
      <c r="C19" s="72" t="s">
        <v>141</v>
      </c>
      <c r="D19" t="s">
        <v>27</v>
      </c>
      <c r="E19" s="2">
        <v>3</v>
      </c>
      <c r="F19" s="2">
        <f>IF(OR(F$14="",$E19=""),"",E19)</f>
        <v>3</v>
      </c>
      <c r="AC19" s="2" t="str">
        <f>IF(OR(AC$14="",$E19=""),"",AB19)</f>
        <v/>
      </c>
      <c r="AD19" s="2" t="str">
        <f>IF(OR(AD$14="",$E19=""),"",AC19)</f>
        <v/>
      </c>
    </row>
    <row r="20" spans="1:30" x14ac:dyDescent="0.15">
      <c r="A20" s="72" t="s">
        <v>152</v>
      </c>
      <c r="B20" s="79" t="s">
        <v>170</v>
      </c>
      <c r="C20" s="72"/>
      <c r="D20" t="str">
        <f>IF(A20&lt;&gt;"","Planned","")</f>
        <v>Planned</v>
      </c>
      <c r="E20" s="2">
        <v>3</v>
      </c>
      <c r="F20" s="2">
        <f t="shared" si="4"/>
        <v>3</v>
      </c>
      <c r="AC20" s="2" t="str">
        <f t="shared" si="5"/>
        <v/>
      </c>
      <c r="AD20" s="2" t="str">
        <f t="shared" si="5"/>
        <v/>
      </c>
    </row>
    <row r="21" spans="1:30" x14ac:dyDescent="0.15">
      <c r="A21" s="72" t="s">
        <v>169</v>
      </c>
      <c r="B21" s="79" t="s">
        <v>170</v>
      </c>
      <c r="C21" s="72" t="s">
        <v>168</v>
      </c>
      <c r="D21" t="s">
        <v>27</v>
      </c>
      <c r="E21" s="2">
        <v>3</v>
      </c>
      <c r="F21" s="2">
        <f t="shared" si="4"/>
        <v>3</v>
      </c>
      <c r="AC21" s="2" t="str">
        <f t="shared" si="5"/>
        <v/>
      </c>
      <c r="AD21" s="2" t="str">
        <f t="shared" si="5"/>
        <v/>
      </c>
    </row>
    <row r="24" spans="1:30" x14ac:dyDescent="0.15">
      <c r="A24" s="72"/>
      <c r="D24" t="str">
        <f>IF(A24&lt;&gt;"","Planned","")</f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1:30" x14ac:dyDescent="0.15">
      <c r="D25" t="str">
        <f t="shared" ref="D25:D60" si="6">IF(A25&lt;&gt;"","Planned","")</f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1:30" x14ac:dyDescent="0.1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1:30" x14ac:dyDescent="0.1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1:30" x14ac:dyDescent="0.1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1:30" x14ac:dyDescent="0.1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1:30" x14ac:dyDescent="0.1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1:30" x14ac:dyDescent="0.1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1:30" x14ac:dyDescent="0.1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1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1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1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15">
      <c r="D36" t="str">
        <f t="shared" si="6"/>
        <v/>
      </c>
      <c r="F36" s="2" t="str">
        <f t="shared" si="4"/>
        <v/>
      </c>
      <c r="AC36" s="2" t="str">
        <f t="shared" si="5"/>
        <v/>
      </c>
      <c r="AD36" s="2" t="str">
        <f t="shared" si="5"/>
        <v/>
      </c>
    </row>
    <row r="37" spans="4:30" x14ac:dyDescent="0.15">
      <c r="D37" t="str">
        <f t="shared" si="6"/>
        <v/>
      </c>
      <c r="F37" s="2" t="str">
        <f t="shared" si="4"/>
        <v/>
      </c>
      <c r="AC37" s="2" t="str">
        <f t="shared" ref="AC37:AD56" si="7">IF(OR(AC$14="",$E37=""),"",AB37)</f>
        <v/>
      </c>
      <c r="AD37" s="2" t="str">
        <f t="shared" si="7"/>
        <v/>
      </c>
    </row>
    <row r="38" spans="4:30" x14ac:dyDescent="0.1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1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1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1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1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1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1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1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1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1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1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1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1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1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1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1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1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1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15">
      <c r="D56" t="str">
        <f t="shared" si="6"/>
        <v/>
      </c>
      <c r="F56" s="2" t="str">
        <f t="shared" si="4"/>
        <v/>
      </c>
      <c r="AC56" s="2" t="str">
        <f t="shared" si="7"/>
        <v/>
      </c>
      <c r="AD56" s="2" t="str">
        <f t="shared" si="7"/>
        <v/>
      </c>
    </row>
    <row r="57" spans="4:30" x14ac:dyDescent="0.15">
      <c r="D57" t="str">
        <f t="shared" si="6"/>
        <v/>
      </c>
      <c r="F57" s="2" t="str">
        <f t="shared" si="4"/>
        <v/>
      </c>
      <c r="AC57" s="2" t="str">
        <f t="shared" ref="AC57:AD60" si="8">IF(OR(AC$14="",$E57=""),"",AB57)</f>
        <v/>
      </c>
      <c r="AD57" s="2" t="str">
        <f t="shared" si="8"/>
        <v/>
      </c>
    </row>
    <row r="58" spans="4:30" x14ac:dyDescent="0.15">
      <c r="D58" t="str">
        <f t="shared" si="6"/>
        <v/>
      </c>
      <c r="F58" s="2" t="str">
        <f t="shared" si="4"/>
        <v/>
      </c>
      <c r="AC58" s="2" t="str">
        <f t="shared" si="8"/>
        <v/>
      </c>
      <c r="AD58" s="2" t="str">
        <f t="shared" si="8"/>
        <v/>
      </c>
    </row>
    <row r="59" spans="4:30" x14ac:dyDescent="0.15">
      <c r="D59" t="str">
        <f t="shared" si="6"/>
        <v/>
      </c>
      <c r="F59" s="2" t="str">
        <f t="shared" si="4"/>
        <v/>
      </c>
      <c r="G59" s="2" t="str">
        <f t="shared" si="4"/>
        <v/>
      </c>
      <c r="H59" s="2" t="str">
        <f t="shared" si="4"/>
        <v/>
      </c>
      <c r="I59" s="2" t="str">
        <f t="shared" si="4"/>
        <v/>
      </c>
      <c r="J59" s="2" t="str">
        <f t="shared" si="4"/>
        <v/>
      </c>
      <c r="K59" s="2" t="str">
        <f t="shared" si="4"/>
        <v/>
      </c>
      <c r="L59" s="2" t="str">
        <f t="shared" si="4"/>
        <v/>
      </c>
      <c r="M59" s="2" t="str">
        <f t="shared" si="4"/>
        <v/>
      </c>
      <c r="N59" s="2" t="str">
        <f t="shared" si="4"/>
        <v/>
      </c>
      <c r="O59" s="2" t="str">
        <f t="shared" si="4"/>
        <v/>
      </c>
      <c r="P59" s="2" t="str">
        <f t="shared" si="4"/>
        <v/>
      </c>
      <c r="Q59" s="2" t="str">
        <f t="shared" si="4"/>
        <v/>
      </c>
      <c r="R59" s="2" t="str">
        <f t="shared" si="4"/>
        <v/>
      </c>
      <c r="S59" s="2" t="str">
        <f t="shared" si="4"/>
        <v/>
      </c>
      <c r="T59" s="2" t="str">
        <f t="shared" si="4"/>
        <v/>
      </c>
      <c r="U59" s="2" t="str">
        <f t="shared" si="4"/>
        <v/>
      </c>
      <c r="V59" s="2" t="str">
        <f t="shared" ref="V59:AB60" si="9">IF(OR(V$14="",$E59=""),"",U59)</f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8"/>
        <v/>
      </c>
      <c r="AD59" s="2" t="str">
        <f t="shared" si="8"/>
        <v/>
      </c>
    </row>
    <row r="60" spans="4:30" x14ac:dyDescent="0.15">
      <c r="D60" t="str">
        <f t="shared" si="6"/>
        <v/>
      </c>
      <c r="F60" s="2" t="str">
        <f t="shared" si="4"/>
        <v/>
      </c>
      <c r="G60" s="2" t="str">
        <f t="shared" si="4"/>
        <v/>
      </c>
      <c r="H60" s="2" t="str">
        <f t="shared" si="4"/>
        <v/>
      </c>
      <c r="I60" s="2" t="str">
        <f t="shared" si="4"/>
        <v/>
      </c>
      <c r="J60" s="2" t="str">
        <f t="shared" si="4"/>
        <v/>
      </c>
      <c r="K60" s="2" t="str">
        <f t="shared" si="4"/>
        <v/>
      </c>
      <c r="L60" s="2" t="str">
        <f t="shared" si="4"/>
        <v/>
      </c>
      <c r="M60" s="2" t="str">
        <f t="shared" si="4"/>
        <v/>
      </c>
      <c r="N60" s="2" t="str">
        <f t="shared" si="4"/>
        <v/>
      </c>
      <c r="O60" s="2" t="str">
        <f t="shared" si="4"/>
        <v/>
      </c>
      <c r="P60" s="2" t="str">
        <f t="shared" si="4"/>
        <v/>
      </c>
      <c r="Q60" s="2" t="str">
        <f t="shared" si="4"/>
        <v/>
      </c>
      <c r="R60" s="2" t="str">
        <f t="shared" si="4"/>
        <v/>
      </c>
      <c r="S60" s="2" t="str">
        <f t="shared" si="4"/>
        <v/>
      </c>
      <c r="T60" s="2" t="str">
        <f t="shared" si="4"/>
        <v/>
      </c>
      <c r="U60" s="2" t="str">
        <f t="shared" si="4"/>
        <v/>
      </c>
      <c r="V60" s="2" t="str">
        <f t="shared" si="9"/>
        <v/>
      </c>
      <c r="W60" s="2" t="str">
        <f t="shared" si="9"/>
        <v/>
      </c>
      <c r="X60" s="2" t="str">
        <f t="shared" si="9"/>
        <v/>
      </c>
      <c r="Y60" s="2" t="str">
        <f t="shared" si="9"/>
        <v/>
      </c>
      <c r="Z60" s="2" t="str">
        <f t="shared" si="9"/>
        <v/>
      </c>
      <c r="AA60" s="2" t="str">
        <f t="shared" si="9"/>
        <v/>
      </c>
      <c r="AB60" s="2" t="str">
        <f t="shared" si="9"/>
        <v/>
      </c>
      <c r="AC60" s="2" t="str">
        <f t="shared" si="8"/>
        <v/>
      </c>
      <c r="AD60" s="2" t="str">
        <f t="shared" si="8"/>
        <v/>
      </c>
    </row>
    <row r="65" spans="4:4" x14ac:dyDescent="0.15">
      <c r="D65" t="str">
        <f>IF(A65&lt;&gt;"","Planned","")</f>
        <v/>
      </c>
    </row>
  </sheetData>
  <conditionalFormatting sqref="A15:AD21 A24:AD59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disablePrompts="1" count="1">
    <dataValidation type="list" allowBlank="1" showInputMessage="1" sqref="D3:D8 D24:D65 D15:D21" xr:uid="{F1656DBD-5A2F-BB46-BF75-F7443A7C0396}">
      <formula1>"Planned,Ongoing,Done"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3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88900</xdr:rowOff>
                  </from>
                  <to>
                    <xdr:col>1</xdr:col>
                    <xdr:colOff>1981200</xdr:colOff>
                    <xdr:row>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4" name="Button 2">
              <controlPr defaultSize="0" print="0" autoFill="0" autoPict="0" macro="[0]!UpdateTaskSlips">
                <anchor moveWithCells="1" sizeWithCells="1">
                  <from>
                    <xdr:col>1</xdr:col>
                    <xdr:colOff>2286000</xdr:colOff>
                    <xdr:row>5</xdr:row>
                    <xdr:rowOff>88900</xdr:rowOff>
                  </from>
                  <to>
                    <xdr:col>2</xdr:col>
                    <xdr:colOff>241300</xdr:colOff>
                    <xdr:row>7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"/>
  <sheetViews>
    <sheetView workbookViewId="0"/>
  </sheetViews>
  <sheetFormatPr baseColWidth="10" defaultColWidth="9.1640625" defaultRowHeight="13" x14ac:dyDescent="0.15"/>
  <cols>
    <col min="1" max="1" width="9.1640625" style="27"/>
    <col min="2" max="2" width="9.33203125" style="27" customWidth="1"/>
    <col min="3" max="3" width="9.1640625" style="27"/>
    <col min="4" max="4" width="32.83203125" style="27" customWidth="1"/>
    <col min="5" max="5" width="9.1640625" style="27"/>
    <col min="6" max="6" width="32.83203125" style="27" customWidth="1"/>
    <col min="7" max="16384" width="9.1640625" style="27"/>
  </cols>
  <sheetData/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25</vt:i4>
      </vt:variant>
    </vt:vector>
  </HeadingPairs>
  <TitlesOfParts>
    <vt:vector size="32" baseType="lpstr">
      <vt:lpstr>Release Plan</vt:lpstr>
      <vt:lpstr>Product Backlog</vt:lpstr>
      <vt:lpstr>PB Burndown</vt:lpstr>
      <vt:lpstr>Sp1</vt:lpstr>
      <vt:lpstr>Sp2</vt:lpstr>
      <vt:lpstr>Sp3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Yuki Yoshiyasu</cp:lastModifiedBy>
  <cp:revision>1</cp:revision>
  <dcterms:created xsi:type="dcterms:W3CDTF">1998-06-05T11:20:44Z</dcterms:created>
  <dcterms:modified xsi:type="dcterms:W3CDTF">2024-05-05T22:51:29Z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