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770" windowHeight="7950" tabRatio="704" firstSheet="3" activeTab="12"/>
  </bookViews>
  <sheets>
    <sheet name="弹性模量" sheetId="1" r:id="rId1"/>
    <sheet name="水的表面张力" sheetId="2" r:id="rId2"/>
    <sheet name="液体旋光率" sheetId="3" r:id="rId3"/>
    <sheet name="巨磁电阻" sheetId="4" r:id="rId4"/>
    <sheet name="PN结" sheetId="5" r:id="rId5"/>
    <sheet name="光的等厚干涉" sheetId="6" r:id="rId6"/>
    <sheet name="磁滞回线" sheetId="7" r:id="rId7"/>
    <sheet name="迈克尔逊干涉" sheetId="8" r:id="rId8"/>
    <sheet name="分光计" sheetId="9" r:id="rId9"/>
    <sheet name="超声光栅测声速" sheetId="10" r:id="rId10"/>
    <sheet name="光电效应" sheetId="11" r:id="rId11"/>
    <sheet name="多普勒" sheetId="12" r:id="rId12"/>
    <sheet name="弗兰克赫兹" sheetId="13" r:id="rId13"/>
  </sheets>
  <calcPr calcId="144525"/>
</workbook>
</file>

<file path=xl/calcChain.xml><?xml version="1.0" encoding="utf-8"?>
<calcChain xmlns="http://schemas.openxmlformats.org/spreadsheetml/2006/main">
  <c r="B58" i="13" l="1"/>
  <c r="B56" i="13"/>
  <c r="B55" i="13"/>
  <c r="B54" i="13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D29" i="12"/>
  <c r="B27" i="12"/>
  <c r="B26" i="12"/>
  <c r="B22" i="12"/>
  <c r="G5" i="12"/>
  <c r="B76" i="11"/>
  <c r="B75" i="11"/>
  <c r="B74" i="11"/>
  <c r="B72" i="11"/>
  <c r="B71" i="11"/>
  <c r="B70" i="11"/>
  <c r="F67" i="11"/>
  <c r="E67" i="11"/>
  <c r="D67" i="11"/>
  <c r="C67" i="11"/>
  <c r="B67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I6" i="11"/>
  <c r="I5" i="11"/>
  <c r="B17" i="10"/>
  <c r="B16" i="10"/>
  <c r="B14" i="10"/>
  <c r="B13" i="10"/>
  <c r="B12" i="10"/>
  <c r="B5" i="10"/>
  <c r="K42" i="9"/>
  <c r="J42" i="9"/>
  <c r="J40" i="9"/>
  <c r="H39" i="9"/>
  <c r="H38" i="9"/>
  <c r="J37" i="9"/>
  <c r="I37" i="9"/>
  <c r="H37" i="9"/>
  <c r="I36" i="9"/>
  <c r="H36" i="9"/>
  <c r="H34" i="9"/>
  <c r="H33" i="9"/>
  <c r="J32" i="9"/>
  <c r="I32" i="9"/>
  <c r="H32" i="9"/>
  <c r="I31" i="9"/>
  <c r="H31" i="9"/>
  <c r="H28" i="9"/>
  <c r="H27" i="9"/>
  <c r="K26" i="9"/>
  <c r="I26" i="9"/>
  <c r="H26" i="9"/>
  <c r="I25" i="9"/>
  <c r="H25" i="9"/>
  <c r="H23" i="9"/>
  <c r="H22" i="9"/>
  <c r="K21" i="9"/>
  <c r="I21" i="9"/>
  <c r="H21" i="9"/>
  <c r="I20" i="9"/>
  <c r="H20" i="9"/>
  <c r="K19" i="9"/>
  <c r="E16" i="9"/>
  <c r="B16" i="9"/>
  <c r="L13" i="9"/>
  <c r="K13" i="9"/>
  <c r="I13" i="9"/>
  <c r="H13" i="9"/>
  <c r="G13" i="9"/>
  <c r="I12" i="9"/>
  <c r="H12" i="9"/>
  <c r="G12" i="9"/>
  <c r="M11" i="9"/>
  <c r="K11" i="9"/>
  <c r="I11" i="9"/>
  <c r="H11" i="9"/>
  <c r="G11" i="9"/>
  <c r="M10" i="9"/>
  <c r="K10" i="9"/>
  <c r="I10" i="9"/>
  <c r="H10" i="9"/>
  <c r="G10" i="9"/>
  <c r="L6" i="9"/>
  <c r="K6" i="9"/>
  <c r="I6" i="9"/>
  <c r="H6" i="9"/>
  <c r="G6" i="9"/>
  <c r="I5" i="9"/>
  <c r="H5" i="9"/>
  <c r="G5" i="9"/>
  <c r="M4" i="9"/>
  <c r="K4" i="9"/>
  <c r="I4" i="9"/>
  <c r="H4" i="9"/>
  <c r="G4" i="9"/>
  <c r="M3" i="9"/>
  <c r="K3" i="9"/>
  <c r="I3" i="9"/>
  <c r="H3" i="9"/>
  <c r="G3" i="9"/>
  <c r="E26" i="8"/>
  <c r="D26" i="8"/>
  <c r="C26" i="8"/>
  <c r="B26" i="8"/>
  <c r="K8" i="8"/>
  <c r="K7" i="8"/>
  <c r="L4" i="8"/>
  <c r="K4" i="8"/>
  <c r="J4" i="8"/>
  <c r="I4" i="8"/>
  <c r="H4" i="8"/>
  <c r="G4" i="8"/>
  <c r="F4" i="8"/>
  <c r="E4" i="8"/>
  <c r="D4" i="8"/>
  <c r="C4" i="8"/>
  <c r="B4" i="8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53" i="7"/>
  <c r="E52" i="7"/>
  <c r="B5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36" i="7"/>
  <c r="E35" i="7"/>
  <c r="B3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B14" i="7"/>
  <c r="E13" i="7"/>
  <c r="B13" i="7"/>
  <c r="G25" i="6"/>
  <c r="E25" i="6"/>
  <c r="B25" i="6"/>
  <c r="J23" i="6"/>
  <c r="F23" i="6"/>
  <c r="E23" i="6"/>
  <c r="D23" i="6"/>
  <c r="C23" i="6"/>
  <c r="B23" i="6"/>
  <c r="H22" i="6"/>
  <c r="J21" i="6"/>
  <c r="H21" i="6"/>
  <c r="J19" i="6"/>
  <c r="F19" i="6"/>
  <c r="E19" i="6"/>
  <c r="D19" i="6"/>
  <c r="C19" i="6"/>
  <c r="B19" i="6"/>
  <c r="H18" i="6"/>
  <c r="J17" i="6"/>
  <c r="H17" i="6"/>
  <c r="D14" i="6"/>
  <c r="B14" i="6"/>
  <c r="H12" i="6"/>
  <c r="H11" i="6"/>
  <c r="H10" i="6"/>
  <c r="F10" i="6"/>
  <c r="E10" i="6"/>
  <c r="D10" i="6"/>
  <c r="C10" i="6"/>
  <c r="B10" i="6"/>
  <c r="F8" i="6"/>
  <c r="E8" i="6"/>
  <c r="D8" i="6"/>
  <c r="C8" i="6"/>
  <c r="B8" i="6"/>
  <c r="K5" i="6"/>
  <c r="J5" i="6"/>
  <c r="I5" i="6"/>
  <c r="H5" i="6"/>
  <c r="G5" i="6"/>
  <c r="F5" i="6"/>
  <c r="E5" i="6"/>
  <c r="D5" i="6"/>
  <c r="C5" i="6"/>
  <c r="B5" i="6"/>
  <c r="K50" i="5"/>
  <c r="J50" i="5"/>
  <c r="I50" i="5"/>
  <c r="H50" i="5"/>
  <c r="G50" i="5"/>
  <c r="F50" i="5"/>
  <c r="E50" i="5"/>
  <c r="D50" i="5"/>
  <c r="C50" i="5"/>
  <c r="B50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15" i="5"/>
  <c r="K14" i="5"/>
  <c r="K13" i="5"/>
  <c r="K12" i="5"/>
  <c r="K11" i="5"/>
  <c r="H10" i="5"/>
  <c r="K9" i="5"/>
  <c r="K8" i="5"/>
  <c r="B6" i="5"/>
  <c r="K3" i="5"/>
  <c r="J3" i="5"/>
  <c r="I3" i="5"/>
  <c r="H3" i="5"/>
  <c r="G3" i="5"/>
  <c r="F3" i="5"/>
  <c r="E3" i="5"/>
  <c r="D3" i="5"/>
  <c r="C3" i="5"/>
  <c r="B3" i="5"/>
  <c r="B12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M19" i="3"/>
  <c r="L19" i="3"/>
  <c r="K19" i="3"/>
  <c r="J19" i="3"/>
  <c r="I19" i="3"/>
  <c r="F19" i="3"/>
  <c r="E19" i="3"/>
  <c r="D19" i="3"/>
  <c r="C19" i="3"/>
  <c r="B19" i="3"/>
  <c r="M14" i="3"/>
  <c r="L14" i="3"/>
  <c r="K14" i="3"/>
  <c r="J14" i="3"/>
  <c r="I14" i="3"/>
  <c r="F14" i="3"/>
  <c r="E14" i="3"/>
  <c r="D14" i="3"/>
  <c r="C14" i="3"/>
  <c r="B14" i="3"/>
  <c r="M9" i="3"/>
  <c r="L9" i="3"/>
  <c r="K9" i="3"/>
  <c r="J9" i="3"/>
  <c r="I9" i="3"/>
  <c r="F9" i="3"/>
  <c r="E9" i="3"/>
  <c r="D9" i="3"/>
  <c r="C9" i="3"/>
  <c r="B9" i="3"/>
  <c r="M4" i="3"/>
  <c r="L4" i="3"/>
  <c r="K4" i="3"/>
  <c r="J4" i="3"/>
  <c r="I4" i="3"/>
  <c r="E4" i="3"/>
  <c r="D4" i="3"/>
  <c r="C4" i="3"/>
  <c r="B4" i="3"/>
  <c r="B25" i="2"/>
  <c r="B24" i="2"/>
  <c r="M21" i="2"/>
  <c r="J21" i="2"/>
  <c r="I21" i="2"/>
  <c r="H21" i="2"/>
  <c r="G21" i="2"/>
  <c r="F21" i="2"/>
  <c r="E21" i="2"/>
  <c r="D21" i="2"/>
  <c r="C21" i="2"/>
  <c r="B21" i="2"/>
  <c r="M20" i="2"/>
  <c r="J20" i="2"/>
  <c r="I20" i="2"/>
  <c r="H20" i="2"/>
  <c r="G20" i="2"/>
  <c r="F20" i="2"/>
  <c r="E20" i="2"/>
  <c r="D20" i="2"/>
  <c r="C20" i="2"/>
  <c r="B20" i="2"/>
  <c r="M19" i="2"/>
  <c r="J19" i="2"/>
  <c r="M18" i="2"/>
  <c r="J18" i="2"/>
  <c r="B15" i="2"/>
  <c r="C14" i="2"/>
  <c r="B14" i="2"/>
  <c r="B13" i="2"/>
  <c r="B12" i="2"/>
  <c r="B11" i="2"/>
  <c r="M8" i="2"/>
  <c r="J8" i="2"/>
  <c r="I8" i="2"/>
  <c r="H8" i="2"/>
  <c r="G8" i="2"/>
  <c r="F8" i="2"/>
  <c r="E8" i="2"/>
  <c r="D8" i="2"/>
  <c r="C8" i="2"/>
  <c r="B8" i="2"/>
  <c r="M7" i="2"/>
  <c r="J7" i="2"/>
  <c r="I7" i="2"/>
  <c r="H7" i="2"/>
  <c r="G7" i="2"/>
  <c r="F7" i="2"/>
  <c r="E7" i="2"/>
  <c r="D7" i="2"/>
  <c r="C7" i="2"/>
  <c r="B7" i="2"/>
  <c r="M6" i="2"/>
  <c r="J6" i="2"/>
  <c r="I6" i="2"/>
  <c r="H6" i="2"/>
  <c r="G6" i="2"/>
  <c r="F6" i="2"/>
  <c r="E6" i="2"/>
  <c r="D6" i="2"/>
  <c r="C6" i="2"/>
  <c r="B6" i="2"/>
  <c r="M5" i="2"/>
  <c r="J5" i="2"/>
  <c r="I5" i="2"/>
  <c r="H5" i="2"/>
  <c r="G5" i="2"/>
  <c r="F5" i="2"/>
  <c r="E5" i="2"/>
  <c r="D5" i="2"/>
  <c r="C5" i="2"/>
  <c r="B5" i="2"/>
  <c r="M4" i="2"/>
  <c r="J4" i="2"/>
  <c r="I4" i="2"/>
  <c r="H4" i="2"/>
  <c r="G4" i="2"/>
  <c r="F4" i="2"/>
  <c r="E4" i="2"/>
  <c r="D4" i="2"/>
  <c r="C4" i="2"/>
  <c r="B4" i="2"/>
  <c r="J1" i="2"/>
  <c r="B20" i="1"/>
  <c r="F19" i="1"/>
  <c r="B19" i="1"/>
  <c r="B18" i="1"/>
  <c r="G17" i="1"/>
  <c r="B17" i="1"/>
  <c r="A17" i="1"/>
  <c r="G16" i="1"/>
  <c r="B16" i="1"/>
  <c r="A16" i="1"/>
  <c r="G15" i="1"/>
  <c r="B15" i="1"/>
  <c r="A15" i="1"/>
  <c r="G14" i="1"/>
  <c r="B14" i="1"/>
  <c r="A14" i="1"/>
  <c r="G13" i="1"/>
  <c r="G12" i="1"/>
  <c r="D12" i="1"/>
  <c r="G11" i="1"/>
  <c r="D11" i="1"/>
  <c r="D10" i="1"/>
  <c r="B10" i="1"/>
  <c r="A10" i="1"/>
  <c r="G9" i="1"/>
  <c r="D9" i="1"/>
  <c r="C9" i="1"/>
  <c r="B9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G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D4" i="1"/>
  <c r="C4" i="1"/>
  <c r="B4" i="1"/>
  <c r="T3" i="1"/>
  <c r="D3" i="1"/>
  <c r="C3" i="1"/>
  <c r="B3" i="1"/>
  <c r="T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<sst xmlns="http://schemas.openxmlformats.org/spreadsheetml/2006/main" count="402" uniqueCount="256">
  <si>
    <t>D</t>
  </si>
  <si>
    <t>t</t>
  </si>
  <si>
    <t>Ua</t>
  </si>
  <si>
    <t>x</t>
  </si>
  <si>
    <t>Ub</t>
  </si>
  <si>
    <t>y</t>
  </si>
  <si>
    <t>x^2</t>
  </si>
  <si>
    <t>Ud</t>
  </si>
  <si>
    <t>x*y</t>
  </si>
  <si>
    <t>(yi-a-bxi)^2</t>
  </si>
  <si>
    <t>xi-x</t>
  </si>
  <si>
    <t>B</t>
  </si>
  <si>
    <t>b</t>
  </si>
  <si>
    <t>a</t>
  </si>
  <si>
    <t>sy</t>
  </si>
  <si>
    <t>sb</t>
  </si>
  <si>
    <t>sa</t>
  </si>
  <si>
    <t>F</t>
  </si>
  <si>
    <t>V+</t>
  </si>
  <si>
    <t>V-</t>
  </si>
  <si>
    <t>V</t>
  </si>
  <si>
    <t>F^2</t>
  </si>
  <si>
    <t>F*V</t>
  </si>
  <si>
    <t>F-F均</t>
  </si>
  <si>
    <t>V1</t>
  </si>
  <si>
    <t>sv1</t>
  </si>
  <si>
    <t>V2</t>
  </si>
  <si>
    <t>sv2</t>
  </si>
  <si>
    <t>V1-V1.ave^2</t>
  </si>
  <si>
    <t>Uv1</t>
  </si>
  <si>
    <t>V2-V2.ave^2</t>
  </si>
  <si>
    <t>Uv2</t>
  </si>
  <si>
    <t>α</t>
  </si>
  <si>
    <t>Uα</t>
  </si>
  <si>
    <t>零点</t>
  </si>
  <si>
    <t>ave</t>
  </si>
  <si>
    <t>0.15g/ml</t>
  </si>
  <si>
    <t>左</t>
  </si>
  <si>
    <t>右</t>
  </si>
  <si>
    <t>ψ</t>
  </si>
  <si>
    <t>0.05g/ml</t>
  </si>
  <si>
    <t>0.2g/ml</t>
  </si>
  <si>
    <t>0.1g/ml</t>
  </si>
  <si>
    <t>0.25g/ml</t>
  </si>
  <si>
    <t>0.125g/ml</t>
  </si>
  <si>
    <t>未知</t>
  </si>
  <si>
    <t>I2/mA</t>
  </si>
  <si>
    <t>B/Gs</t>
  </si>
  <si>
    <t>I1/mA↑</t>
  </si>
  <si>
    <t>R/Ω</t>
  </si>
  <si>
    <t>I1/mA↓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</si>
  <si>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N结</t>
    </r>
  </si>
  <si>
    <r>
      <rPr>
        <sz val="12"/>
        <rFont val="宋体"/>
        <charset val="134"/>
      </rPr>
      <t>t/</t>
    </r>
    <r>
      <rPr>
        <sz val="12"/>
        <rFont val="宋体"/>
        <charset val="134"/>
      </rPr>
      <t>℃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</si>
  <si>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/K</t>
    </r>
  </si>
  <si>
    <t>U/V</t>
  </si>
  <si>
    <t>k=-α·q/ln(c/I)</t>
  </si>
  <si>
    <t>q</t>
  </si>
  <si>
    <t>c</t>
  </si>
  <si>
    <t>I</t>
  </si>
  <si>
    <t>  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</si>
  <si>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g0=q*U0</t>
    </r>
  </si>
  <si>
    <t>温度系数α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</si>
  <si>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</si>
  <si>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r</t>
    </r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</si>
  <si>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2</t>
    </r>
  </si>
  <si>
    <t>Sy</t>
  </si>
  <si>
    <t>Sb</t>
  </si>
  <si>
    <t>Sa</t>
  </si>
  <si>
    <t>Uy0</t>
  </si>
  <si>
    <t>热敏电阻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</si>
  <si>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/℃</t>
    </r>
  </si>
  <si>
    <t>T/K</t>
  </si>
  <si>
    <t>1/T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</si>
  <si>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/V</t>
    </r>
  </si>
  <si>
    <t>lnR</t>
  </si>
  <si>
    <t>热电偶</t>
  </si>
  <si>
    <t>E/mv</t>
  </si>
  <si>
    <t>牛顿环</t>
  </si>
  <si>
    <r>
      <rPr>
        <sz val="12"/>
        <rFont val="宋体"/>
        <charset val="134"/>
      </rPr>
      <t>外/</t>
    </r>
    <r>
      <rPr>
        <sz val="12"/>
        <rFont val="宋体"/>
        <charset val="134"/>
      </rPr>
      <t>mm</t>
    </r>
  </si>
  <si>
    <r>
      <rPr>
        <sz val="12"/>
        <rFont val="宋体"/>
        <charset val="134"/>
      </rPr>
      <t>内/</t>
    </r>
    <r>
      <rPr>
        <sz val="12"/>
        <rFont val="宋体"/>
        <charset val="134"/>
      </rPr>
      <t>mm</t>
    </r>
  </si>
  <si>
    <t>直径/mm</t>
  </si>
  <si>
    <t>m/n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</si>
  <si>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1/6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</si>
  <si>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2/7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</si>
  <si>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3/8</t>
    </r>
  </si>
  <si>
    <t>14/9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</si>
  <si>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5/10</t>
    </r>
  </si>
  <si>
    <r>
      <rPr>
        <sz val="10.5"/>
        <rFont val="宋体"/>
        <charset val="134"/>
      </rPr>
      <t>D</t>
    </r>
    <r>
      <rPr>
        <vertAlign val="subscript"/>
        <sz val="10.5"/>
        <rFont val="宋体"/>
        <charset val="134"/>
      </rPr>
      <t>m</t>
    </r>
    <r>
      <rPr>
        <vertAlign val="superscript"/>
        <sz val="10.5"/>
        <rFont val="宋体"/>
        <charset val="134"/>
      </rPr>
      <t>2</t>
    </r>
    <r>
      <rPr>
        <sz val="10.5"/>
        <rFont val="宋体"/>
        <charset val="134"/>
      </rPr>
      <t>-D</t>
    </r>
    <r>
      <rPr>
        <vertAlign val="subscript"/>
        <sz val="10.5"/>
        <rFont val="宋体"/>
        <charset val="134"/>
      </rPr>
      <t>n</t>
    </r>
    <r>
      <rPr>
        <vertAlign val="superscript"/>
        <sz val="10.5"/>
        <rFont val="宋体"/>
        <charset val="134"/>
      </rPr>
      <t>2</t>
    </r>
  </si>
  <si>
    <t>m-n</t>
  </si>
  <si>
    <t>R/mm</t>
  </si>
  <si>
    <r>
      <rPr>
        <sz val="10"/>
        <rFont val="宋体"/>
        <charset val="134"/>
      </rPr>
      <t>S</t>
    </r>
    <r>
      <rPr>
        <vertAlign val="subscript"/>
        <sz val="10"/>
        <rFont val="宋体"/>
        <charset val="134"/>
      </rPr>
      <t>R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</si>
  <si>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RA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</si>
  <si>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RB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</si>
  <si>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R</t>
    </r>
  </si>
  <si>
    <t>劈尖</t>
  </si>
  <si>
    <t>右/mm</t>
  </si>
  <si>
    <t>L</t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</si>
  <si>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LA</t>
    </r>
  </si>
  <si>
    <t>左/mm</t>
  </si>
  <si>
    <r>
      <rPr>
        <sz val="10"/>
        <rFont val="宋体"/>
        <charset val="134"/>
      </rPr>
      <t>S</t>
    </r>
    <r>
      <rPr>
        <vertAlign val="subscript"/>
        <sz val="10"/>
        <rFont val="宋体"/>
        <charset val="134"/>
      </rPr>
      <t>L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</si>
  <si>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LB</t>
    </r>
  </si>
  <si>
    <t>L/mm</t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</si>
  <si>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</t>
    </r>
  </si>
  <si>
    <t>l</t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</si>
  <si>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lA</t>
    </r>
  </si>
  <si>
    <r>
      <rPr>
        <sz val="10"/>
        <rFont val="宋体"/>
        <charset val="134"/>
      </rPr>
      <t>S</t>
    </r>
    <r>
      <rPr>
        <vertAlign val="subscript"/>
        <sz val="10"/>
        <rFont val="宋体"/>
        <charset val="134"/>
      </rPr>
      <t>l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</si>
  <si>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lB</t>
    </r>
  </si>
  <si>
    <t>l/mm</t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</si>
  <si>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l</t>
    </r>
  </si>
  <si>
    <t>d</t>
  </si>
  <si>
    <r>
      <rPr>
        <sz val="12"/>
        <rFont val="宋体"/>
        <charset val="134"/>
      </rPr>
      <t>U</t>
    </r>
    <r>
      <rPr>
        <sz val="8"/>
        <rFont val="宋体"/>
        <charset val="134"/>
      </rPr>
      <t>d</t>
    </r>
    <r>
      <rPr>
        <sz val="12"/>
        <rFont val="宋体"/>
        <charset val="134"/>
      </rPr>
      <t>/d</t>
    </r>
  </si>
  <si>
    <r>
      <rPr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d</t>
    </r>
  </si>
  <si>
    <t>样品一</t>
  </si>
  <si>
    <t>Hz</t>
  </si>
  <si>
    <t>L/m</t>
  </si>
  <si>
    <t>S/m2</t>
  </si>
  <si>
    <t>N1=N2=N3</t>
  </si>
  <si>
    <t>R1/Ω</t>
  </si>
  <si>
    <t>R2/kΩ</t>
  </si>
  <si>
    <t>C/μF</t>
  </si>
  <si>
    <t>Sx(V/div)</t>
  </si>
  <si>
    <t>Sy(mV/div)</t>
  </si>
  <si>
    <t>磁化曲线数据</t>
  </si>
  <si>
    <t>X/格</t>
  </si>
  <si>
    <t>Y/格</t>
  </si>
  <si>
    <t>磁滞回线数据</t>
  </si>
  <si>
    <t>Y1/格</t>
  </si>
  <si>
    <t>Y2/格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</si>
  <si>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/Y</t>
    </r>
  </si>
  <si>
    <t>μ0</t>
  </si>
  <si>
    <t>H/X</t>
  </si>
  <si>
    <t>磁化曲线/μ-H曲线</t>
  </si>
  <si>
    <t>H/A/m</t>
  </si>
  <si>
    <t>B/T</t>
  </si>
  <si>
    <t>μ/N/A2</t>
  </si>
  <si>
    <t>磁滞回线1</t>
  </si>
  <si>
    <t>B1/T</t>
  </si>
  <si>
    <t>B2/T</t>
  </si>
  <si>
    <t>磁滞回线2</t>
  </si>
  <si>
    <t>样品二</t>
  </si>
  <si>
    <t>磁滞回线3</t>
  </si>
  <si>
    <t>测He-Ne激光波长</t>
  </si>
  <si>
    <t>N</t>
  </si>
  <si>
    <t>d'/mm</t>
  </si>
  <si>
    <t>d /mm</t>
  </si>
  <si>
    <t>k</t>
  </si>
  <si>
    <r>
      <rPr>
        <sz val="12"/>
        <rFont val="宋体"/>
        <charset val="134"/>
      </rPr>
      <t>λ/</t>
    </r>
    <r>
      <rPr>
        <sz val="12"/>
        <rFont val="宋体"/>
        <charset val="134"/>
      </rPr>
      <t>mm</t>
    </r>
  </si>
  <si>
    <t>测空气折射率</t>
  </si>
  <si>
    <t>△p/kPa</t>
  </si>
  <si>
    <r>
      <rPr>
        <sz val="12"/>
        <rFont val="宋体"/>
        <charset val="134"/>
      </rPr>
      <t>p</t>
    </r>
    <r>
      <rPr>
        <sz val="8"/>
        <rFont val="宋体"/>
        <charset val="134"/>
      </rPr>
      <t>amb</t>
    </r>
    <r>
      <rPr>
        <sz val="10"/>
        <rFont val="宋体"/>
        <charset val="134"/>
      </rPr>
      <t>/kPa</t>
    </r>
  </si>
  <si>
    <t>n</t>
  </si>
  <si>
    <t>反射法测顶角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</si>
  <si>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4</t>
    </r>
  </si>
  <si>
    <t>s</t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</si>
  <si>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A(φ)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</si>
  <si>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α</t>
    </r>
  </si>
  <si>
    <r>
      <rPr>
        <sz val="12"/>
        <rFont val="宋体"/>
        <charset val="134"/>
      </rPr>
      <t>φ</t>
    </r>
    <r>
      <rPr>
        <sz val="9"/>
        <rFont val="宋体"/>
        <charset val="134"/>
      </rPr>
      <t>1</t>
    </r>
  </si>
  <si>
    <r>
      <rPr>
        <sz val="12"/>
        <rFont val="宋体"/>
        <charset val="134"/>
      </rPr>
      <t>φ'</t>
    </r>
    <r>
      <rPr>
        <sz val="9"/>
        <rFont val="宋体"/>
        <charset val="134"/>
      </rPr>
      <t>1</t>
    </r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</si>
  <si>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ad</t>
    </r>
  </si>
  <si>
    <r>
      <rPr>
        <sz val="12"/>
        <rFont val="宋体"/>
        <charset val="134"/>
      </rPr>
      <t>φ</t>
    </r>
    <r>
      <rPr>
        <sz val="9"/>
        <rFont val="宋体"/>
        <charset val="134"/>
      </rPr>
      <t>2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</si>
  <si>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A(α)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</si>
  <si>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B(α)</t>
    </r>
  </si>
  <si>
    <r>
      <rPr>
        <sz val="12"/>
        <rFont val="宋体"/>
        <charset val="134"/>
      </rPr>
      <t>φ</t>
    </r>
    <r>
      <rPr>
        <sz val="12"/>
        <rFont val="宋体"/>
        <charset val="134"/>
      </rPr>
      <t>'</t>
    </r>
    <r>
      <rPr>
        <sz val="9"/>
        <rFont val="宋体"/>
        <charset val="134"/>
      </rPr>
      <t>2</t>
    </r>
  </si>
  <si>
    <t>测最小偏向角(绿光)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</si>
  <si>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ve</t>
    </r>
  </si>
  <si>
    <r>
      <rPr>
        <sz val="12"/>
        <rFont val="宋体"/>
        <charset val="134"/>
      </rPr>
      <t>U</t>
    </r>
    <r>
      <rPr>
        <sz val="9"/>
        <rFont val="宋体"/>
        <charset val="134"/>
      </rPr>
      <t>A(φ)</t>
    </r>
  </si>
  <si>
    <r>
      <rPr>
        <sz val="12"/>
        <rFont val="宋体"/>
        <charset val="134"/>
      </rPr>
      <t>δ</t>
    </r>
    <r>
      <rPr>
        <sz val="10"/>
        <rFont val="宋体"/>
        <charset val="134"/>
      </rPr>
      <t>min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</si>
  <si>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δmin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</si>
  <si>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A(δmin)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</si>
  <si>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B(δmin)</t>
    </r>
  </si>
  <si>
    <t>计算折射率</t>
  </si>
  <si>
    <r>
      <rPr>
        <sz val="12"/>
        <rFont val="宋体"/>
        <charset val="134"/>
      </rPr>
      <t>U</t>
    </r>
    <r>
      <rPr>
        <sz val="11"/>
        <rFont val="宋体"/>
        <charset val="134"/>
      </rPr>
      <t>n</t>
    </r>
  </si>
  <si>
    <t>测量衍射角</t>
  </si>
  <si>
    <t>φk(°/rad)</t>
  </si>
  <si>
    <r>
      <rPr>
        <sz val="12"/>
        <rFont val="宋体"/>
        <charset val="134"/>
      </rPr>
      <t>λ/</t>
    </r>
    <r>
      <rPr>
        <sz val="12"/>
        <rFont val="宋体"/>
        <charset val="134"/>
      </rPr>
      <t>nm</t>
    </r>
  </si>
  <si>
    <t>d/nm</t>
  </si>
  <si>
    <t>（绿光）</t>
  </si>
  <si>
    <r>
      <rPr>
        <sz val="12"/>
        <rFont val="宋体"/>
        <charset val="134"/>
      </rPr>
      <t>θ</t>
    </r>
    <r>
      <rPr>
        <sz val="10"/>
        <rFont val="宋体"/>
        <charset val="134"/>
      </rPr>
      <t>-1</t>
    </r>
  </si>
  <si>
    <r>
      <rPr>
        <sz val="12"/>
        <rFont val="宋体"/>
        <charset val="134"/>
      </rPr>
      <t>θ'</t>
    </r>
    <r>
      <rPr>
        <sz val="10"/>
        <rFont val="宋体"/>
        <charset val="134"/>
      </rPr>
      <t>-1</t>
    </r>
  </si>
  <si>
    <r>
      <rPr>
        <sz val="12"/>
        <rFont val="宋体"/>
        <charset val="134"/>
      </rPr>
      <t>θ</t>
    </r>
    <r>
      <rPr>
        <sz val="10"/>
        <rFont val="宋体"/>
        <charset val="134"/>
      </rPr>
      <t>1</t>
    </r>
  </si>
  <si>
    <r>
      <rPr>
        <sz val="12"/>
        <rFont val="宋体"/>
        <charset val="134"/>
      </rPr>
      <t>θ'</t>
    </r>
    <r>
      <rPr>
        <sz val="10"/>
        <rFont val="宋体"/>
        <charset val="134"/>
      </rPr>
      <t>1</t>
    </r>
  </si>
  <si>
    <r>
      <rPr>
        <sz val="12"/>
        <rFont val="宋体"/>
        <charset val="134"/>
      </rPr>
      <t>θ</t>
    </r>
    <r>
      <rPr>
        <sz val="10"/>
        <rFont val="宋体"/>
        <charset val="134"/>
      </rPr>
      <t>-2</t>
    </r>
  </si>
  <si>
    <r>
      <rPr>
        <sz val="12"/>
        <rFont val="宋体"/>
        <charset val="134"/>
      </rPr>
      <t>θ'</t>
    </r>
    <r>
      <rPr>
        <sz val="10"/>
        <rFont val="宋体"/>
        <charset val="134"/>
      </rPr>
      <t>-2</t>
    </r>
  </si>
  <si>
    <r>
      <rPr>
        <sz val="12"/>
        <rFont val="宋体"/>
        <charset val="134"/>
      </rPr>
      <t>θ</t>
    </r>
    <r>
      <rPr>
        <sz val="10"/>
        <rFont val="宋体"/>
        <charset val="134"/>
      </rPr>
      <t>2</t>
    </r>
  </si>
  <si>
    <r>
      <rPr>
        <sz val="12"/>
        <rFont val="宋体"/>
        <charset val="134"/>
      </rPr>
      <t>θ'</t>
    </r>
    <r>
      <rPr>
        <sz val="10"/>
        <rFont val="宋体"/>
        <charset val="134"/>
      </rPr>
      <t>2</t>
    </r>
  </si>
  <si>
    <t>(紫光)</t>
  </si>
  <si>
    <t>E</t>
  </si>
  <si>
    <t>D(rad/nm)</t>
  </si>
  <si>
    <t>自准直法测焦距</t>
  </si>
  <si>
    <t>P屏/cm</t>
  </si>
  <si>
    <t>L透镜/cm</t>
  </si>
  <si>
    <t>焦距f/mm</t>
  </si>
  <si>
    <t>衍射条纹位置</t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</si>
  <si>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-3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</si>
  <si>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-2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</si>
  <si>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-1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</si>
  <si>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0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</si>
  <si>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1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</si>
  <si>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2</t>
    </r>
  </si>
  <si>
    <r>
      <rPr>
        <sz val="12"/>
        <rFont val="宋体"/>
        <charset val="134"/>
      </rPr>
      <t>l</t>
    </r>
    <r>
      <rPr>
        <sz val="10"/>
        <rFont val="宋体"/>
        <charset val="134"/>
      </rPr>
      <t>3</t>
    </r>
  </si>
  <si>
    <r>
      <rPr>
        <sz val="12"/>
        <rFont val="宋体"/>
        <charset val="134"/>
      </rPr>
      <t>Δl</t>
    </r>
    <r>
      <rPr>
        <sz val="10"/>
        <rFont val="宋体"/>
        <charset val="134"/>
      </rPr>
      <t>1</t>
    </r>
  </si>
  <si>
    <t>ν/kHz</t>
  </si>
  <si>
    <r>
      <rPr>
        <sz val="12"/>
        <rFont val="宋体"/>
        <charset val="134"/>
      </rPr>
      <t>Δl</t>
    </r>
    <r>
      <rPr>
        <sz val="10"/>
        <rFont val="宋体"/>
        <charset val="134"/>
      </rPr>
      <t>2</t>
    </r>
  </si>
  <si>
    <t>λ/mm</t>
  </si>
  <si>
    <t>d=λs/mm</t>
  </si>
  <si>
    <t>v(m/s)</t>
  </si>
  <si>
    <t>测量暗电流</t>
  </si>
  <si>
    <t>i=a+bU</t>
  </si>
  <si>
    <t>i/10^-11A</t>
  </si>
  <si>
    <t>U-I曲线</t>
  </si>
  <si>
    <t>400.0nm</t>
  </si>
  <si>
    <t>I'/10^-11A</t>
  </si>
  <si>
    <t>I/10^-11A</t>
  </si>
  <si>
    <t>428.5nm</t>
  </si>
  <si>
    <t>461.5nm</t>
  </si>
  <si>
    <t>500.0nm</t>
  </si>
  <si>
    <t>545.5nm</t>
  </si>
  <si>
    <t>λ/nm</t>
  </si>
  <si>
    <t>ν/10^14Hz</t>
  </si>
  <si>
    <t>Ua/V</t>
  </si>
  <si>
    <t>斜率h/e</t>
  </si>
  <si>
    <t>截距A/e</t>
  </si>
  <si>
    <t>与横轴交点</t>
  </si>
  <si>
    <t>h/10^-34J·s</t>
  </si>
  <si>
    <t>A/10^-19J</t>
  </si>
  <si>
    <t>时差法测声速</t>
  </si>
  <si>
    <t>t/10^-6s</t>
  </si>
  <si>
    <t>L/cm</t>
  </si>
  <si>
    <r>
      <rPr>
        <sz val="12"/>
        <rFont val="宋体"/>
        <charset val="134"/>
      </rPr>
      <t>u</t>
    </r>
    <r>
      <rPr>
        <sz val="9"/>
        <rFont val="宋体"/>
        <charset val="134"/>
      </rPr>
      <t>0(m/s)</t>
    </r>
  </si>
  <si>
    <t>多普勒瞬时法测声速</t>
  </si>
  <si>
    <t>f/Hz</t>
  </si>
  <si>
    <r>
      <rPr>
        <sz val="12"/>
        <rFont val="宋体"/>
        <charset val="134"/>
      </rPr>
      <t>f</t>
    </r>
    <r>
      <rPr>
        <sz val="10"/>
        <rFont val="宋体"/>
        <charset val="134"/>
      </rPr>
      <t>+/Hz</t>
    </r>
  </si>
  <si>
    <r>
      <rPr>
        <sz val="12"/>
        <rFont val="宋体"/>
        <charset val="134"/>
      </rPr>
      <t>f</t>
    </r>
    <r>
      <rPr>
        <sz val="10"/>
        <rFont val="宋体"/>
        <charset val="134"/>
      </rPr>
      <t>-/Hz</t>
    </r>
  </si>
  <si>
    <r>
      <rPr>
        <sz val="12"/>
        <rFont val="宋体"/>
        <charset val="134"/>
      </rPr>
      <t>V</t>
    </r>
    <r>
      <rPr>
        <sz val="10"/>
        <rFont val="宋体"/>
        <charset val="134"/>
      </rPr>
      <t>+(m/s)</t>
    </r>
  </si>
  <si>
    <r>
      <rPr>
        <sz val="12"/>
        <rFont val="宋体"/>
        <charset val="134"/>
      </rPr>
      <t>V-</t>
    </r>
    <r>
      <rPr>
        <sz val="10"/>
        <rFont val="宋体"/>
        <charset val="134"/>
      </rPr>
      <t>(m/s)</t>
    </r>
  </si>
  <si>
    <r>
      <rPr>
        <sz val="12"/>
        <rFont val="宋体"/>
        <charset val="134"/>
      </rPr>
      <t>u</t>
    </r>
    <r>
      <rPr>
        <sz val="8"/>
        <rFont val="宋体"/>
        <charset val="134"/>
      </rPr>
      <t>0(m/s)</t>
    </r>
  </si>
  <si>
    <r>
      <rPr>
        <sz val="12"/>
        <rFont val="宋体"/>
        <charset val="134"/>
      </rPr>
      <t>U</t>
    </r>
    <r>
      <rPr>
        <sz val="10"/>
        <rFont val="宋体"/>
        <charset val="134"/>
      </rPr>
      <t>f0</t>
    </r>
    <r>
      <rPr>
        <sz val="12"/>
        <rFont val="宋体"/>
        <charset val="134"/>
      </rPr>
      <t>=U</t>
    </r>
    <r>
      <rPr>
        <sz val="10"/>
        <rFont val="宋体"/>
        <charset val="134"/>
      </rPr>
      <t>f+</t>
    </r>
    <r>
      <rPr>
        <sz val="12"/>
        <rFont val="宋体"/>
        <charset val="134"/>
      </rPr>
      <t>=U</t>
    </r>
    <r>
      <rPr>
        <sz val="10"/>
        <rFont val="宋体"/>
        <charset val="134"/>
      </rPr>
      <t>f-(Hz)</t>
    </r>
  </si>
  <si>
    <t>Uv+=Uv-(m/s)</t>
  </si>
  <si>
    <r>
      <rPr>
        <sz val="12"/>
        <rFont val="宋体"/>
        <charset val="134"/>
      </rPr>
      <t>U</t>
    </r>
    <r>
      <rPr>
        <sz val="9"/>
        <rFont val="宋体"/>
        <charset val="134"/>
      </rPr>
      <t>u0</t>
    </r>
    <r>
      <rPr>
        <sz val="12"/>
        <rFont val="宋体"/>
        <charset val="134"/>
      </rPr>
      <t>/u</t>
    </r>
    <r>
      <rPr>
        <sz val="9"/>
        <rFont val="宋体"/>
        <charset val="134"/>
      </rPr>
      <t>0</t>
    </r>
  </si>
  <si>
    <r>
      <rPr>
        <sz val="12"/>
        <rFont val="宋体"/>
        <charset val="134"/>
      </rPr>
      <t>U</t>
    </r>
    <r>
      <rPr>
        <sz val="9"/>
        <rFont val="宋体"/>
        <charset val="134"/>
      </rPr>
      <t>u0</t>
    </r>
  </si>
  <si>
    <t>t/°C</t>
  </si>
  <si>
    <r>
      <rPr>
        <sz val="14"/>
        <rFont val="宋体"/>
        <charset val="134"/>
      </rPr>
      <t>u</t>
    </r>
    <r>
      <rPr>
        <sz val="8"/>
        <rFont val="宋体"/>
        <charset val="134"/>
      </rPr>
      <t>0理论</t>
    </r>
  </si>
  <si>
    <t>已知声速测物体运动速度</t>
  </si>
  <si>
    <t>数据点</t>
  </si>
  <si>
    <t>t/ms</t>
  </si>
  <si>
    <t>自动测量</t>
    <phoneticPr fontId="5" type="noConversion"/>
  </si>
  <si>
    <r>
      <t>U</t>
    </r>
    <r>
      <rPr>
        <sz val="9"/>
        <rFont val="宋体"/>
        <family val="3"/>
        <charset val="134"/>
      </rPr>
      <t>G2K</t>
    </r>
    <r>
      <rPr>
        <sz val="12"/>
        <rFont val="宋体"/>
        <charset val="134"/>
      </rPr>
      <t>/V</t>
    </r>
    <phoneticPr fontId="5" type="noConversion"/>
  </si>
  <si>
    <t>手动测量</t>
    <phoneticPr fontId="5" type="noConversion"/>
  </si>
  <si>
    <t>I/10^-12A</t>
    <phoneticPr fontId="5" type="noConversion"/>
  </si>
  <si>
    <t>n</t>
    <phoneticPr fontId="5" type="noConversion"/>
  </si>
  <si>
    <r>
      <t>U</t>
    </r>
    <r>
      <rPr>
        <sz val="9"/>
        <rFont val="宋体"/>
        <family val="3"/>
        <charset val="134"/>
      </rPr>
      <t>G2K</t>
    </r>
    <r>
      <rPr>
        <sz val="12"/>
        <rFont val="宋体"/>
        <family val="3"/>
        <charset val="134"/>
      </rPr>
      <t>/V</t>
    </r>
    <phoneticPr fontId="5" type="noConversion"/>
  </si>
  <si>
    <t>a</t>
    <phoneticPr fontId="5" type="noConversion"/>
  </si>
  <si>
    <t>ΔU</t>
    <phoneticPr fontId="5" type="noConversion"/>
  </si>
  <si>
    <r>
      <rPr>
        <sz val="13"/>
        <rFont val="宋体"/>
        <family val="3"/>
        <charset val="134"/>
      </rPr>
      <t>s</t>
    </r>
    <r>
      <rPr>
        <sz val="8"/>
        <rFont val="宋体"/>
        <family val="3"/>
        <charset val="134"/>
      </rPr>
      <t>Δu</t>
    </r>
    <phoneticPr fontId="5" type="noConversion"/>
  </si>
  <si>
    <r>
      <t>U</t>
    </r>
    <r>
      <rPr>
        <sz val="9"/>
        <rFont val="宋体"/>
        <family val="3"/>
        <charset val="134"/>
      </rPr>
      <t>ΔU</t>
    </r>
    <phoneticPr fontId="5" type="noConversion"/>
  </si>
  <si>
    <r>
      <t>t</t>
    </r>
    <r>
      <rPr>
        <sz val="8"/>
        <rFont val="宋体"/>
        <family val="3"/>
        <charset val="134"/>
      </rPr>
      <t>4</t>
    </r>
    <r>
      <rPr>
        <sz val="12"/>
        <rFont val="宋体"/>
        <family val="3"/>
        <charset val="134"/>
      </rPr>
      <t>(0.95)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</si>
</sst>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"/>
    <numFmt numFmtId="177" formatCode="0_ "/>
    <numFmt numFmtId="178" formatCode="0.0000000"/>
    <numFmt numFmtId="179" formatCode="0.000"/>
    <numFmt numFmtId="180" formatCode="0.000_ "/>
    <numFmt numFmtId="182" formatCode="0.0000"/>
    <numFmt numFmtId="184" formatCode="0.00000"/>
    <numFmt numFmtId="185" formatCode="0.0_ "/>
    <numFmt numFmtId="186" formatCode="h:mm;@"/>
    <numFmt numFmtId="187" formatCode="0.0000E+00"/>
    <numFmt numFmtId="188" formatCode="0.000%"/>
  </numFmts>
  <fonts count="18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6"/>
      <name val="宋体"/>
      <charset val="134"/>
    </font>
    <font>
      <sz val="8"/>
      <name val="宋体"/>
      <charset val="134"/>
    </font>
    <font>
      <sz val="10.5"/>
      <name val="宋体"/>
      <charset val="134"/>
    </font>
    <font>
      <sz val="14"/>
      <name val="宋体"/>
      <charset val="134"/>
    </font>
    <font>
      <vertAlign val="subscript"/>
      <sz val="10.5"/>
      <name val="宋体"/>
      <charset val="134"/>
    </font>
    <font>
      <vertAlign val="superscript"/>
      <sz val="10.5"/>
      <name val="宋体"/>
      <charset val="134"/>
    </font>
    <font>
      <vertAlign val="subscript"/>
      <sz val="1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2" fontId="2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8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86" fontId="0" fillId="0" borderId="0" xfId="0" applyNumberFormat="1">
      <alignment vertical="center"/>
    </xf>
    <xf numFmtId="2" fontId="0" fillId="0" borderId="0" xfId="0" applyNumberFormat="1" applyFont="1">
      <alignment vertical="center"/>
    </xf>
    <xf numFmtId="0" fontId="7" fillId="0" borderId="0" xfId="0" applyFont="1">
      <alignment vertical="center"/>
    </xf>
    <xf numFmtId="18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8" fillId="0" borderId="1" xfId="0" applyFont="1" applyBorder="1" applyAlignment="1">
      <alignment horizontal="justify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2" xfId="0" applyFont="1" applyBorder="1" applyAlignment="1">
      <alignment horizontal="justify" vertical="center" wrapText="1"/>
    </xf>
    <xf numFmtId="182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2" fillId="0" borderId="2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3" borderId="0" xfId="0" applyNumberFormat="1" applyFill="1">
      <alignment vertical="center"/>
    </xf>
    <xf numFmtId="1" fontId="0" fillId="4" borderId="0" xfId="0" applyNumberFormat="1" applyFill="1">
      <alignment vertical="center"/>
    </xf>
    <xf numFmtId="1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6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26377952755902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PN结!$A$4</c:f>
              <c:strCache>
                <c:ptCount val="1"/>
                <c:pt idx="0">
                  <c:v>U/V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PN结!$B$3:$K$3</c:f>
              <c:numCache>
                <c:formatCode>General</c:formatCode>
                <c:ptCount val="10"/>
                <c:pt idx="0">
                  <c:v>303.05</c:v>
                </c:pt>
                <c:pt idx="1">
                  <c:v>308.14999999999998</c:v>
                </c:pt>
                <c:pt idx="2">
                  <c:v>313.14999999999998</c:v>
                </c:pt>
                <c:pt idx="3">
                  <c:v>318.14999999999998</c:v>
                </c:pt>
                <c:pt idx="4">
                  <c:v>323.14999999999998</c:v>
                </c:pt>
                <c:pt idx="5">
                  <c:v>328.35</c:v>
                </c:pt>
                <c:pt idx="6">
                  <c:v>333.15</c:v>
                </c:pt>
                <c:pt idx="7">
                  <c:v>338.15</c:v>
                </c:pt>
                <c:pt idx="8">
                  <c:v>343.15</c:v>
                </c:pt>
                <c:pt idx="9">
                  <c:v>348.15</c:v>
                </c:pt>
              </c:numCache>
            </c:numRef>
          </c:xVal>
          <c:yVal>
            <c:numRef>
              <c:f>PN结!$B$4:$K$4</c:f>
              <c:numCache>
                <c:formatCode>General</c:formatCode>
                <c:ptCount val="10"/>
                <c:pt idx="0">
                  <c:v>0.52239999999999998</c:v>
                </c:pt>
                <c:pt idx="1">
                  <c:v>0.51049999999999995</c:v>
                </c:pt>
                <c:pt idx="2">
                  <c:v>0.49840000000000001</c:v>
                </c:pt>
                <c:pt idx="3">
                  <c:v>0.48570000000000002</c:v>
                </c:pt>
                <c:pt idx="4">
                  <c:v>0.47439999999999999</c:v>
                </c:pt>
                <c:pt idx="5">
                  <c:v>0.4627</c:v>
                </c:pt>
                <c:pt idx="6">
                  <c:v>0.45100000000000001</c:v>
                </c:pt>
                <c:pt idx="7">
                  <c:v>0.42899999999999999</c:v>
                </c:pt>
                <c:pt idx="8">
                  <c:v>0.42730000000000001</c:v>
                </c:pt>
                <c:pt idx="9">
                  <c:v>0.41539999999999999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2272"/>
        <c:axId val="225704192"/>
      </c:scatterChart>
      <c:valAx>
        <c:axId val="225702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04192"/>
        <c:crosses val="autoZero"/>
        <c:crossBetween val="midCat"/>
      </c:valAx>
      <c:valAx>
        <c:axId val="225704192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02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33902466973304E-2"/>
          <c:y val="6.3709656530429898E-2"/>
          <c:w val="0.71632720546106399"/>
          <c:h val="0.8445841942162990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光电效应!$B$18:$V$18</c:f>
              <c:numCache>
                <c:formatCode>0.00</c:formatCode>
                <c:ptCount val="21"/>
                <c:pt idx="0">
                  <c:v>-3.5</c:v>
                </c:pt>
                <c:pt idx="1">
                  <c:v>-3.26</c:v>
                </c:pt>
                <c:pt idx="2">
                  <c:v>-2.96</c:v>
                </c:pt>
                <c:pt idx="3">
                  <c:v>-2.68</c:v>
                </c:pt>
                <c:pt idx="4">
                  <c:v>-2.44</c:v>
                </c:pt>
                <c:pt idx="5">
                  <c:v>-2.21</c:v>
                </c:pt>
                <c:pt idx="6">
                  <c:v>-2.0299999999999998</c:v>
                </c:pt>
                <c:pt idx="7">
                  <c:v>-1.87</c:v>
                </c:pt>
                <c:pt idx="8">
                  <c:v>-1.73</c:v>
                </c:pt>
                <c:pt idx="9">
                  <c:v>-1.62</c:v>
                </c:pt>
                <c:pt idx="10">
                  <c:v>-1.51</c:v>
                </c:pt>
                <c:pt idx="11">
                  <c:v>-1.44</c:v>
                </c:pt>
                <c:pt idx="12">
                  <c:v>-1.37</c:v>
                </c:pt>
                <c:pt idx="13">
                  <c:v>-1.3</c:v>
                </c:pt>
                <c:pt idx="14">
                  <c:v>-1.25</c:v>
                </c:pt>
                <c:pt idx="15">
                  <c:v>-1.22</c:v>
                </c:pt>
                <c:pt idx="16">
                  <c:v>-1.1000000000000001</c:v>
                </c:pt>
                <c:pt idx="17">
                  <c:v>-1.01</c:v>
                </c:pt>
                <c:pt idx="18">
                  <c:v>-0.94</c:v>
                </c:pt>
                <c:pt idx="19">
                  <c:v>-0.9</c:v>
                </c:pt>
                <c:pt idx="20">
                  <c:v>-0.86</c:v>
                </c:pt>
              </c:numCache>
            </c:numRef>
          </c:xVal>
          <c:yVal>
            <c:numRef>
              <c:f>光电效应!$B$20:$V$20</c:f>
              <c:numCache>
                <c:formatCode>0.0_ </c:formatCode>
                <c:ptCount val="21"/>
                <c:pt idx="0">
                  <c:v>-77.633333333333297</c:v>
                </c:pt>
                <c:pt idx="1">
                  <c:v>-77.300761904761899</c:v>
                </c:pt>
                <c:pt idx="2">
                  <c:v>-76.135047619047597</c:v>
                </c:pt>
                <c:pt idx="3">
                  <c:v>-74.913714285714306</c:v>
                </c:pt>
                <c:pt idx="4">
                  <c:v>-73.581142857142893</c:v>
                </c:pt>
                <c:pt idx="5">
                  <c:v>-72.2207619047619</c:v>
                </c:pt>
                <c:pt idx="6">
                  <c:v>-70.721333333333305</c:v>
                </c:pt>
                <c:pt idx="7">
                  <c:v>-69.166285714285706</c:v>
                </c:pt>
                <c:pt idx="8">
                  <c:v>-67.555619047619004</c:v>
                </c:pt>
                <c:pt idx="9">
                  <c:v>-65.861523809523803</c:v>
                </c:pt>
                <c:pt idx="10">
                  <c:v>-64.167428571428601</c:v>
                </c:pt>
                <c:pt idx="11">
                  <c:v>-62.362095238095201</c:v>
                </c:pt>
                <c:pt idx="12">
                  <c:v>-60.556761904761899</c:v>
                </c:pt>
                <c:pt idx="13">
                  <c:v>-58.751428571428598</c:v>
                </c:pt>
                <c:pt idx="14">
                  <c:v>-56.8904761904762</c:v>
                </c:pt>
                <c:pt idx="15">
                  <c:v>-54.973904761904798</c:v>
                </c:pt>
                <c:pt idx="16">
                  <c:v>-45.307619047618999</c:v>
                </c:pt>
                <c:pt idx="17">
                  <c:v>-35.557904761904801</c:v>
                </c:pt>
                <c:pt idx="18">
                  <c:v>-19.7525714285714</c:v>
                </c:pt>
                <c:pt idx="19">
                  <c:v>-7.86380952380952</c:v>
                </c:pt>
                <c:pt idx="20">
                  <c:v>2.0249523809523802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40544"/>
        <c:axId val="229742464"/>
      </c:scatterChart>
      <c:valAx>
        <c:axId val="229740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42464"/>
        <c:crosses val="autoZero"/>
        <c:crossBetween val="midCat"/>
      </c:valAx>
      <c:valAx>
        <c:axId val="2297424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40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光电效应!$B$24:$R$24</c:f>
              <c:numCache>
                <c:formatCode>General</c:formatCode>
                <c:ptCount val="17"/>
                <c:pt idx="0">
                  <c:v>-3.5</c:v>
                </c:pt>
                <c:pt idx="1">
                  <c:v>-3.08</c:v>
                </c:pt>
                <c:pt idx="2" formatCode="0.00">
                  <c:v>-2.66</c:v>
                </c:pt>
                <c:pt idx="3">
                  <c:v>-2.36</c:v>
                </c:pt>
                <c:pt idx="4">
                  <c:v>-2.08</c:v>
                </c:pt>
                <c:pt idx="5">
                  <c:v>-1.85</c:v>
                </c:pt>
                <c:pt idx="6">
                  <c:v>-1.68</c:v>
                </c:pt>
                <c:pt idx="7">
                  <c:v>-1.55</c:v>
                </c:pt>
                <c:pt idx="8">
                  <c:v>-1.44</c:v>
                </c:pt>
                <c:pt idx="9">
                  <c:v>-1.34</c:v>
                </c:pt>
                <c:pt idx="10" formatCode="0.00">
                  <c:v>-1.25</c:v>
                </c:pt>
                <c:pt idx="11">
                  <c:v>-1.1499999999999999</c:v>
                </c:pt>
                <c:pt idx="12">
                  <c:v>-1.05</c:v>
                </c:pt>
                <c:pt idx="13">
                  <c:v>-0.95</c:v>
                </c:pt>
                <c:pt idx="14">
                  <c:v>-0.85</c:v>
                </c:pt>
                <c:pt idx="15">
                  <c:v>-0.75</c:v>
                </c:pt>
                <c:pt idx="16">
                  <c:v>-0.74</c:v>
                </c:pt>
              </c:numCache>
            </c:numRef>
          </c:xVal>
          <c:yVal>
            <c:numRef>
              <c:f>光电效应!$B$26:$R$26</c:f>
              <c:numCache>
                <c:formatCode>0.0_ </c:formatCode>
                <c:ptCount val="17"/>
                <c:pt idx="0">
                  <c:v>-86.633333333333297</c:v>
                </c:pt>
                <c:pt idx="1">
                  <c:v>-85.801333333333304</c:v>
                </c:pt>
                <c:pt idx="2">
                  <c:v>-84.969333333333296</c:v>
                </c:pt>
                <c:pt idx="3">
                  <c:v>-83.803619047619094</c:v>
                </c:pt>
                <c:pt idx="4">
                  <c:v>-82.582285714285703</c:v>
                </c:pt>
                <c:pt idx="5">
                  <c:v>-81.221904761904796</c:v>
                </c:pt>
                <c:pt idx="6">
                  <c:v>-79.694666666666706</c:v>
                </c:pt>
                <c:pt idx="7">
                  <c:v>-78.056190476190494</c:v>
                </c:pt>
                <c:pt idx="8">
                  <c:v>-76.362095238095193</c:v>
                </c:pt>
                <c:pt idx="9">
                  <c:v>-74.640190476190497</c:v>
                </c:pt>
                <c:pt idx="10">
                  <c:v>-72.890476190476207</c:v>
                </c:pt>
                <c:pt idx="11">
                  <c:v>-69.168571428571397</c:v>
                </c:pt>
                <c:pt idx="12">
                  <c:v>-65.046666666666695</c:v>
                </c:pt>
                <c:pt idx="13">
                  <c:v>-54.724761904761898</c:v>
                </c:pt>
                <c:pt idx="14">
                  <c:v>-34.002857142857103</c:v>
                </c:pt>
                <c:pt idx="15">
                  <c:v>-0.28095238095238101</c:v>
                </c:pt>
                <c:pt idx="16">
                  <c:v>1.6912380952380901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18464"/>
        <c:axId val="230320384"/>
      </c:scatterChart>
      <c:valAx>
        <c:axId val="2303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20384"/>
        <c:crosses val="autoZero"/>
        <c:crossBetween val="midCat"/>
      </c:valAx>
      <c:valAx>
        <c:axId val="2303203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18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67433988784201E-2"/>
          <c:y val="6.6849336517007904E-2"/>
          <c:w val="0.67333362018272302"/>
          <c:h val="0.8773485036294760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光电效应!$B$30:$S$30</c:f>
              <c:numCache>
                <c:formatCode>General</c:formatCode>
                <c:ptCount val="18"/>
                <c:pt idx="0">
                  <c:v>-3.5</c:v>
                </c:pt>
                <c:pt idx="1">
                  <c:v>-3.03</c:v>
                </c:pt>
                <c:pt idx="2" formatCode="0.00">
                  <c:v>-2.68</c:v>
                </c:pt>
                <c:pt idx="3">
                  <c:v>-2.39</c:v>
                </c:pt>
                <c:pt idx="4">
                  <c:v>-2.1800000000000002</c:v>
                </c:pt>
                <c:pt idx="5">
                  <c:v>-1.99</c:v>
                </c:pt>
                <c:pt idx="6">
                  <c:v>-1.82</c:v>
                </c:pt>
                <c:pt idx="7">
                  <c:v>-1.63</c:v>
                </c:pt>
                <c:pt idx="8">
                  <c:v>-1.51</c:v>
                </c:pt>
                <c:pt idx="9">
                  <c:v>-1.4</c:v>
                </c:pt>
                <c:pt idx="10">
                  <c:v>-1.29</c:v>
                </c:pt>
                <c:pt idx="11" formatCode="0.00">
                  <c:v>-1.2</c:v>
                </c:pt>
                <c:pt idx="12">
                  <c:v>-1.1000000000000001</c:v>
                </c:pt>
                <c:pt idx="13">
                  <c:v>-1</c:v>
                </c:pt>
                <c:pt idx="14">
                  <c:v>-0.9</c:v>
                </c:pt>
                <c:pt idx="15">
                  <c:v>-0.8</c:v>
                </c:pt>
                <c:pt idx="16">
                  <c:v>-0.7</c:v>
                </c:pt>
                <c:pt idx="17">
                  <c:v>-0.63</c:v>
                </c:pt>
              </c:numCache>
            </c:numRef>
          </c:xVal>
          <c:yVal>
            <c:numRef>
              <c:f>光电效应!$B$32:$S$32</c:f>
              <c:numCache>
                <c:formatCode>0.0_ </c:formatCode>
                <c:ptCount val="18"/>
                <c:pt idx="0">
                  <c:v>-80.633333333333297</c:v>
                </c:pt>
                <c:pt idx="1">
                  <c:v>-79.940380952380906</c:v>
                </c:pt>
                <c:pt idx="2">
                  <c:v>-78.913714285714306</c:v>
                </c:pt>
                <c:pt idx="3">
                  <c:v>-77.720190476190496</c:v>
                </c:pt>
                <c:pt idx="4">
                  <c:v>-76.304190476190499</c:v>
                </c:pt>
                <c:pt idx="5">
                  <c:v>-74.832571428571399</c:v>
                </c:pt>
                <c:pt idx="6">
                  <c:v>-73.305333333333294</c:v>
                </c:pt>
                <c:pt idx="7">
                  <c:v>-71.833714285714294</c:v>
                </c:pt>
                <c:pt idx="8">
                  <c:v>-70.167428571428601</c:v>
                </c:pt>
                <c:pt idx="9">
                  <c:v>-68.473333333333301</c:v>
                </c:pt>
                <c:pt idx="10">
                  <c:v>-66.7792380952381</c:v>
                </c:pt>
                <c:pt idx="11">
                  <c:v>-65.029523809523795</c:v>
                </c:pt>
                <c:pt idx="12">
                  <c:v>-62.707619047619097</c:v>
                </c:pt>
                <c:pt idx="13">
                  <c:v>-59.785714285714299</c:v>
                </c:pt>
                <c:pt idx="14">
                  <c:v>-54.8638095238095</c:v>
                </c:pt>
                <c:pt idx="15">
                  <c:v>-44.3419047619048</c:v>
                </c:pt>
                <c:pt idx="16">
                  <c:v>-24.42</c:v>
                </c:pt>
                <c:pt idx="17">
                  <c:v>1.38533333333333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36000"/>
        <c:axId val="230337920"/>
      </c:scatterChart>
      <c:valAx>
        <c:axId val="2303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37920"/>
        <c:crosses val="autoZero"/>
        <c:crossBetween val="midCat"/>
      </c:valAx>
      <c:valAx>
        <c:axId val="2303379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36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012365178871E-2"/>
          <c:y val="4.3132563925383401E-2"/>
          <c:w val="0.69615325808085105"/>
          <c:h val="0.8947807515681920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光电效应!$B$36:$T$36</c:f>
              <c:numCache>
                <c:formatCode>0.00</c:formatCode>
                <c:ptCount val="19"/>
                <c:pt idx="0">
                  <c:v>-3.5</c:v>
                </c:pt>
                <c:pt idx="1">
                  <c:v>-3.01</c:v>
                </c:pt>
                <c:pt idx="2">
                  <c:v>-2.66</c:v>
                </c:pt>
                <c:pt idx="3">
                  <c:v>-2.37</c:v>
                </c:pt>
                <c:pt idx="4">
                  <c:v>-2.14</c:v>
                </c:pt>
                <c:pt idx="5">
                  <c:v>-1.92</c:v>
                </c:pt>
                <c:pt idx="6">
                  <c:v>-1.76</c:v>
                </c:pt>
                <c:pt idx="7">
                  <c:v>-1.61</c:v>
                </c:pt>
                <c:pt idx="8">
                  <c:v>-1.47</c:v>
                </c:pt>
                <c:pt idx="9">
                  <c:v>-1.33</c:v>
                </c:pt>
                <c:pt idx="10">
                  <c:v>-1.22</c:v>
                </c:pt>
                <c:pt idx="11">
                  <c:v>-1.1200000000000001</c:v>
                </c:pt>
                <c:pt idx="12">
                  <c:v>-1.04</c:v>
                </c:pt>
                <c:pt idx="13">
                  <c:v>-0.95</c:v>
                </c:pt>
                <c:pt idx="14">
                  <c:v>-0.85</c:v>
                </c:pt>
                <c:pt idx="15">
                  <c:v>-0.75</c:v>
                </c:pt>
                <c:pt idx="16">
                  <c:v>-0.65</c:v>
                </c:pt>
                <c:pt idx="17">
                  <c:v>-0.55000000000000004</c:v>
                </c:pt>
                <c:pt idx="18">
                  <c:v>-0.5</c:v>
                </c:pt>
              </c:numCache>
            </c:numRef>
          </c:xVal>
          <c:yVal>
            <c:numRef>
              <c:f>光电效应!$B$38:$T$38</c:f>
              <c:numCache>
                <c:formatCode>0.0_ </c:formatCode>
                <c:ptCount val="19"/>
                <c:pt idx="0">
                  <c:v>-80.633333333333297</c:v>
                </c:pt>
                <c:pt idx="1">
                  <c:v>-79.995999999999995</c:v>
                </c:pt>
                <c:pt idx="2">
                  <c:v>-78.969333333333296</c:v>
                </c:pt>
                <c:pt idx="3">
                  <c:v>-77.7758095238095</c:v>
                </c:pt>
                <c:pt idx="4">
                  <c:v>-76.415428571428606</c:v>
                </c:pt>
                <c:pt idx="5">
                  <c:v>-75.027238095238104</c:v>
                </c:pt>
                <c:pt idx="6">
                  <c:v>-73.472190476190505</c:v>
                </c:pt>
                <c:pt idx="7">
                  <c:v>-71.889333333333298</c:v>
                </c:pt>
                <c:pt idx="8">
                  <c:v>-70.278666666666695</c:v>
                </c:pt>
                <c:pt idx="9">
                  <c:v>-68.668000000000006</c:v>
                </c:pt>
                <c:pt idx="10">
                  <c:v>-66.973904761904805</c:v>
                </c:pt>
                <c:pt idx="11">
                  <c:v>-65.251999999999995</c:v>
                </c:pt>
                <c:pt idx="12">
                  <c:v>-63.474476190476203</c:v>
                </c:pt>
                <c:pt idx="13">
                  <c:v>-61.724761904761898</c:v>
                </c:pt>
                <c:pt idx="14">
                  <c:v>-58.8028571428571</c:v>
                </c:pt>
                <c:pt idx="15">
                  <c:v>-54.280952380952399</c:v>
                </c:pt>
                <c:pt idx="16">
                  <c:v>-43.359047619047601</c:v>
                </c:pt>
                <c:pt idx="17">
                  <c:v>-17.237142857142899</c:v>
                </c:pt>
                <c:pt idx="18">
                  <c:v>1.02380952380952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65824"/>
        <c:axId val="230376192"/>
      </c:scatterChart>
      <c:valAx>
        <c:axId val="230365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76192"/>
        <c:crosses val="autoZero"/>
        <c:crossBetween val="midCat"/>
      </c:valAx>
      <c:valAx>
        <c:axId val="2303761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65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73595368445698E-2"/>
          <c:y val="6.1630370370370398E-2"/>
          <c:w val="0.58375789340058504"/>
          <c:h val="0.89555407407407395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光电效应!$B$42:$T$42</c:f>
              <c:numCache>
                <c:formatCode>General</c:formatCode>
                <c:ptCount val="19"/>
                <c:pt idx="0">
                  <c:v>-3.5</c:v>
                </c:pt>
                <c:pt idx="1">
                  <c:v>-3.16</c:v>
                </c:pt>
                <c:pt idx="2" formatCode="0.00">
                  <c:v>-2.74</c:v>
                </c:pt>
                <c:pt idx="3">
                  <c:v>-2.4300000000000002</c:v>
                </c:pt>
                <c:pt idx="4">
                  <c:v>-2.2000000000000002</c:v>
                </c:pt>
                <c:pt idx="5">
                  <c:v>-1.97</c:v>
                </c:pt>
                <c:pt idx="6">
                  <c:v>-1.79</c:v>
                </c:pt>
                <c:pt idx="7">
                  <c:v>-1.58</c:v>
                </c:pt>
                <c:pt idx="8">
                  <c:v>-1.44</c:v>
                </c:pt>
                <c:pt idx="9">
                  <c:v>-1.3</c:v>
                </c:pt>
                <c:pt idx="10">
                  <c:v>-1.19</c:v>
                </c:pt>
                <c:pt idx="11">
                  <c:v>-1.06</c:v>
                </c:pt>
                <c:pt idx="12">
                  <c:v>-0.97</c:v>
                </c:pt>
                <c:pt idx="13" formatCode="0.00">
                  <c:v>-0.88</c:v>
                </c:pt>
                <c:pt idx="14">
                  <c:v>-0.77</c:v>
                </c:pt>
                <c:pt idx="15">
                  <c:v>-0.67</c:v>
                </c:pt>
                <c:pt idx="16">
                  <c:v>-0.56000000000000005</c:v>
                </c:pt>
                <c:pt idx="17">
                  <c:v>-0.46</c:v>
                </c:pt>
                <c:pt idx="18">
                  <c:v>-0.39</c:v>
                </c:pt>
              </c:numCache>
            </c:numRef>
          </c:xVal>
          <c:yVal>
            <c:numRef>
              <c:f>光电效应!$B$44:$T$44</c:f>
              <c:numCache>
                <c:formatCode>0.0_ </c:formatCode>
                <c:ptCount val="19"/>
                <c:pt idx="0">
                  <c:v>-80.633333333333297</c:v>
                </c:pt>
                <c:pt idx="1">
                  <c:v>-79.578857142857103</c:v>
                </c:pt>
                <c:pt idx="2">
                  <c:v>-78.746857142857095</c:v>
                </c:pt>
                <c:pt idx="3">
                  <c:v>-77.608952380952402</c:v>
                </c:pt>
                <c:pt idx="4">
                  <c:v>-76.248571428571395</c:v>
                </c:pt>
                <c:pt idx="5">
                  <c:v>-74.888190476190502</c:v>
                </c:pt>
                <c:pt idx="6">
                  <c:v>-73.388761904761907</c:v>
                </c:pt>
                <c:pt idx="7">
                  <c:v>-71.972761904761896</c:v>
                </c:pt>
                <c:pt idx="8">
                  <c:v>-70.362095238095193</c:v>
                </c:pt>
                <c:pt idx="9">
                  <c:v>-68.751428571428605</c:v>
                </c:pt>
                <c:pt idx="10">
                  <c:v>-67.057333333333304</c:v>
                </c:pt>
                <c:pt idx="11">
                  <c:v>-65.418857142857107</c:v>
                </c:pt>
                <c:pt idx="12">
                  <c:v>-63.669142857142901</c:v>
                </c:pt>
                <c:pt idx="13">
                  <c:v>-61.919428571428597</c:v>
                </c:pt>
                <c:pt idx="14">
                  <c:v>-59.225333333333303</c:v>
                </c:pt>
                <c:pt idx="15">
                  <c:v>-55.5034285714286</c:v>
                </c:pt>
                <c:pt idx="16">
                  <c:v>-46.809333333333299</c:v>
                </c:pt>
                <c:pt idx="17">
                  <c:v>-29.0874285714286</c:v>
                </c:pt>
                <c:pt idx="18">
                  <c:v>0.71790476190476205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13440"/>
        <c:axId val="230414976"/>
      </c:scatterChart>
      <c:valAx>
        <c:axId val="230413440"/>
        <c:scaling>
          <c:orientation val="minMax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14976"/>
        <c:crosses val="autoZero"/>
        <c:crossBetween val="midCat"/>
      </c:valAx>
      <c:valAx>
        <c:axId val="230414976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_ " sourceLinked="1"/>
        <c:majorTickMark val="out"/>
        <c:minorTickMark val="none"/>
        <c:tickLblPos val="nextTo"/>
        <c:crossAx val="23041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光电效应!$B$67:$F$67</c:f>
              <c:numCache>
                <c:formatCode>0.00</c:formatCode>
                <c:ptCount val="5"/>
                <c:pt idx="0">
                  <c:v>7.5</c:v>
                </c:pt>
                <c:pt idx="1">
                  <c:v>7.0011668611435196</c:v>
                </c:pt>
                <c:pt idx="2">
                  <c:v>6.5005417118093201</c:v>
                </c:pt>
                <c:pt idx="3">
                  <c:v>6</c:v>
                </c:pt>
                <c:pt idx="4">
                  <c:v>5.49954170485793</c:v>
                </c:pt>
              </c:numCache>
            </c:numRef>
          </c:xVal>
          <c:yVal>
            <c:numRef>
              <c:f>光电效应!$B$68:$F$68</c:f>
              <c:numCache>
                <c:formatCode>General</c:formatCode>
                <c:ptCount val="5"/>
                <c:pt idx="0">
                  <c:v>1.51</c:v>
                </c:pt>
                <c:pt idx="1">
                  <c:v>1.44</c:v>
                </c:pt>
                <c:pt idx="2">
                  <c:v>1.2</c:v>
                </c:pt>
                <c:pt idx="3">
                  <c:v>0.85</c:v>
                </c:pt>
                <c:pt idx="4">
                  <c:v>0.77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03904"/>
        <c:axId val="231834368"/>
      </c:scatterChart>
      <c:valAx>
        <c:axId val="231803904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34368"/>
        <c:crosses val="autoZero"/>
        <c:crossBetween val="midCat"/>
        <c:majorUnit val="1"/>
      </c:valAx>
      <c:valAx>
        <c:axId val="231834368"/>
        <c:scaling>
          <c:orientation val="minMax"/>
          <c:max val="1.6"/>
          <c:min val="-2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03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多普勒!$A$3</c:f>
              <c:strCache>
                <c:ptCount val="1"/>
                <c:pt idx="0">
                  <c:v>L/cm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多普勒!$B$2:$J$2</c:f>
              <c:numCache>
                <c:formatCode>General</c:formatCode>
                <c:ptCount val="9"/>
                <c:pt idx="0">
                  <c:v>316</c:v>
                </c:pt>
                <c:pt idx="1">
                  <c:v>345</c:v>
                </c:pt>
                <c:pt idx="2">
                  <c:v>374</c:v>
                </c:pt>
                <c:pt idx="3">
                  <c:v>402</c:v>
                </c:pt>
                <c:pt idx="4">
                  <c:v>431</c:v>
                </c:pt>
                <c:pt idx="5">
                  <c:v>461</c:v>
                </c:pt>
                <c:pt idx="6">
                  <c:v>490</c:v>
                </c:pt>
                <c:pt idx="7">
                  <c:v>519</c:v>
                </c:pt>
              </c:numCache>
            </c:numRef>
          </c:xVal>
          <c:yVal>
            <c:numRef>
              <c:f>多普勒!$B$3:$J$3</c:f>
              <c:numCache>
                <c:formatCode>0.000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15808"/>
        <c:axId val="229817344"/>
      </c:scatterChart>
      <c:valAx>
        <c:axId val="229815808"/>
        <c:scaling>
          <c:orientation val="minMax"/>
          <c:max val="55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17344"/>
        <c:crosses val="autoZero"/>
        <c:crossBetween val="midCat"/>
      </c:valAx>
      <c:valAx>
        <c:axId val="229817344"/>
        <c:scaling>
          <c:orientation val="minMax"/>
          <c:max val="20"/>
          <c:min val="10"/>
        </c:scaling>
        <c:delete val="0"/>
        <c:axPos val="l"/>
        <c:majorGridlines>
          <c:spPr>
            <a:ln>
              <a:noFill/>
            </a:ln>
            <a:effectLst/>
          </c:spPr>
        </c:majorGridlines>
        <c:minorGridlines>
          <c:spPr>
            <a:ln w="9525" cap="flat" cmpd="sng" algn="ctr">
              <a:noFill/>
              <a:prstDash val="solid"/>
            </a:ln>
            <a:effectLst/>
          </c:spPr>
        </c:minorGridlines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81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1351706036699"/>
          <c:y val="5.1400554097404502E-2"/>
          <c:w val="0.68413648293963303"/>
          <c:h val="0.89719889180519097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(多普勒!$B$33:$Q$33,多普勒!$B$38:$Q$38)</c:f>
              <c:numCache>
                <c:formatCode>General</c:formatCode>
                <c:ptCount val="3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</c:numCache>
            </c:numRef>
          </c:xVal>
          <c:yVal>
            <c:numRef>
              <c:f>(多普勒!$B$35:$Q$35,多普勒!$B$40:$Q$40)</c:f>
              <c:numCache>
                <c:formatCode>General</c:formatCode>
                <c:ptCount val="32"/>
                <c:pt idx="0">
                  <c:v>7.1839999999997003E-2</c:v>
                </c:pt>
                <c:pt idx="1">
                  <c:v>-2.6939999999998899E-2</c:v>
                </c:pt>
                <c:pt idx="2">
                  <c:v>-0.107759999999995</c:v>
                </c:pt>
                <c:pt idx="3">
                  <c:v>-0.17959999999999199</c:v>
                </c:pt>
                <c:pt idx="4">
                  <c:v>-0.22449999999999001</c:v>
                </c:pt>
                <c:pt idx="5">
                  <c:v>-0.25143999999998901</c:v>
                </c:pt>
                <c:pt idx="6">
                  <c:v>-0.28735999999998801</c:v>
                </c:pt>
                <c:pt idx="7">
                  <c:v>-0.26041999999998899</c:v>
                </c:pt>
                <c:pt idx="8">
                  <c:v>-0.20653999999999101</c:v>
                </c:pt>
                <c:pt idx="9">
                  <c:v>-0.16163999999999301</c:v>
                </c:pt>
                <c:pt idx="10">
                  <c:v>-8.0819999999996603E-2</c:v>
                </c:pt>
                <c:pt idx="11">
                  <c:v>8.9800000000372394E-3</c:v>
                </c:pt>
                <c:pt idx="12">
                  <c:v>0.107759999999995</c:v>
                </c:pt>
                <c:pt idx="13">
                  <c:v>0.17062000000003</c:v>
                </c:pt>
                <c:pt idx="14">
                  <c:v>0.215519999999991</c:v>
                </c:pt>
                <c:pt idx="15">
                  <c:v>0.26042000000002702</c:v>
                </c:pt>
                <c:pt idx="16">
                  <c:v>0.278380000000026</c:v>
                </c:pt>
                <c:pt idx="17">
                  <c:v>0.25143999999998901</c:v>
                </c:pt>
                <c:pt idx="18">
                  <c:v>0.215519999999991</c:v>
                </c:pt>
                <c:pt idx="19">
                  <c:v>0.16163999999999301</c:v>
                </c:pt>
                <c:pt idx="20">
                  <c:v>0.107759999999995</c:v>
                </c:pt>
                <c:pt idx="21">
                  <c:v>8.9800000000372394E-3</c:v>
                </c:pt>
                <c:pt idx="22">
                  <c:v>-8.9799999999996202E-2</c:v>
                </c:pt>
                <c:pt idx="23">
                  <c:v>-0.16163999999999301</c:v>
                </c:pt>
                <c:pt idx="24">
                  <c:v>-0.215519999999991</c:v>
                </c:pt>
                <c:pt idx="25">
                  <c:v>-0.25143999999998901</c:v>
                </c:pt>
                <c:pt idx="26">
                  <c:v>-0.28735999999998801</c:v>
                </c:pt>
                <c:pt idx="27">
                  <c:v>-0.26041999999998899</c:v>
                </c:pt>
                <c:pt idx="28">
                  <c:v>-0.22449999999999001</c:v>
                </c:pt>
                <c:pt idx="29">
                  <c:v>-0.170619999999993</c:v>
                </c:pt>
                <c:pt idx="30">
                  <c:v>-0.107759999999995</c:v>
                </c:pt>
                <c:pt idx="31">
                  <c:v>-0.26041999999998899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98816"/>
        <c:axId val="230117376"/>
      </c:scatterChart>
      <c:valAx>
        <c:axId val="2300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17376"/>
        <c:crosses val="autoZero"/>
        <c:crossBetween val="midCat"/>
      </c:valAx>
      <c:valAx>
        <c:axId val="2301173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0988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Pt>
            <c:idx val="127"/>
            <c:bubble3D val="0"/>
            <c:spPr/>
          </c:dPt>
          <c:xVal>
            <c:numRef>
              <c:f>(弗兰克赫兹!$B$5:$Z$5,弗兰克赫兹!$B$8:$Z$8,弗兰克赫兹!$B$11:$Z$11,弗兰克赫兹!$B$14:$Z$14,弗兰克赫兹!$B$17:$Z$17,弗兰克赫兹!$B$20:$W$20)</c:f>
              <c:numCache>
                <c:formatCode>0.0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18.2</c:v>
                </c:pt>
                <c:pt idx="20">
                  <c:v>18.399999999999999</c:v>
                </c:pt>
                <c:pt idx="21">
                  <c:v>18.600000000000001</c:v>
                </c:pt>
                <c:pt idx="22">
                  <c:v>18.8</c:v>
                </c:pt>
                <c:pt idx="23">
                  <c:v>19</c:v>
                </c:pt>
                <c:pt idx="24">
                  <c:v>19.2</c:v>
                </c:pt>
                <c:pt idx="25">
                  <c:v>19.399999999999999</c:v>
                </c:pt>
                <c:pt idx="26">
                  <c:v>19.600000000000001</c:v>
                </c:pt>
                <c:pt idx="27">
                  <c:v>19.8</c:v>
                </c:pt>
                <c:pt idx="28">
                  <c:v>20</c:v>
                </c:pt>
                <c:pt idx="29">
                  <c:v>20.2</c:v>
                </c:pt>
                <c:pt idx="30">
                  <c:v>20.399999999999999</c:v>
                </c:pt>
                <c:pt idx="31">
                  <c:v>20.6</c:v>
                </c:pt>
                <c:pt idx="32">
                  <c:v>20.8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30.2</c:v>
                </c:pt>
                <c:pt idx="44">
                  <c:v>30.4</c:v>
                </c:pt>
                <c:pt idx="45">
                  <c:v>30.6</c:v>
                </c:pt>
                <c:pt idx="46">
                  <c:v>30.8</c:v>
                </c:pt>
                <c:pt idx="47">
                  <c:v>31</c:v>
                </c:pt>
                <c:pt idx="48">
                  <c:v>31.2</c:v>
                </c:pt>
                <c:pt idx="49">
                  <c:v>31.4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32.200000000000003</c:v>
                </c:pt>
                <c:pt idx="54">
                  <c:v>32.4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41.6</c:v>
                </c:pt>
                <c:pt idx="70">
                  <c:v>41.8</c:v>
                </c:pt>
                <c:pt idx="71">
                  <c:v>42</c:v>
                </c:pt>
                <c:pt idx="72">
                  <c:v>42.2</c:v>
                </c:pt>
                <c:pt idx="73">
                  <c:v>42.4</c:v>
                </c:pt>
                <c:pt idx="74">
                  <c:v>42.6</c:v>
                </c:pt>
                <c:pt idx="75">
                  <c:v>42.8</c:v>
                </c:pt>
                <c:pt idx="76">
                  <c:v>43</c:v>
                </c:pt>
                <c:pt idx="77">
                  <c:v>43.2</c:v>
                </c:pt>
                <c:pt idx="78">
                  <c:v>43.4</c:v>
                </c:pt>
                <c:pt idx="79">
                  <c:v>43.6</c:v>
                </c:pt>
                <c:pt idx="80">
                  <c:v>43.8</c:v>
                </c:pt>
                <c:pt idx="81">
                  <c:v>44</c:v>
                </c:pt>
                <c:pt idx="82">
                  <c:v>45</c:v>
                </c:pt>
                <c:pt idx="83">
                  <c:v>46</c:v>
                </c:pt>
                <c:pt idx="84">
                  <c:v>47</c:v>
                </c:pt>
                <c:pt idx="85">
                  <c:v>48</c:v>
                </c:pt>
                <c:pt idx="86">
                  <c:v>49</c:v>
                </c:pt>
                <c:pt idx="87">
                  <c:v>50</c:v>
                </c:pt>
                <c:pt idx="88">
                  <c:v>51</c:v>
                </c:pt>
                <c:pt idx="89">
                  <c:v>52</c:v>
                </c:pt>
                <c:pt idx="90">
                  <c:v>53.3</c:v>
                </c:pt>
                <c:pt idx="91">
                  <c:v>53.5</c:v>
                </c:pt>
                <c:pt idx="92">
                  <c:v>53.7</c:v>
                </c:pt>
                <c:pt idx="93">
                  <c:v>53.9</c:v>
                </c:pt>
                <c:pt idx="94">
                  <c:v>54.1</c:v>
                </c:pt>
                <c:pt idx="95">
                  <c:v>54.3</c:v>
                </c:pt>
                <c:pt idx="96">
                  <c:v>54.5</c:v>
                </c:pt>
                <c:pt idx="97">
                  <c:v>54.7</c:v>
                </c:pt>
                <c:pt idx="98">
                  <c:v>54.9</c:v>
                </c:pt>
                <c:pt idx="99">
                  <c:v>55.1</c:v>
                </c:pt>
                <c:pt idx="100">
                  <c:v>55.3</c:v>
                </c:pt>
                <c:pt idx="101">
                  <c:v>55.5</c:v>
                </c:pt>
                <c:pt idx="102">
                  <c:v>55.7</c:v>
                </c:pt>
                <c:pt idx="103">
                  <c:v>55.9</c:v>
                </c:pt>
                <c:pt idx="104">
                  <c:v>56.1</c:v>
                </c:pt>
                <c:pt idx="105">
                  <c:v>56.3</c:v>
                </c:pt>
                <c:pt idx="106">
                  <c:v>57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61</c:v>
                </c:pt>
                <c:pt idx="111">
                  <c:v>62</c:v>
                </c:pt>
                <c:pt idx="112">
                  <c:v>63</c:v>
                </c:pt>
                <c:pt idx="113">
                  <c:v>64</c:v>
                </c:pt>
                <c:pt idx="114">
                  <c:v>65</c:v>
                </c:pt>
                <c:pt idx="115">
                  <c:v>66</c:v>
                </c:pt>
                <c:pt idx="116">
                  <c:v>66.2</c:v>
                </c:pt>
                <c:pt idx="117">
                  <c:v>66.400000000000006</c:v>
                </c:pt>
                <c:pt idx="118">
                  <c:v>66.599999999999994</c:v>
                </c:pt>
                <c:pt idx="119">
                  <c:v>66.8</c:v>
                </c:pt>
                <c:pt idx="120">
                  <c:v>67</c:v>
                </c:pt>
                <c:pt idx="121">
                  <c:v>67.2</c:v>
                </c:pt>
                <c:pt idx="122">
                  <c:v>67.5</c:v>
                </c:pt>
                <c:pt idx="123">
                  <c:v>68.5</c:v>
                </c:pt>
                <c:pt idx="124">
                  <c:v>69.5</c:v>
                </c:pt>
                <c:pt idx="125">
                  <c:v>70.5</c:v>
                </c:pt>
                <c:pt idx="126">
                  <c:v>71.5</c:v>
                </c:pt>
                <c:pt idx="127">
                  <c:v>72.5</c:v>
                </c:pt>
                <c:pt idx="128">
                  <c:v>73.5</c:v>
                </c:pt>
                <c:pt idx="129">
                  <c:v>74.5</c:v>
                </c:pt>
                <c:pt idx="130">
                  <c:v>75.5</c:v>
                </c:pt>
                <c:pt idx="131">
                  <c:v>76.5</c:v>
                </c:pt>
                <c:pt idx="132">
                  <c:v>77.5</c:v>
                </c:pt>
                <c:pt idx="133">
                  <c:v>78.5</c:v>
                </c:pt>
                <c:pt idx="134">
                  <c:v>78.7</c:v>
                </c:pt>
                <c:pt idx="135">
                  <c:v>78.900000000000006</c:v>
                </c:pt>
                <c:pt idx="136">
                  <c:v>79.099999999999994</c:v>
                </c:pt>
                <c:pt idx="137">
                  <c:v>79.3</c:v>
                </c:pt>
                <c:pt idx="138">
                  <c:v>79.5</c:v>
                </c:pt>
                <c:pt idx="139">
                  <c:v>79.8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82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</c:numCache>
            </c:numRef>
          </c:xVal>
          <c:yVal>
            <c:numRef>
              <c:f>(弗兰克赫兹!$B$6:$Z$6,弗兰克赫兹!$B$9:$Z$9,弗兰克赫兹!$B$12:$Z$12,弗兰克赫兹!$B$15:$Z$15,弗兰克赫兹!$B$18:$Z$18,弗兰克赫兹!$B$21:$W$21)</c:f>
              <c:numCache>
                <c:formatCode>0.0</c:formatCode>
                <c:ptCount val="147"/>
                <c:pt idx="0">
                  <c:v>-2.4</c:v>
                </c:pt>
                <c:pt idx="1">
                  <c:v>-2</c:v>
                </c:pt>
                <c:pt idx="2">
                  <c:v>-1.6</c:v>
                </c:pt>
                <c:pt idx="3">
                  <c:v>-1.2</c:v>
                </c:pt>
                <c:pt idx="4">
                  <c:v>-1</c:v>
                </c:pt>
                <c:pt idx="5">
                  <c:v>-0.6</c:v>
                </c:pt>
                <c:pt idx="6">
                  <c:v>-0.2</c:v>
                </c:pt>
                <c:pt idx="7">
                  <c:v>-0.5</c:v>
                </c:pt>
                <c:pt idx="8">
                  <c:v>-0.2</c:v>
                </c:pt>
                <c:pt idx="9">
                  <c:v>4</c:v>
                </c:pt>
                <c:pt idx="10">
                  <c:v>15.5</c:v>
                </c:pt>
                <c:pt idx="11">
                  <c:v>29.8</c:v>
                </c:pt>
                <c:pt idx="12">
                  <c:v>41.8</c:v>
                </c:pt>
                <c:pt idx="13">
                  <c:v>53.9</c:v>
                </c:pt>
                <c:pt idx="14">
                  <c:v>62.5</c:v>
                </c:pt>
                <c:pt idx="15">
                  <c:v>72.2</c:v>
                </c:pt>
                <c:pt idx="16">
                  <c:v>81.5</c:v>
                </c:pt>
                <c:pt idx="17">
                  <c:v>90.8</c:v>
                </c:pt>
                <c:pt idx="18">
                  <c:v>98</c:v>
                </c:pt>
                <c:pt idx="19">
                  <c:v>98.3</c:v>
                </c:pt>
                <c:pt idx="20">
                  <c:v>99</c:v>
                </c:pt>
                <c:pt idx="21">
                  <c:v>99.4</c:v>
                </c:pt>
                <c:pt idx="22">
                  <c:v>100.3</c:v>
                </c:pt>
                <c:pt idx="23">
                  <c:v>100.5</c:v>
                </c:pt>
                <c:pt idx="24">
                  <c:v>101.1</c:v>
                </c:pt>
                <c:pt idx="25">
                  <c:v>101.8</c:v>
                </c:pt>
                <c:pt idx="26">
                  <c:v>101.9</c:v>
                </c:pt>
                <c:pt idx="27">
                  <c:v>102.2</c:v>
                </c:pt>
                <c:pt idx="28">
                  <c:v>102</c:v>
                </c:pt>
                <c:pt idx="29">
                  <c:v>101.9</c:v>
                </c:pt>
                <c:pt idx="30">
                  <c:v>101.6</c:v>
                </c:pt>
                <c:pt idx="31">
                  <c:v>101.2</c:v>
                </c:pt>
                <c:pt idx="32">
                  <c:v>100.5</c:v>
                </c:pt>
                <c:pt idx="33">
                  <c:v>100.3</c:v>
                </c:pt>
                <c:pt idx="34">
                  <c:v>94</c:v>
                </c:pt>
                <c:pt idx="35">
                  <c:v>88.2</c:v>
                </c:pt>
                <c:pt idx="36">
                  <c:v>88.8</c:v>
                </c:pt>
                <c:pt idx="37">
                  <c:v>97.6</c:v>
                </c:pt>
                <c:pt idx="38">
                  <c:v>112</c:v>
                </c:pt>
                <c:pt idx="39">
                  <c:v>129.30000000000001</c:v>
                </c:pt>
                <c:pt idx="40">
                  <c:v>146.19999999999999</c:v>
                </c:pt>
                <c:pt idx="41">
                  <c:v>160.30000000000001</c:v>
                </c:pt>
                <c:pt idx="42">
                  <c:v>170.2</c:v>
                </c:pt>
                <c:pt idx="43">
                  <c:v>171.5</c:v>
                </c:pt>
                <c:pt idx="44">
                  <c:v>172.7</c:v>
                </c:pt>
                <c:pt idx="45">
                  <c:v>173.5</c:v>
                </c:pt>
                <c:pt idx="46">
                  <c:v>173.8</c:v>
                </c:pt>
                <c:pt idx="47">
                  <c:v>174.1</c:v>
                </c:pt>
                <c:pt idx="48">
                  <c:v>174.3</c:v>
                </c:pt>
                <c:pt idx="49">
                  <c:v>174.1</c:v>
                </c:pt>
                <c:pt idx="50">
                  <c:v>173.2</c:v>
                </c:pt>
                <c:pt idx="51">
                  <c:v>171.5</c:v>
                </c:pt>
                <c:pt idx="52">
                  <c:v>169.4</c:v>
                </c:pt>
                <c:pt idx="53">
                  <c:v>165.8</c:v>
                </c:pt>
                <c:pt idx="54">
                  <c:v>162.6</c:v>
                </c:pt>
                <c:pt idx="55">
                  <c:v>160.6</c:v>
                </c:pt>
                <c:pt idx="56">
                  <c:v>156.30000000000001</c:v>
                </c:pt>
                <c:pt idx="57">
                  <c:v>151.80000000000001</c:v>
                </c:pt>
                <c:pt idx="58">
                  <c:v>126.6</c:v>
                </c:pt>
                <c:pt idx="59">
                  <c:v>103</c:v>
                </c:pt>
                <c:pt idx="60">
                  <c:v>99.8</c:v>
                </c:pt>
                <c:pt idx="61">
                  <c:v>121.1</c:v>
                </c:pt>
                <c:pt idx="62">
                  <c:v>154</c:v>
                </c:pt>
                <c:pt idx="63">
                  <c:v>188.1</c:v>
                </c:pt>
                <c:pt idx="64">
                  <c:v>220.1</c:v>
                </c:pt>
                <c:pt idx="65">
                  <c:v>239.7</c:v>
                </c:pt>
                <c:pt idx="66">
                  <c:v>244</c:v>
                </c:pt>
                <c:pt idx="67">
                  <c:v>246.8</c:v>
                </c:pt>
                <c:pt idx="68">
                  <c:v>249.2</c:v>
                </c:pt>
                <c:pt idx="69">
                  <c:v>251.5</c:v>
                </c:pt>
                <c:pt idx="70">
                  <c:v>252.6</c:v>
                </c:pt>
                <c:pt idx="71">
                  <c:v>253.8</c:v>
                </c:pt>
                <c:pt idx="72">
                  <c:v>253.6</c:v>
                </c:pt>
                <c:pt idx="73">
                  <c:v>253.2</c:v>
                </c:pt>
                <c:pt idx="74">
                  <c:v>252.1</c:v>
                </c:pt>
                <c:pt idx="75">
                  <c:v>250.4</c:v>
                </c:pt>
                <c:pt idx="76">
                  <c:v>247.4</c:v>
                </c:pt>
                <c:pt idx="77">
                  <c:v>244</c:v>
                </c:pt>
                <c:pt idx="78">
                  <c:v>239.3</c:v>
                </c:pt>
                <c:pt idx="79">
                  <c:v>233.2</c:v>
                </c:pt>
                <c:pt idx="80">
                  <c:v>227.2</c:v>
                </c:pt>
                <c:pt idx="81">
                  <c:v>222</c:v>
                </c:pt>
                <c:pt idx="82">
                  <c:v>179.7</c:v>
                </c:pt>
                <c:pt idx="83">
                  <c:v>129.9</c:v>
                </c:pt>
                <c:pt idx="84">
                  <c:v>96.7</c:v>
                </c:pt>
                <c:pt idx="85">
                  <c:v>100.5</c:v>
                </c:pt>
                <c:pt idx="86">
                  <c:v>141.1</c:v>
                </c:pt>
                <c:pt idx="87">
                  <c:v>192.5</c:v>
                </c:pt>
                <c:pt idx="88">
                  <c:v>248.5</c:v>
                </c:pt>
                <c:pt idx="89">
                  <c:v>294.2</c:v>
                </c:pt>
                <c:pt idx="90">
                  <c:v>325.39999999999998</c:v>
                </c:pt>
                <c:pt idx="91">
                  <c:v>328.4</c:v>
                </c:pt>
                <c:pt idx="92">
                  <c:v>330.7</c:v>
                </c:pt>
                <c:pt idx="93">
                  <c:v>331.5</c:v>
                </c:pt>
                <c:pt idx="94">
                  <c:v>330.6</c:v>
                </c:pt>
                <c:pt idx="95">
                  <c:v>329.6</c:v>
                </c:pt>
                <c:pt idx="96">
                  <c:v>326.8</c:v>
                </c:pt>
                <c:pt idx="97">
                  <c:v>322.39999999999998</c:v>
                </c:pt>
                <c:pt idx="98">
                  <c:v>318.39999999999998</c:v>
                </c:pt>
                <c:pt idx="99">
                  <c:v>312.60000000000002</c:v>
                </c:pt>
                <c:pt idx="100">
                  <c:v>306.5</c:v>
                </c:pt>
                <c:pt idx="101">
                  <c:v>298.60000000000002</c:v>
                </c:pt>
                <c:pt idx="102">
                  <c:v>291.10000000000002</c:v>
                </c:pt>
                <c:pt idx="103">
                  <c:v>281.10000000000002</c:v>
                </c:pt>
                <c:pt idx="104">
                  <c:v>271.60000000000002</c:v>
                </c:pt>
                <c:pt idx="105">
                  <c:v>262.10000000000002</c:v>
                </c:pt>
                <c:pt idx="106">
                  <c:v>217.4</c:v>
                </c:pt>
                <c:pt idx="107">
                  <c:v>155.5</c:v>
                </c:pt>
                <c:pt idx="108">
                  <c:v>108</c:v>
                </c:pt>
                <c:pt idx="109">
                  <c:v>112.6</c:v>
                </c:pt>
                <c:pt idx="110">
                  <c:v>159.19999999999999</c:v>
                </c:pt>
                <c:pt idx="111">
                  <c:v>223.5</c:v>
                </c:pt>
                <c:pt idx="112">
                  <c:v>292.10000000000002</c:v>
                </c:pt>
                <c:pt idx="113">
                  <c:v>351.1</c:v>
                </c:pt>
                <c:pt idx="114">
                  <c:v>392.1</c:v>
                </c:pt>
                <c:pt idx="115">
                  <c:v>405.6</c:v>
                </c:pt>
                <c:pt idx="116">
                  <c:v>405.6</c:v>
                </c:pt>
                <c:pt idx="117">
                  <c:v>403.7</c:v>
                </c:pt>
                <c:pt idx="118">
                  <c:v>401.3</c:v>
                </c:pt>
                <c:pt idx="119">
                  <c:v>398.7</c:v>
                </c:pt>
                <c:pt idx="120">
                  <c:v>395</c:v>
                </c:pt>
                <c:pt idx="121">
                  <c:v>388.4</c:v>
                </c:pt>
                <c:pt idx="122">
                  <c:v>380.6</c:v>
                </c:pt>
                <c:pt idx="123">
                  <c:v>327.2</c:v>
                </c:pt>
                <c:pt idx="124">
                  <c:v>255.4</c:v>
                </c:pt>
                <c:pt idx="125">
                  <c:v>176.8</c:v>
                </c:pt>
                <c:pt idx="126">
                  <c:v>139.19999999999999</c:v>
                </c:pt>
                <c:pt idx="127">
                  <c:v>149.4</c:v>
                </c:pt>
                <c:pt idx="128">
                  <c:v>207</c:v>
                </c:pt>
                <c:pt idx="129">
                  <c:v>273.39999999999998</c:v>
                </c:pt>
                <c:pt idx="130">
                  <c:v>349.3</c:v>
                </c:pt>
                <c:pt idx="131">
                  <c:v>410</c:v>
                </c:pt>
                <c:pt idx="132">
                  <c:v>454.9</c:v>
                </c:pt>
                <c:pt idx="133">
                  <c:v>473.8</c:v>
                </c:pt>
                <c:pt idx="134">
                  <c:v>474.3</c:v>
                </c:pt>
                <c:pt idx="135">
                  <c:v>474.4</c:v>
                </c:pt>
                <c:pt idx="136">
                  <c:v>472.3</c:v>
                </c:pt>
                <c:pt idx="137">
                  <c:v>469.1</c:v>
                </c:pt>
                <c:pt idx="138">
                  <c:v>466.4</c:v>
                </c:pt>
                <c:pt idx="139">
                  <c:v>458.4</c:v>
                </c:pt>
                <c:pt idx="140">
                  <c:v>450.6</c:v>
                </c:pt>
                <c:pt idx="141">
                  <c:v>427.5</c:v>
                </c:pt>
                <c:pt idx="142">
                  <c:v>398.2</c:v>
                </c:pt>
                <c:pt idx="143">
                  <c:v>326.5</c:v>
                </c:pt>
                <c:pt idx="144">
                  <c:v>249.9</c:v>
                </c:pt>
                <c:pt idx="145">
                  <c:v>201.6</c:v>
                </c:pt>
                <c:pt idx="146">
                  <c:v>209.7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24718848"/>
        <c:axId val="224717056"/>
      </c:scatterChart>
      <c:valAx>
        <c:axId val="22471884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" sourceLinked="1"/>
        <c:majorTickMark val="out"/>
        <c:minorTickMark val="none"/>
        <c:tickLblPos val="nextTo"/>
        <c:crossAx val="224717056"/>
        <c:crosses val="autoZero"/>
        <c:crossBetween val="midCat"/>
        <c:majorUnit val="5"/>
        <c:minorUnit val="0.5"/>
      </c:valAx>
      <c:valAx>
        <c:axId val="224717056"/>
        <c:scaling>
          <c:orientation val="minMax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.0" sourceLinked="1"/>
        <c:majorTickMark val="out"/>
        <c:minorTickMark val="none"/>
        <c:tickLblPos val="nextTo"/>
        <c:crossAx val="224718848"/>
        <c:crosses val="autoZero"/>
        <c:crossBetween val="midCat"/>
        <c:majorUnit val="100"/>
        <c:min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PN结!$A$30</c:f>
              <c:strCache>
                <c:ptCount val="1"/>
                <c:pt idx="0">
                  <c:v>lnR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PN结!$B$27:$K$27</c:f>
              <c:numCache>
                <c:formatCode>0.00000</c:formatCode>
                <c:ptCount val="10"/>
                <c:pt idx="0">
                  <c:v>3.2997855139415902E-3</c:v>
                </c:pt>
                <c:pt idx="1">
                  <c:v>3.2451728054518898E-3</c:v>
                </c:pt>
                <c:pt idx="2">
                  <c:v>3.1933578157432498E-3</c:v>
                </c:pt>
                <c:pt idx="3">
                  <c:v>3.1431714600031399E-3</c:v>
                </c:pt>
                <c:pt idx="4">
                  <c:v>3.0945381401825799E-3</c:v>
                </c:pt>
                <c:pt idx="5">
                  <c:v>3.0455306837216399E-3</c:v>
                </c:pt>
                <c:pt idx="6">
                  <c:v>3.0016509079993999E-3</c:v>
                </c:pt>
                <c:pt idx="7">
                  <c:v>2.957267484844E-3</c:v>
                </c:pt>
                <c:pt idx="8">
                  <c:v>2.91417747340813E-3</c:v>
                </c:pt>
                <c:pt idx="9">
                  <c:v>2.8723251472066598E-3</c:v>
                </c:pt>
              </c:numCache>
            </c:numRef>
          </c:xVal>
          <c:yVal>
            <c:numRef>
              <c:f>PN结!$B$30:$K$30</c:f>
              <c:numCache>
                <c:formatCode>0.00</c:formatCode>
                <c:ptCount val="10"/>
                <c:pt idx="0">
                  <c:v>7.7959630421134696</c:v>
                </c:pt>
                <c:pt idx="1">
                  <c:v>7.5873494931373804</c:v>
                </c:pt>
                <c:pt idx="2">
                  <c:v>7.3849445678887502</c:v>
                </c:pt>
                <c:pt idx="3">
                  <c:v>7.1671565783189699</c:v>
                </c:pt>
                <c:pt idx="4">
                  <c:v>6.9889807189047204</c:v>
                </c:pt>
                <c:pt idx="5">
                  <c:v>6.7981121015323103</c:v>
                </c:pt>
                <c:pt idx="6">
                  <c:v>6.6302773767046004</c:v>
                </c:pt>
                <c:pt idx="7">
                  <c:v>6.4469400757908097</c:v>
                </c:pt>
                <c:pt idx="8">
                  <c:v>6.2670545737947299</c:v>
                </c:pt>
                <c:pt idx="9">
                  <c:v>6.1006638390729702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20736"/>
        <c:axId val="226027008"/>
      </c:scatterChart>
      <c:valAx>
        <c:axId val="226020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27008"/>
        <c:crosses val="autoZero"/>
        <c:crossBetween val="midCat"/>
      </c:valAx>
      <c:valAx>
        <c:axId val="226027008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20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PN结!$A$51</c:f>
              <c:strCache>
                <c:ptCount val="1"/>
                <c:pt idx="0">
                  <c:v>E/mv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PN结!$B$49:$K$49</c:f>
              <c:numCache>
                <c:formatCode>General</c:formatCode>
                <c:ptCount val="10"/>
                <c:pt idx="0">
                  <c:v>29.8</c:v>
                </c:pt>
                <c:pt idx="1">
                  <c:v>35</c:v>
                </c:pt>
                <c:pt idx="2">
                  <c:v>40</c:v>
                </c:pt>
                <c:pt idx="3">
                  <c:v>44.9</c:v>
                </c:pt>
                <c:pt idx="4">
                  <c:v>49.9</c:v>
                </c:pt>
                <c:pt idx="5">
                  <c:v>54.9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74.900000000000006</c:v>
                </c:pt>
              </c:numCache>
            </c:numRef>
          </c:xVal>
          <c:yVal>
            <c:numRef>
              <c:f>PN结!$B$51:$K$51</c:f>
              <c:numCache>
                <c:formatCode>General</c:formatCode>
                <c:ptCount val="10"/>
                <c:pt idx="0">
                  <c:v>0.76</c:v>
                </c:pt>
                <c:pt idx="1">
                  <c:v>1.08</c:v>
                </c:pt>
                <c:pt idx="2">
                  <c:v>1.37</c:v>
                </c:pt>
                <c:pt idx="3">
                  <c:v>1.66</c:v>
                </c:pt>
                <c:pt idx="4">
                  <c:v>1.94</c:v>
                </c:pt>
                <c:pt idx="5">
                  <c:v>2.23</c:v>
                </c:pt>
                <c:pt idx="6">
                  <c:v>2.5099999999999998</c:v>
                </c:pt>
                <c:pt idx="7">
                  <c:v>2.79</c:v>
                </c:pt>
                <c:pt idx="8">
                  <c:v>3.09</c:v>
                </c:pt>
                <c:pt idx="9">
                  <c:v>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9696"/>
        <c:axId val="227660544"/>
      </c:scatterChart>
      <c:valAx>
        <c:axId val="227629696"/>
        <c:scaling>
          <c:orientation val="minMax"/>
          <c:min val="2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60544"/>
        <c:crosses val="autoZero"/>
        <c:crossBetween val="midCat"/>
      </c:valAx>
      <c:valAx>
        <c:axId val="227660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b="1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29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3573928258999"/>
          <c:y val="2.82524059492563E-2"/>
          <c:w val="0.65075459317585305"/>
          <c:h val="0.85576771653543304"/>
        </c:manualLayout>
      </c:layout>
      <c:scatterChart>
        <c:scatterStyle val="smoothMarker"/>
        <c:varyColors val="0"/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磁滞回线!$B$17:$K$17</c:f>
              <c:numCache>
                <c:formatCode>0.00</c:formatCode>
                <c:ptCount val="10"/>
                <c:pt idx="0">
                  <c:v>0</c:v>
                </c:pt>
                <c:pt idx="1">
                  <c:v>9.8199672667757802</c:v>
                </c:pt>
                <c:pt idx="2">
                  <c:v>19.6399345335516</c:v>
                </c:pt>
                <c:pt idx="3">
                  <c:v>29.459901800327302</c:v>
                </c:pt>
                <c:pt idx="4">
                  <c:v>39.2798690671031</c:v>
                </c:pt>
                <c:pt idx="5">
                  <c:v>49.099836333878898</c:v>
                </c:pt>
                <c:pt idx="6">
                  <c:v>58.919803600654703</c:v>
                </c:pt>
                <c:pt idx="7">
                  <c:v>73.649754500818304</c:v>
                </c:pt>
                <c:pt idx="8">
                  <c:v>98.199672667757795</c:v>
                </c:pt>
                <c:pt idx="9">
                  <c:v>122.749590834697</c:v>
                </c:pt>
              </c:numCache>
            </c:numRef>
          </c:xVal>
          <c:yVal>
            <c:numRef>
              <c:f>磁滞回线!$B$19:$K$19</c:f>
              <c:numCache>
                <c:formatCode>0.00</c:formatCode>
                <c:ptCount val="10"/>
                <c:pt idx="0">
                  <c:v>0</c:v>
                </c:pt>
                <c:pt idx="1">
                  <c:v>4809.9019683234501</c:v>
                </c:pt>
                <c:pt idx="2">
                  <c:v>5210.7271323504101</c:v>
                </c:pt>
                <c:pt idx="3">
                  <c:v>5344.3355203593901</c:v>
                </c:pt>
                <c:pt idx="4">
                  <c:v>5010.3145503369296</c:v>
                </c:pt>
                <c:pt idx="5">
                  <c:v>4489.2418371018903</c:v>
                </c:pt>
                <c:pt idx="6">
                  <c:v>4141.8600282785301</c:v>
                </c:pt>
                <c:pt idx="7">
                  <c:v>3634.14815384439</c:v>
                </c:pt>
                <c:pt idx="8">
                  <c:v>2966.10621379946</c:v>
                </c:pt>
                <c:pt idx="9">
                  <c:v>2565.28104977251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6896"/>
        <c:axId val="225458816"/>
      </c:scatterChar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磁滞回线!$B$17:$K$17</c:f>
              <c:numCache>
                <c:formatCode>0.00</c:formatCode>
                <c:ptCount val="10"/>
                <c:pt idx="0">
                  <c:v>0</c:v>
                </c:pt>
                <c:pt idx="1">
                  <c:v>9.8199672667757802</c:v>
                </c:pt>
                <c:pt idx="2">
                  <c:v>19.6399345335516</c:v>
                </c:pt>
                <c:pt idx="3">
                  <c:v>29.459901800327302</c:v>
                </c:pt>
                <c:pt idx="4">
                  <c:v>39.2798690671031</c:v>
                </c:pt>
                <c:pt idx="5">
                  <c:v>49.099836333878898</c:v>
                </c:pt>
                <c:pt idx="6">
                  <c:v>58.919803600654703</c:v>
                </c:pt>
                <c:pt idx="7">
                  <c:v>73.649754500818304</c:v>
                </c:pt>
                <c:pt idx="8">
                  <c:v>98.199672667757795</c:v>
                </c:pt>
                <c:pt idx="9">
                  <c:v>122.749590834697</c:v>
                </c:pt>
              </c:numCache>
            </c:numRef>
          </c:xVal>
          <c:yVal>
            <c:numRef>
              <c:f>磁滞回线!$B$18:$K$18</c:f>
              <c:numCache>
                <c:formatCode>0.00</c:formatCode>
                <c:ptCount val="10"/>
                <c:pt idx="0">
                  <c:v>0</c:v>
                </c:pt>
                <c:pt idx="1">
                  <c:v>5.93548387096774E-2</c:v>
                </c:pt>
                <c:pt idx="2">
                  <c:v>0.12860215053763399</c:v>
                </c:pt>
                <c:pt idx="3">
                  <c:v>0.19784946236559101</c:v>
                </c:pt>
                <c:pt idx="4">
                  <c:v>0.247311827956989</c:v>
                </c:pt>
                <c:pt idx="5">
                  <c:v>0.276989247311828</c:v>
                </c:pt>
                <c:pt idx="6">
                  <c:v>0.30666666666666698</c:v>
                </c:pt>
                <c:pt idx="7">
                  <c:v>0.33634408602150501</c:v>
                </c:pt>
                <c:pt idx="8">
                  <c:v>0.36602150537634398</c:v>
                </c:pt>
                <c:pt idx="9">
                  <c:v>0.39569892473118301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64704"/>
        <c:axId val="225466240"/>
      </c:scatterChart>
      <c:valAx>
        <c:axId val="225456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58816"/>
        <c:crosses val="autoZero"/>
        <c:crossBetween val="midCat"/>
      </c:valAx>
      <c:valAx>
        <c:axId val="2254588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56896"/>
        <c:crosses val="autoZero"/>
        <c:crossBetween val="midCat"/>
      </c:valAx>
      <c:valAx>
        <c:axId val="225464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5466240"/>
        <c:crosses val="autoZero"/>
        <c:crossBetween val="midCat"/>
      </c:valAx>
      <c:valAx>
        <c:axId val="2254662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6470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磁滞回线!$B$22:$P$22</c:f>
              <c:numCache>
                <c:formatCode>0.00</c:formatCode>
                <c:ptCount val="15"/>
                <c:pt idx="0">
                  <c:v>-122.749590834697</c:v>
                </c:pt>
                <c:pt idx="1">
                  <c:v>-98.199672667757795</c:v>
                </c:pt>
                <c:pt idx="2">
                  <c:v>-73.649754500818304</c:v>
                </c:pt>
                <c:pt idx="3">
                  <c:v>-49.099836333878898</c:v>
                </c:pt>
                <c:pt idx="4">
                  <c:v>-36.824877250409202</c:v>
                </c:pt>
                <c:pt idx="5">
                  <c:v>-24.549918166939399</c:v>
                </c:pt>
                <c:pt idx="6">
                  <c:v>-12.2749590834697</c:v>
                </c:pt>
                <c:pt idx="7">
                  <c:v>0</c:v>
                </c:pt>
                <c:pt idx="8">
                  <c:v>12.2749590834697</c:v>
                </c:pt>
                <c:pt idx="9">
                  <c:v>24.549918166939399</c:v>
                </c:pt>
                <c:pt idx="10">
                  <c:v>36.824877250409202</c:v>
                </c:pt>
                <c:pt idx="11">
                  <c:v>49.099836333878898</c:v>
                </c:pt>
                <c:pt idx="12">
                  <c:v>73.649754500818304</c:v>
                </c:pt>
                <c:pt idx="13">
                  <c:v>98.199672667757795</c:v>
                </c:pt>
                <c:pt idx="14">
                  <c:v>122.749590834697</c:v>
                </c:pt>
              </c:numCache>
            </c:numRef>
          </c:xVal>
          <c:yVal>
            <c:numRef>
              <c:f>磁滞回线!$B$23:$P$23</c:f>
              <c:numCache>
                <c:formatCode>0.00</c:formatCode>
                <c:ptCount val="15"/>
                <c:pt idx="0">
                  <c:v>-0.39569892473118301</c:v>
                </c:pt>
                <c:pt idx="1">
                  <c:v>-0.36602150537634398</c:v>
                </c:pt>
                <c:pt idx="2">
                  <c:v>-0.33634408602150501</c:v>
                </c:pt>
                <c:pt idx="3">
                  <c:v>-0.247311827956989</c:v>
                </c:pt>
                <c:pt idx="4">
                  <c:v>-0.138494623655914</c:v>
                </c:pt>
                <c:pt idx="5">
                  <c:v>-1.97849462365591E-2</c:v>
                </c:pt>
                <c:pt idx="6">
                  <c:v>0.108817204301075</c:v>
                </c:pt>
                <c:pt idx="7">
                  <c:v>0.217634408602151</c:v>
                </c:pt>
                <c:pt idx="8">
                  <c:v>0.26709677419354799</c:v>
                </c:pt>
                <c:pt idx="9">
                  <c:v>0.30172043010752703</c:v>
                </c:pt>
                <c:pt idx="10">
                  <c:v>0.326451612903226</c:v>
                </c:pt>
                <c:pt idx="11">
                  <c:v>0.34129032258064501</c:v>
                </c:pt>
                <c:pt idx="12">
                  <c:v>0.36602150537634398</c:v>
                </c:pt>
                <c:pt idx="13">
                  <c:v>0.37591397849462399</c:v>
                </c:pt>
                <c:pt idx="14">
                  <c:v>0.39569892473118301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磁滞回线!$B$22:$P$22</c:f>
              <c:numCache>
                <c:formatCode>0.00</c:formatCode>
                <c:ptCount val="15"/>
                <c:pt idx="0">
                  <c:v>-122.749590834697</c:v>
                </c:pt>
                <c:pt idx="1">
                  <c:v>-98.199672667757795</c:v>
                </c:pt>
                <c:pt idx="2">
                  <c:v>-73.649754500818304</c:v>
                </c:pt>
                <c:pt idx="3">
                  <c:v>-49.099836333878898</c:v>
                </c:pt>
                <c:pt idx="4">
                  <c:v>-36.824877250409202</c:v>
                </c:pt>
                <c:pt idx="5">
                  <c:v>-24.549918166939399</c:v>
                </c:pt>
                <c:pt idx="6">
                  <c:v>-12.2749590834697</c:v>
                </c:pt>
                <c:pt idx="7">
                  <c:v>0</c:v>
                </c:pt>
                <c:pt idx="8">
                  <c:v>12.2749590834697</c:v>
                </c:pt>
                <c:pt idx="9">
                  <c:v>24.549918166939399</c:v>
                </c:pt>
                <c:pt idx="10">
                  <c:v>36.824877250409202</c:v>
                </c:pt>
                <c:pt idx="11">
                  <c:v>49.099836333878898</c:v>
                </c:pt>
                <c:pt idx="12">
                  <c:v>73.649754500818304</c:v>
                </c:pt>
                <c:pt idx="13">
                  <c:v>98.199672667757795</c:v>
                </c:pt>
                <c:pt idx="14">
                  <c:v>122.749590834697</c:v>
                </c:pt>
              </c:numCache>
            </c:numRef>
          </c:xVal>
          <c:yVal>
            <c:numRef>
              <c:f>磁滞回线!$B$24:$P$24</c:f>
              <c:numCache>
                <c:formatCode>0.00</c:formatCode>
                <c:ptCount val="15"/>
                <c:pt idx="0">
                  <c:v>-0.39569892473118301</c:v>
                </c:pt>
                <c:pt idx="1">
                  <c:v>-0.37591397849462399</c:v>
                </c:pt>
                <c:pt idx="2">
                  <c:v>-0.36602150537634398</c:v>
                </c:pt>
                <c:pt idx="3">
                  <c:v>-0.34623655913978502</c:v>
                </c:pt>
                <c:pt idx="4">
                  <c:v>-0.31655913978494599</c:v>
                </c:pt>
                <c:pt idx="5">
                  <c:v>-0.30172043010752703</c:v>
                </c:pt>
                <c:pt idx="6">
                  <c:v>-0.25720430107526898</c:v>
                </c:pt>
                <c:pt idx="7">
                  <c:v>-0.19784946236559101</c:v>
                </c:pt>
                <c:pt idx="8">
                  <c:v>-6.9247311827957E-2</c:v>
                </c:pt>
                <c:pt idx="9">
                  <c:v>6.4301075268817204E-2</c:v>
                </c:pt>
                <c:pt idx="10">
                  <c:v>0.18301075268817199</c:v>
                </c:pt>
                <c:pt idx="11">
                  <c:v>0.25720430107526898</c:v>
                </c:pt>
                <c:pt idx="12">
                  <c:v>0.33634408602150501</c:v>
                </c:pt>
                <c:pt idx="13">
                  <c:v>0.36602150537634398</c:v>
                </c:pt>
                <c:pt idx="14">
                  <c:v>0.39569892473118301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95296"/>
        <c:axId val="225497472"/>
      </c:scatterChart>
      <c:valAx>
        <c:axId val="225495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97472"/>
        <c:crosses val="autoZero"/>
        <c:crossBetween val="midCat"/>
      </c:valAx>
      <c:valAx>
        <c:axId val="2254974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95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磁滞回线!$B$39:$P$39</c:f>
              <c:numCache>
                <c:formatCode>0.00</c:formatCode>
                <c:ptCount val="15"/>
                <c:pt idx="0">
                  <c:v>-86.107921928817404</c:v>
                </c:pt>
                <c:pt idx="1">
                  <c:v>-68.886337543053997</c:v>
                </c:pt>
                <c:pt idx="2">
                  <c:v>-51.664753157290498</c:v>
                </c:pt>
                <c:pt idx="3">
                  <c:v>-34.443168771526999</c:v>
                </c:pt>
                <c:pt idx="4">
                  <c:v>-25.832376578645199</c:v>
                </c:pt>
                <c:pt idx="5">
                  <c:v>-17.221584385763499</c:v>
                </c:pt>
                <c:pt idx="6">
                  <c:v>-8.6107921928817408</c:v>
                </c:pt>
                <c:pt idx="7">
                  <c:v>0</c:v>
                </c:pt>
                <c:pt idx="8">
                  <c:v>8.6107921928817408</c:v>
                </c:pt>
                <c:pt idx="9">
                  <c:v>17.221584385763499</c:v>
                </c:pt>
                <c:pt idx="10">
                  <c:v>25.832376578645199</c:v>
                </c:pt>
                <c:pt idx="11">
                  <c:v>34.443168771526999</c:v>
                </c:pt>
                <c:pt idx="12">
                  <c:v>51.664753157290498</c:v>
                </c:pt>
                <c:pt idx="13">
                  <c:v>68.886337543053997</c:v>
                </c:pt>
                <c:pt idx="14">
                  <c:v>86.107921928817404</c:v>
                </c:pt>
              </c:numCache>
            </c:numRef>
          </c:xVal>
          <c:yVal>
            <c:numRef>
              <c:f>磁滞回线!$B$40:$P$40</c:f>
              <c:numCache>
                <c:formatCode>0.00</c:formatCode>
                <c:ptCount val="15"/>
                <c:pt idx="0">
                  <c:v>-0.36129032258064497</c:v>
                </c:pt>
                <c:pt idx="1">
                  <c:v>-0.33419354838709697</c:v>
                </c:pt>
                <c:pt idx="2">
                  <c:v>-0.29806451612903201</c:v>
                </c:pt>
                <c:pt idx="3">
                  <c:v>-0.20774193548387099</c:v>
                </c:pt>
                <c:pt idx="4">
                  <c:v>-0.12645161290322601</c:v>
                </c:pt>
                <c:pt idx="5">
                  <c:v>-4.9677419354838701E-2</c:v>
                </c:pt>
                <c:pt idx="6">
                  <c:v>4.5161290322580601E-2</c:v>
                </c:pt>
                <c:pt idx="7">
                  <c:v>0.13096774193548399</c:v>
                </c:pt>
                <c:pt idx="8">
                  <c:v>0.198709677419355</c:v>
                </c:pt>
                <c:pt idx="9">
                  <c:v>0.239354838709677</c:v>
                </c:pt>
                <c:pt idx="10">
                  <c:v>0.27096774193548401</c:v>
                </c:pt>
                <c:pt idx="11">
                  <c:v>0.28903225806451599</c:v>
                </c:pt>
                <c:pt idx="12">
                  <c:v>0.320645161290323</c:v>
                </c:pt>
                <c:pt idx="13">
                  <c:v>0.33870967741935498</c:v>
                </c:pt>
                <c:pt idx="14">
                  <c:v>0.36129032258064497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磁滞回线!$B$39:$P$39</c:f>
              <c:numCache>
                <c:formatCode>0.00</c:formatCode>
                <c:ptCount val="15"/>
                <c:pt idx="0">
                  <c:v>-86.107921928817404</c:v>
                </c:pt>
                <c:pt idx="1">
                  <c:v>-68.886337543053997</c:v>
                </c:pt>
                <c:pt idx="2">
                  <c:v>-51.664753157290498</c:v>
                </c:pt>
                <c:pt idx="3">
                  <c:v>-34.443168771526999</c:v>
                </c:pt>
                <c:pt idx="4">
                  <c:v>-25.832376578645199</c:v>
                </c:pt>
                <c:pt idx="5">
                  <c:v>-17.221584385763499</c:v>
                </c:pt>
                <c:pt idx="6">
                  <c:v>-8.6107921928817408</c:v>
                </c:pt>
                <c:pt idx="7">
                  <c:v>0</c:v>
                </c:pt>
                <c:pt idx="8">
                  <c:v>8.6107921928817408</c:v>
                </c:pt>
                <c:pt idx="9">
                  <c:v>17.221584385763499</c:v>
                </c:pt>
                <c:pt idx="10">
                  <c:v>25.832376578645199</c:v>
                </c:pt>
                <c:pt idx="11">
                  <c:v>34.443168771526999</c:v>
                </c:pt>
                <c:pt idx="12">
                  <c:v>51.664753157290498</c:v>
                </c:pt>
                <c:pt idx="13">
                  <c:v>68.886337543053997</c:v>
                </c:pt>
                <c:pt idx="14">
                  <c:v>86.107921928817404</c:v>
                </c:pt>
              </c:numCache>
            </c:numRef>
          </c:xVal>
          <c:yVal>
            <c:numRef>
              <c:f>磁滞回线!$B$41:$P$41</c:f>
              <c:numCache>
                <c:formatCode>0.00</c:formatCode>
                <c:ptCount val="15"/>
                <c:pt idx="0">
                  <c:v>-0.36129032258064497</c:v>
                </c:pt>
                <c:pt idx="1">
                  <c:v>-0.34322580645161299</c:v>
                </c:pt>
                <c:pt idx="2">
                  <c:v>-0.33419354838709697</c:v>
                </c:pt>
                <c:pt idx="3">
                  <c:v>-0.30709677419354803</c:v>
                </c:pt>
                <c:pt idx="4">
                  <c:v>-0.28000000000000003</c:v>
                </c:pt>
                <c:pt idx="5">
                  <c:v>-0.25290322580645203</c:v>
                </c:pt>
                <c:pt idx="6">
                  <c:v>-0.20322580645161301</c:v>
                </c:pt>
                <c:pt idx="7">
                  <c:v>-0.135483870967742</c:v>
                </c:pt>
                <c:pt idx="8">
                  <c:v>-4.5161290322580601E-2</c:v>
                </c:pt>
                <c:pt idx="9">
                  <c:v>4.5161290322580601E-2</c:v>
                </c:pt>
                <c:pt idx="10">
                  <c:v>0.12645161290322601</c:v>
                </c:pt>
                <c:pt idx="11">
                  <c:v>0.198709677419355</c:v>
                </c:pt>
                <c:pt idx="12">
                  <c:v>0.28903225806451599</c:v>
                </c:pt>
                <c:pt idx="13">
                  <c:v>0.32516129032258101</c:v>
                </c:pt>
                <c:pt idx="14">
                  <c:v>0.36129032258064497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29920"/>
        <c:axId val="225331456"/>
      </c:scatterChart>
      <c:valAx>
        <c:axId val="225329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31456"/>
        <c:crosses val="autoZero"/>
        <c:crossBetween val="midCat"/>
      </c:valAx>
      <c:valAx>
        <c:axId val="2253314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299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磁滞回线!$B$56:$P$56</c:f>
              <c:numCache>
                <c:formatCode>0.00</c:formatCode>
                <c:ptCount val="15"/>
                <c:pt idx="0">
                  <c:v>-800</c:v>
                </c:pt>
                <c:pt idx="1">
                  <c:v>-640</c:v>
                </c:pt>
                <c:pt idx="2">
                  <c:v>-480</c:v>
                </c:pt>
                <c:pt idx="3">
                  <c:v>-320</c:v>
                </c:pt>
                <c:pt idx="4">
                  <c:v>-240</c:v>
                </c:pt>
                <c:pt idx="5">
                  <c:v>-160</c:v>
                </c:pt>
                <c:pt idx="6">
                  <c:v>-80</c:v>
                </c:pt>
                <c:pt idx="7">
                  <c:v>0</c:v>
                </c:pt>
                <c:pt idx="8">
                  <c:v>80</c:v>
                </c:pt>
                <c:pt idx="9">
                  <c:v>160</c:v>
                </c:pt>
                <c:pt idx="10">
                  <c:v>240</c:v>
                </c:pt>
                <c:pt idx="11">
                  <c:v>320</c:v>
                </c:pt>
                <c:pt idx="12">
                  <c:v>480</c:v>
                </c:pt>
                <c:pt idx="13">
                  <c:v>640</c:v>
                </c:pt>
                <c:pt idx="14">
                  <c:v>800</c:v>
                </c:pt>
              </c:numCache>
            </c:numRef>
          </c:xVal>
          <c:yVal>
            <c:numRef>
              <c:f>磁滞回线!$B$57:$P$57</c:f>
              <c:numCache>
                <c:formatCode>0.00</c:formatCode>
                <c:ptCount val="15"/>
                <c:pt idx="0">
                  <c:v>-1.20888888888889</c:v>
                </c:pt>
                <c:pt idx="1">
                  <c:v>-1.11822222222222</c:v>
                </c:pt>
                <c:pt idx="2">
                  <c:v>-1.01244444444444</c:v>
                </c:pt>
                <c:pt idx="3">
                  <c:v>-0.75555555555555498</c:v>
                </c:pt>
                <c:pt idx="4">
                  <c:v>-0.302222222222222</c:v>
                </c:pt>
                <c:pt idx="5">
                  <c:v>0.36266666666666703</c:v>
                </c:pt>
                <c:pt idx="6">
                  <c:v>0.63466666666666705</c:v>
                </c:pt>
                <c:pt idx="7">
                  <c:v>0.78577777777777802</c:v>
                </c:pt>
                <c:pt idx="8">
                  <c:v>0.87644444444444403</c:v>
                </c:pt>
                <c:pt idx="9">
                  <c:v>0.93688888888888899</c:v>
                </c:pt>
                <c:pt idx="10">
                  <c:v>0.982222222222222</c:v>
                </c:pt>
                <c:pt idx="11">
                  <c:v>1.02755555555556</c:v>
                </c:pt>
                <c:pt idx="12">
                  <c:v>1.0880000000000001</c:v>
                </c:pt>
                <c:pt idx="13">
                  <c:v>1.1484444444444399</c:v>
                </c:pt>
                <c:pt idx="14">
                  <c:v>1.20888888888889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磁滞回线!$B$56:$P$56</c:f>
              <c:numCache>
                <c:formatCode>0.00</c:formatCode>
                <c:ptCount val="15"/>
                <c:pt idx="0">
                  <c:v>-800</c:v>
                </c:pt>
                <c:pt idx="1">
                  <c:v>-640</c:v>
                </c:pt>
                <c:pt idx="2">
                  <c:v>-480</c:v>
                </c:pt>
                <c:pt idx="3">
                  <c:v>-320</c:v>
                </c:pt>
                <c:pt idx="4">
                  <c:v>-240</c:v>
                </c:pt>
                <c:pt idx="5">
                  <c:v>-160</c:v>
                </c:pt>
                <c:pt idx="6">
                  <c:v>-80</c:v>
                </c:pt>
                <c:pt idx="7">
                  <c:v>0</c:v>
                </c:pt>
                <c:pt idx="8">
                  <c:v>80</c:v>
                </c:pt>
                <c:pt idx="9">
                  <c:v>160</c:v>
                </c:pt>
                <c:pt idx="10">
                  <c:v>240</c:v>
                </c:pt>
                <c:pt idx="11">
                  <c:v>320</c:v>
                </c:pt>
                <c:pt idx="12">
                  <c:v>480</c:v>
                </c:pt>
                <c:pt idx="13">
                  <c:v>640</c:v>
                </c:pt>
                <c:pt idx="14">
                  <c:v>800</c:v>
                </c:pt>
              </c:numCache>
            </c:numRef>
          </c:xVal>
          <c:yVal>
            <c:numRef>
              <c:f>磁滞回线!$B$58:$P$58</c:f>
              <c:numCache>
                <c:formatCode>0.00</c:formatCode>
                <c:ptCount val="15"/>
                <c:pt idx="0">
                  <c:v>-1.20888888888889</c:v>
                </c:pt>
                <c:pt idx="1">
                  <c:v>-1.1786666666666701</c:v>
                </c:pt>
                <c:pt idx="2">
                  <c:v>-1.13333333333333</c:v>
                </c:pt>
                <c:pt idx="3">
                  <c:v>-1.0577777777777799</c:v>
                </c:pt>
                <c:pt idx="4">
                  <c:v>-1.02755555555556</c:v>
                </c:pt>
                <c:pt idx="5">
                  <c:v>-0.96711111111111103</c:v>
                </c:pt>
                <c:pt idx="6">
                  <c:v>-0.90666666666666695</c:v>
                </c:pt>
                <c:pt idx="7">
                  <c:v>-0.81599999999999995</c:v>
                </c:pt>
                <c:pt idx="8">
                  <c:v>-0.66488888888888897</c:v>
                </c:pt>
                <c:pt idx="9">
                  <c:v>-0.33244444444444399</c:v>
                </c:pt>
                <c:pt idx="10">
                  <c:v>0.302222222222222</c:v>
                </c:pt>
                <c:pt idx="11">
                  <c:v>0.72533333333333305</c:v>
                </c:pt>
                <c:pt idx="12">
                  <c:v>0.982222222222222</c:v>
                </c:pt>
                <c:pt idx="13">
                  <c:v>1.0880000000000001</c:v>
                </c:pt>
                <c:pt idx="14">
                  <c:v>1.20888888888889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51936"/>
        <c:axId val="225366400"/>
      </c:scatterChart>
      <c:valAx>
        <c:axId val="225351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66400"/>
        <c:crosses val="autoZero"/>
        <c:crossBetween val="midCat"/>
      </c:valAx>
      <c:valAx>
        <c:axId val="2253664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51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0183727034102E-2"/>
          <c:y val="3.0104257801108199E-2"/>
          <c:w val="0.84562270341207302"/>
          <c:h val="0.8261380869058030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迈克尔逊干涉!$B$2:$L$2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迈克尔逊干涉!$B$4:$L$4</c:f>
              <c:numCache>
                <c:formatCode>0.000</c:formatCode>
                <c:ptCount val="11"/>
                <c:pt idx="0">
                  <c:v>0.65</c:v>
                </c:pt>
                <c:pt idx="1">
                  <c:v>0.66620000000000001</c:v>
                </c:pt>
                <c:pt idx="2">
                  <c:v>0.68200000000000005</c:v>
                </c:pt>
                <c:pt idx="3">
                  <c:v>0.69720000000000004</c:v>
                </c:pt>
                <c:pt idx="4">
                  <c:v>0.71299999999999997</c:v>
                </c:pt>
                <c:pt idx="5">
                  <c:v>0.72924999999999995</c:v>
                </c:pt>
                <c:pt idx="6">
                  <c:v>0.74550000000000005</c:v>
                </c:pt>
                <c:pt idx="7">
                  <c:v>0.76290000000000002</c:v>
                </c:pt>
                <c:pt idx="8">
                  <c:v>0.77995000000000003</c:v>
                </c:pt>
                <c:pt idx="9">
                  <c:v>0.79600000000000004</c:v>
                </c:pt>
                <c:pt idx="10">
                  <c:v>0.81294999999999995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51104"/>
        <c:axId val="225552640"/>
      </c:scatterChart>
      <c:valAx>
        <c:axId val="2255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552640"/>
        <c:crosses val="autoZero"/>
        <c:crossBetween val="midCat"/>
      </c:valAx>
      <c:valAx>
        <c:axId val="225552640"/>
        <c:scaling>
          <c:orientation val="minMax"/>
          <c:min val="0.6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551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993000874890594E-2"/>
          <c:y val="0.18091462525517599"/>
          <c:w val="0.62150699912510898"/>
          <c:h val="0.68019648585593495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75699912510899"/>
                  <c:y val="-0.11806722076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光电效应!$B$2:$I$2</c:f>
              <c:numCache>
                <c:formatCode>0.00</c:formatCode>
                <c:ptCount val="8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</c:numCache>
            </c:numRef>
          </c:xVal>
          <c:yVal>
            <c:numRef>
              <c:f>光电效应!$B$3:$I$3</c:f>
              <c:numCache>
                <c:formatCode>0.0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-2.2000000000000002</c:v>
                </c:pt>
                <c:pt idx="3">
                  <c:v>-3.8</c:v>
                </c:pt>
                <c:pt idx="4">
                  <c:v>-5</c:v>
                </c:pt>
                <c:pt idx="5">
                  <c:v>-6.2</c:v>
                </c:pt>
                <c:pt idx="6">
                  <c:v>-8</c:v>
                </c:pt>
                <c:pt idx="7">
                  <c:v>-9.8000000000000007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10528"/>
        <c:axId val="225512448"/>
      </c:scatterChart>
      <c:valAx>
        <c:axId val="22551052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512448"/>
        <c:crosses val="autoZero"/>
        <c:crossBetween val="midCat"/>
      </c:valAx>
      <c:valAx>
        <c:axId val="225512448"/>
        <c:scaling>
          <c:orientation val="minMax"/>
          <c:max val="1"/>
          <c:min val="-1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i/10^-11A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510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128587</xdr:rowOff>
    </xdr:from>
    <xdr:to>
      <xdr:col>5</xdr:col>
      <xdr:colOff>400050</xdr:colOff>
      <xdr:row>21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80962</xdr:rowOff>
    </xdr:from>
    <xdr:to>
      <xdr:col>5</xdr:col>
      <xdr:colOff>342900</xdr:colOff>
      <xdr:row>45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51</xdr:row>
      <xdr:rowOff>100012</xdr:rowOff>
    </xdr:from>
    <xdr:to>
      <xdr:col>5</xdr:col>
      <xdr:colOff>438150</xdr:colOff>
      <xdr:row>66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</xdr:row>
      <xdr:rowOff>80962</xdr:rowOff>
    </xdr:from>
    <xdr:to>
      <xdr:col>22</xdr:col>
      <xdr:colOff>523875</xdr:colOff>
      <xdr:row>16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17</xdr:row>
      <xdr:rowOff>33337</xdr:rowOff>
    </xdr:from>
    <xdr:to>
      <xdr:col>22</xdr:col>
      <xdr:colOff>638175</xdr:colOff>
      <xdr:row>32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33</xdr:row>
      <xdr:rowOff>4762</xdr:rowOff>
    </xdr:from>
    <xdr:to>
      <xdr:col>22</xdr:col>
      <xdr:colOff>676275</xdr:colOff>
      <xdr:row>48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49</xdr:row>
      <xdr:rowOff>4762</xdr:rowOff>
    </xdr:from>
    <xdr:to>
      <xdr:col>22</xdr:col>
      <xdr:colOff>638175</xdr:colOff>
      <xdr:row>64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5</xdr:row>
      <xdr:rowOff>14287</xdr:rowOff>
    </xdr:from>
    <xdr:to>
      <xdr:col>7</xdr:col>
      <xdr:colOff>438150</xdr:colOff>
      <xdr:row>20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61911</xdr:rowOff>
    </xdr:from>
    <xdr:to>
      <xdr:col>6</xdr:col>
      <xdr:colOff>371475</xdr:colOff>
      <xdr:row>12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177165</xdr:rowOff>
    </xdr:from>
    <xdr:to>
      <xdr:col>6</xdr:col>
      <xdr:colOff>64770</xdr:colOff>
      <xdr:row>60</xdr:row>
      <xdr:rowOff>178435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</xdr:colOff>
      <xdr:row>46</xdr:row>
      <xdr:rowOff>23971</xdr:rowOff>
    </xdr:from>
    <xdr:to>
      <xdr:col>12</xdr:col>
      <xdr:colOff>63526</xdr:colOff>
      <xdr:row>61</xdr:row>
      <xdr:rowOff>25221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489744</xdr:colOff>
      <xdr:row>46</xdr:row>
      <xdr:rowOff>46301</xdr:rowOff>
    </xdr:from>
    <xdr:to>
      <xdr:col>17</xdr:col>
      <xdr:colOff>533743</xdr:colOff>
      <xdr:row>61</xdr:row>
      <xdr:rowOff>47551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30955</xdr:colOff>
      <xdr:row>46</xdr:row>
      <xdr:rowOff>43127</xdr:rowOff>
    </xdr:from>
    <xdr:to>
      <xdr:col>22</xdr:col>
      <xdr:colOff>450664</xdr:colOff>
      <xdr:row>61</xdr:row>
      <xdr:rowOff>44377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138747</xdr:colOff>
      <xdr:row>46</xdr:row>
      <xdr:rowOff>44132</xdr:rowOff>
    </xdr:from>
    <xdr:to>
      <xdr:col>26</xdr:col>
      <xdr:colOff>541655</xdr:colOff>
      <xdr:row>61</xdr:row>
      <xdr:rowOff>45402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74083</xdr:colOff>
      <xdr:row>63</xdr:row>
      <xdr:rowOff>94191</xdr:rowOff>
    </xdr:from>
    <xdr:to>
      <xdr:col>16</xdr:col>
      <xdr:colOff>74083</xdr:colOff>
      <xdr:row>78</xdr:row>
      <xdr:rowOff>138641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61912</xdr:rowOff>
    </xdr:from>
    <xdr:to>
      <xdr:col>5</xdr:col>
      <xdr:colOff>9525</xdr:colOff>
      <xdr:row>15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41</xdr:row>
      <xdr:rowOff>52387</xdr:rowOff>
    </xdr:from>
    <xdr:to>
      <xdr:col>6</xdr:col>
      <xdr:colOff>533400</xdr:colOff>
      <xdr:row>56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19050</xdr:rowOff>
    </xdr:from>
    <xdr:to>
      <xdr:col>25</xdr:col>
      <xdr:colOff>428625</xdr:colOff>
      <xdr:row>48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J12" sqref="J12"/>
    </sheetView>
  </sheetViews>
  <sheetFormatPr defaultColWidth="9" defaultRowHeight="14.25"/>
  <cols>
    <col min="2" max="2" width="12.75" customWidth="1"/>
    <col min="4" max="4" width="13.875" customWidth="1"/>
    <col min="6" max="6" width="15" customWidth="1"/>
    <col min="7" max="7" width="12.75" customWidth="1"/>
    <col min="8" max="8" width="12.625" customWidth="1"/>
    <col min="10" max="10" width="9.375"/>
    <col min="11" max="11" width="12.625"/>
    <col min="12" max="13" width="9.375"/>
  </cols>
  <sheetData>
    <row r="1" spans="1:20">
      <c r="A1" t="s">
        <v>0</v>
      </c>
      <c r="F1" t="s">
        <v>1</v>
      </c>
      <c r="G1" t="s">
        <v>2</v>
      </c>
    </row>
    <row r="2" spans="1:20">
      <c r="A2">
        <v>0.79800000000000004</v>
      </c>
      <c r="B2">
        <f>A2-0.002</f>
        <v>0.79600000000000004</v>
      </c>
      <c r="C2">
        <f>B2-$B$10</f>
        <v>2.1250000000000401E-3</v>
      </c>
      <c r="D2">
        <f>C2*C2</f>
        <v>4.5156250000001902E-6</v>
      </c>
      <c r="F2" s="1">
        <f>2.406/(7-1.064)+1.959</f>
        <v>2.3643234501347701</v>
      </c>
      <c r="G2">
        <f>F2*D12</f>
        <v>1.5757757797426699E-3</v>
      </c>
      <c r="H2" t="s">
        <v>3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f>AVERAGE(I2:S2)</f>
        <v>15</v>
      </c>
    </row>
    <row r="3" spans="1:20">
      <c r="A3">
        <v>0.79800000000000004</v>
      </c>
      <c r="B3">
        <f t="shared" ref="B3:B10" si="0">A3-0.002</f>
        <v>0.79600000000000004</v>
      </c>
      <c r="C3">
        <f t="shared" ref="C3:C9" si="1">B3-$B$10</f>
        <v>2.1250000000000401E-3</v>
      </c>
      <c r="D3">
        <f t="shared" ref="D3:D9" si="2">C3*C3</f>
        <v>4.5156250000001902E-6</v>
      </c>
      <c r="G3" t="s">
        <v>4</v>
      </c>
      <c r="H3" t="s">
        <v>5</v>
      </c>
      <c r="I3">
        <v>66.900000000000006</v>
      </c>
      <c r="J3">
        <v>68</v>
      </c>
      <c r="K3">
        <v>69.7</v>
      </c>
      <c r="L3">
        <v>70.2</v>
      </c>
      <c r="M3">
        <v>71.099999999999994</v>
      </c>
      <c r="N3">
        <v>72.8</v>
      </c>
      <c r="O3">
        <v>74</v>
      </c>
      <c r="P3">
        <v>75.7</v>
      </c>
      <c r="Q3">
        <v>77</v>
      </c>
      <c r="R3">
        <v>79</v>
      </c>
      <c r="S3">
        <v>80.099999999999994</v>
      </c>
      <c r="T3">
        <f>AVERAGE(I3:S3)</f>
        <v>73.136363636363598</v>
      </c>
    </row>
    <row r="4" spans="1:20">
      <c r="A4">
        <v>0.79500000000000004</v>
      </c>
      <c r="B4">
        <f t="shared" si="0"/>
        <v>0.79300000000000004</v>
      </c>
      <c r="C4">
        <f t="shared" si="1"/>
        <v>-8.7499999999995904E-4</v>
      </c>
      <c r="D4">
        <f t="shared" si="2"/>
        <v>7.6562499999992904E-7</v>
      </c>
      <c r="G4">
        <v>5.0000000000000001E-3</v>
      </c>
      <c r="H4" t="s">
        <v>6</v>
      </c>
      <c r="I4">
        <f>I2^2</f>
        <v>100</v>
      </c>
      <c r="J4">
        <f t="shared" ref="J4:S4" si="3">J2^2</f>
        <v>121</v>
      </c>
      <c r="K4">
        <f t="shared" si="3"/>
        <v>144</v>
      </c>
      <c r="L4">
        <f t="shared" si="3"/>
        <v>169</v>
      </c>
      <c r="M4">
        <f t="shared" si="3"/>
        <v>196</v>
      </c>
      <c r="N4">
        <f t="shared" si="3"/>
        <v>225</v>
      </c>
      <c r="O4">
        <f t="shared" si="3"/>
        <v>256</v>
      </c>
      <c r="P4">
        <f t="shared" si="3"/>
        <v>289</v>
      </c>
      <c r="Q4">
        <f t="shared" si="3"/>
        <v>324</v>
      </c>
      <c r="R4">
        <f t="shared" si="3"/>
        <v>361</v>
      </c>
      <c r="S4">
        <f t="shared" si="3"/>
        <v>400</v>
      </c>
      <c r="T4">
        <f>AVERAGE(I4:S4)</f>
        <v>235</v>
      </c>
    </row>
    <row r="5" spans="1:20">
      <c r="A5">
        <v>0.79800000000000004</v>
      </c>
      <c r="B5">
        <f t="shared" si="0"/>
        <v>0.79600000000000004</v>
      </c>
      <c r="C5">
        <f t="shared" si="1"/>
        <v>2.1250000000000401E-3</v>
      </c>
      <c r="D5">
        <f t="shared" si="2"/>
        <v>4.5156250000001902E-6</v>
      </c>
      <c r="G5" t="s">
        <v>7</v>
      </c>
      <c r="H5" t="s">
        <v>8</v>
      </c>
      <c r="I5">
        <f>I2*I3</f>
        <v>669</v>
      </c>
      <c r="J5">
        <f t="shared" ref="J5:S5" si="4">J2*J3</f>
        <v>748</v>
      </c>
      <c r="K5">
        <f t="shared" si="4"/>
        <v>836.4</v>
      </c>
      <c r="L5">
        <f t="shared" si="4"/>
        <v>912.6</v>
      </c>
      <c r="M5">
        <f t="shared" si="4"/>
        <v>995.4</v>
      </c>
      <c r="N5">
        <f t="shared" si="4"/>
        <v>1092</v>
      </c>
      <c r="O5">
        <f t="shared" si="4"/>
        <v>1184</v>
      </c>
      <c r="P5">
        <f t="shared" si="4"/>
        <v>1286.9000000000001</v>
      </c>
      <c r="Q5">
        <f t="shared" si="4"/>
        <v>1386</v>
      </c>
      <c r="R5">
        <f t="shared" si="4"/>
        <v>1501</v>
      </c>
      <c r="S5">
        <f t="shared" si="4"/>
        <v>1602</v>
      </c>
      <c r="T5">
        <f>AVERAGE(I5:S5)</f>
        <v>1110.3</v>
      </c>
    </row>
    <row r="6" spans="1:20">
      <c r="A6">
        <v>0.79500000000000004</v>
      </c>
      <c r="B6">
        <f t="shared" si="0"/>
        <v>0.79300000000000004</v>
      </c>
      <c r="C6">
        <f t="shared" si="1"/>
        <v>-8.7499999999995904E-4</v>
      </c>
      <c r="D6">
        <f t="shared" si="2"/>
        <v>7.6562499999992904E-7</v>
      </c>
      <c r="G6">
        <f>(G2^2+G4^2)^0.5</f>
        <v>5.2424297141710598E-3</v>
      </c>
      <c r="H6" t="s">
        <v>9</v>
      </c>
      <c r="I6">
        <f>(I3-$G$12-$G$11*I2)^2</f>
        <v>0.152809917355372</v>
      </c>
      <c r="J6">
        <f t="shared" ref="J6:S6" si="5">(J3-$G$12-$G$11*J2)^2</f>
        <v>2.7375206611568701E-2</v>
      </c>
      <c r="K6">
        <f t="shared" si="5"/>
        <v>0.29159999999999903</v>
      </c>
      <c r="L6">
        <f t="shared" si="5"/>
        <v>8.1484297520660998E-2</v>
      </c>
      <c r="M6">
        <f t="shared" si="5"/>
        <v>0.50539173553720496</v>
      </c>
      <c r="N6">
        <f t="shared" si="5"/>
        <v>0.113140495867773</v>
      </c>
      <c r="O6">
        <f t="shared" si="5"/>
        <v>0.213276033057854</v>
      </c>
      <c r="P6">
        <f t="shared" si="5"/>
        <v>7.61652892561962E-3</v>
      </c>
      <c r="Q6">
        <f t="shared" si="5"/>
        <v>1.2707438016529E-2</v>
      </c>
      <c r="R6">
        <f t="shared" si="5"/>
        <v>0.31563966942148403</v>
      </c>
      <c r="S6">
        <f t="shared" si="5"/>
        <v>0.11314049586776399</v>
      </c>
      <c r="T6">
        <f>SUM(I6:S6)</f>
        <v>1.8341818181818299</v>
      </c>
    </row>
    <row r="7" spans="1:20">
      <c r="A7">
        <v>0.79500000000000004</v>
      </c>
      <c r="B7">
        <f t="shared" si="0"/>
        <v>0.79300000000000004</v>
      </c>
      <c r="C7">
        <f t="shared" si="1"/>
        <v>-8.7499999999995904E-4</v>
      </c>
      <c r="D7">
        <f t="shared" si="2"/>
        <v>7.6562499999992904E-7</v>
      </c>
      <c r="H7" t="s">
        <v>10</v>
      </c>
      <c r="I7">
        <f>(I2-$T$2)^2</f>
        <v>25</v>
      </c>
      <c r="J7">
        <f t="shared" ref="J7:S7" si="6">(J2-$T$2)^2</f>
        <v>16</v>
      </c>
      <c r="K7">
        <f t="shared" si="6"/>
        <v>9</v>
      </c>
      <c r="L7">
        <f t="shared" si="6"/>
        <v>4</v>
      </c>
      <c r="M7">
        <f t="shared" si="6"/>
        <v>1</v>
      </c>
      <c r="N7">
        <f t="shared" si="6"/>
        <v>0</v>
      </c>
      <c r="O7">
        <f t="shared" si="6"/>
        <v>1</v>
      </c>
      <c r="P7">
        <f t="shared" si="6"/>
        <v>4</v>
      </c>
      <c r="Q7">
        <f t="shared" si="6"/>
        <v>9</v>
      </c>
      <c r="R7">
        <f t="shared" si="6"/>
        <v>16</v>
      </c>
      <c r="S7">
        <f t="shared" si="6"/>
        <v>25</v>
      </c>
      <c r="T7">
        <f>SUM(I7:S7)</f>
        <v>110</v>
      </c>
    </row>
    <row r="8" spans="1:20">
      <c r="A8">
        <v>0.79500000000000004</v>
      </c>
      <c r="B8">
        <f t="shared" si="0"/>
        <v>0.79300000000000004</v>
      </c>
      <c r="C8">
        <f t="shared" si="1"/>
        <v>-8.7499999999995904E-4</v>
      </c>
      <c r="D8">
        <f t="shared" si="2"/>
        <v>7.6562499999992904E-7</v>
      </c>
      <c r="G8" t="s">
        <v>11</v>
      </c>
    </row>
    <row r="9" spans="1:20">
      <c r="A9">
        <v>0.79300000000000004</v>
      </c>
      <c r="B9">
        <f t="shared" si="0"/>
        <v>0.79100000000000004</v>
      </c>
      <c r="C9">
        <f t="shared" si="1"/>
        <v>-2.8749999999999601E-3</v>
      </c>
      <c r="D9">
        <f t="shared" si="2"/>
        <v>8.2656249999997808E-6</v>
      </c>
      <c r="G9">
        <f>2/3*100*23.1</f>
        <v>1540</v>
      </c>
    </row>
    <row r="10" spans="1:20">
      <c r="A10">
        <f>AVERAGE(A2:A9)</f>
        <v>0.795875</v>
      </c>
      <c r="B10">
        <f t="shared" si="0"/>
        <v>0.793875</v>
      </c>
      <c r="D10">
        <f>SUM(D2:D9)</f>
        <v>2.4875000000000002E-5</v>
      </c>
    </row>
    <row r="11" spans="1:20">
      <c r="D11">
        <f>D10/56</f>
        <v>4.44196428571429E-7</v>
      </c>
      <c r="F11" t="s">
        <v>12</v>
      </c>
      <c r="G11">
        <f>(T2*T3-T5)/(T2^2-T4)</f>
        <v>1.3254545454545399</v>
      </c>
    </row>
    <row r="12" spans="1:20">
      <c r="D12" s="53">
        <f>D11^0.5</f>
        <v>6.6648062880434096E-4</v>
      </c>
      <c r="F12" t="s">
        <v>13</v>
      </c>
      <c r="G12">
        <f>T3-G11*T2</f>
        <v>53.2545454545455</v>
      </c>
    </row>
    <row r="13" spans="1:20">
      <c r="F13" t="s">
        <v>14</v>
      </c>
      <c r="G13">
        <f>(T6/9)^0.5</f>
        <v>0.45143989610797702</v>
      </c>
    </row>
    <row r="14" spans="1:20">
      <c r="A14">
        <f>0.5/391.5</f>
        <v>1.2771392081736899E-3</v>
      </c>
      <c r="B14">
        <f t="shared" ref="B14:B17" si="7">A14^2</f>
        <v>1.63108455705452E-6</v>
      </c>
      <c r="F14" t="s">
        <v>15</v>
      </c>
      <c r="G14">
        <f>G13/(T7^0.5)</f>
        <v>4.30431052231873E-2</v>
      </c>
    </row>
    <row r="15" spans="1:20">
      <c r="A15">
        <f>0.5/84</f>
        <v>5.9523809523809503E-3</v>
      </c>
      <c r="B15">
        <f t="shared" si="7"/>
        <v>3.5430839002267602E-5</v>
      </c>
      <c r="F15" t="s">
        <v>16</v>
      </c>
      <c r="G15">
        <f>G13*(T2^2/T7+1/11)^0.5</f>
        <v>0.65983830837923996</v>
      </c>
    </row>
    <row r="16" spans="1:20">
      <c r="A16">
        <f>2*0.005/0.794</f>
        <v>1.2594458438287199E-2</v>
      </c>
      <c r="B16">
        <f t="shared" si="7"/>
        <v>1.58620383353742E-4</v>
      </c>
      <c r="F16" t="s">
        <v>2</v>
      </c>
      <c r="G16">
        <f>G15*2.26</f>
        <v>1.4912345769370801</v>
      </c>
    </row>
    <row r="17" spans="1:13">
      <c r="A17">
        <f>0.5/1540</f>
        <v>3.24675324675325E-4</v>
      </c>
      <c r="B17">
        <f t="shared" si="7"/>
        <v>1.05414066453027E-7</v>
      </c>
      <c r="F17" t="s">
        <v>4</v>
      </c>
      <c r="G17">
        <f>G14*2.26</f>
        <v>9.7277417804403299E-2</v>
      </c>
    </row>
    <row r="18" spans="1:13">
      <c r="B18">
        <f>SUM(B14:B17)</f>
        <v>1.95787720979518E-4</v>
      </c>
    </row>
    <row r="19" spans="1:13">
      <c r="B19">
        <f>B18^0.5</f>
        <v>1.39924165525301E-2</v>
      </c>
      <c r="F19" s="53">
        <f>8*391.5*1540/(3.14159*(0.794^2)*84*1.325)</f>
        <v>21880.477689063198</v>
      </c>
    </row>
    <row r="20" spans="1:13">
      <c r="B20">
        <f>B19*F19</f>
        <v>306.16075819371298</v>
      </c>
    </row>
    <row r="22" spans="1:13">
      <c r="I22" s="54"/>
      <c r="J22" s="54"/>
      <c r="K22" s="54"/>
      <c r="L22" s="54"/>
      <c r="M22" s="54"/>
    </row>
  </sheetData>
  <phoneticPr fontId="14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7"/>
    </sheetView>
  </sheetViews>
  <sheetFormatPr defaultColWidth="9" defaultRowHeight="14.25"/>
  <cols>
    <col min="5" max="5" width="9.5" customWidth="1"/>
  </cols>
  <sheetData>
    <row r="1" spans="1:8">
      <c r="A1" t="s">
        <v>188</v>
      </c>
    </row>
    <row r="2" spans="1:8">
      <c r="B2">
        <v>1</v>
      </c>
      <c r="C2">
        <v>2</v>
      </c>
    </row>
    <row r="3" spans="1:8">
      <c r="A3" t="s">
        <v>189</v>
      </c>
      <c r="B3">
        <v>4.75</v>
      </c>
      <c r="C3">
        <v>4.75</v>
      </c>
    </row>
    <row r="4" spans="1:8">
      <c r="A4" t="s">
        <v>190</v>
      </c>
      <c r="B4">
        <v>20.05</v>
      </c>
      <c r="C4">
        <v>20.55</v>
      </c>
    </row>
    <row r="5" spans="1:8">
      <c r="A5" t="s">
        <v>191</v>
      </c>
      <c r="B5">
        <f>(B4-B3+C4-C3)/2*10</f>
        <v>155.5</v>
      </c>
    </row>
    <row r="7" spans="1:8">
      <c r="A7" t="s">
        <v>192</v>
      </c>
    </row>
    <row r="8" spans="1:8">
      <c r="B8" s="5" t="s">
        <v>193</v>
      </c>
      <c r="C8" s="5" t="s">
        <v>194</v>
      </c>
      <c r="D8" s="5" t="s">
        <v>195</v>
      </c>
      <c r="E8" s="5" t="s">
        <v>196</v>
      </c>
      <c r="F8" s="5" t="s">
        <v>197</v>
      </c>
      <c r="G8" s="5" t="s">
        <v>198</v>
      </c>
      <c r="H8" s="5" t="s">
        <v>199</v>
      </c>
    </row>
    <row r="9" spans="1:8">
      <c r="A9">
        <v>1</v>
      </c>
      <c r="B9" s="1">
        <v>2.1349999999999998</v>
      </c>
      <c r="C9" s="1">
        <v>2.8050000000000002</v>
      </c>
      <c r="D9" s="1">
        <v>3.4449999999999998</v>
      </c>
      <c r="E9" s="1">
        <v>4.1399999999999997</v>
      </c>
      <c r="F9" s="1">
        <v>4.7949999999999999</v>
      </c>
      <c r="G9" s="1">
        <v>5.45</v>
      </c>
      <c r="H9" s="1">
        <v>6.1050000000000004</v>
      </c>
    </row>
    <row r="10" spans="1:8">
      <c r="A10">
        <v>2</v>
      </c>
      <c r="B10" s="15">
        <v>2.14</v>
      </c>
      <c r="C10" s="1">
        <v>2.83</v>
      </c>
      <c r="D10" s="1">
        <v>3.5049999999999999</v>
      </c>
      <c r="E10" s="1">
        <v>4.24</v>
      </c>
      <c r="F10" s="1">
        <v>4.8650000000000002</v>
      </c>
      <c r="G10" s="1">
        <v>5.4550000000000001</v>
      </c>
      <c r="H10" s="1">
        <v>6.11</v>
      </c>
    </row>
    <row r="12" spans="1:8">
      <c r="A12" s="5" t="s">
        <v>200</v>
      </c>
      <c r="B12" s="16">
        <f>(H9+G9+F9-D9-C9-B9)/12</f>
        <v>0.66374999999999995</v>
      </c>
      <c r="D12" s="5" t="s">
        <v>201</v>
      </c>
      <c r="E12">
        <v>11310</v>
      </c>
    </row>
    <row r="13" spans="1:8">
      <c r="A13" s="5" t="s">
        <v>202</v>
      </c>
      <c r="B13" s="16">
        <f>(H10+G10+F10-D10-C10-B10)/12</f>
        <v>0.66291666666666704</v>
      </c>
      <c r="D13" s="5" t="s">
        <v>203</v>
      </c>
      <c r="E13">
        <v>5.8929999999999996E-4</v>
      </c>
    </row>
    <row r="14" spans="1:8">
      <c r="A14" s="5" t="s">
        <v>164</v>
      </c>
      <c r="B14" s="16">
        <f>AVERAGE(B12:B13)</f>
        <v>0.663333333333333</v>
      </c>
    </row>
    <row r="16" spans="1:8">
      <c r="A16" s="5" t="s">
        <v>204</v>
      </c>
      <c r="B16">
        <f>E13/B14*B5</f>
        <v>0.138144949748744</v>
      </c>
    </row>
    <row r="17" spans="1:2">
      <c r="A17" s="5" t="s">
        <v>205</v>
      </c>
      <c r="B17" s="17">
        <f>B16*E12</f>
        <v>1562.4193816582899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40" zoomScale="70" zoomScaleNormal="70" workbookViewId="0">
      <selection activeCell="J175" sqref="J175"/>
    </sheetView>
  </sheetViews>
  <sheetFormatPr defaultColWidth="9" defaultRowHeight="14.25"/>
  <cols>
    <col min="1" max="1" width="12.125" customWidth="1"/>
    <col min="2" max="22" width="8.375" customWidth="1"/>
  </cols>
  <sheetData>
    <row r="1" spans="1:9">
      <c r="A1" s="4" t="s">
        <v>206</v>
      </c>
      <c r="C1" s="5" t="s">
        <v>207</v>
      </c>
    </row>
    <row r="2" spans="1:9">
      <c r="A2" s="4" t="s">
        <v>54</v>
      </c>
      <c r="B2" s="6">
        <v>0</v>
      </c>
      <c r="C2" s="6">
        <v>-0.5</v>
      </c>
      <c r="D2" s="6">
        <v>-1</v>
      </c>
      <c r="E2" s="6">
        <v>-1.5</v>
      </c>
      <c r="F2" s="6">
        <v>-2</v>
      </c>
      <c r="G2" s="6">
        <v>-2.5</v>
      </c>
      <c r="H2" s="6">
        <v>-3</v>
      </c>
      <c r="I2" s="6">
        <v>-3.5</v>
      </c>
    </row>
    <row r="3" spans="1:9">
      <c r="A3" s="4" t="s">
        <v>208</v>
      </c>
      <c r="B3" s="7">
        <v>0</v>
      </c>
      <c r="C3" s="7">
        <v>-1</v>
      </c>
      <c r="D3" s="7">
        <v>-2.2000000000000002</v>
      </c>
      <c r="E3" s="7">
        <v>-3.8</v>
      </c>
      <c r="F3" s="7">
        <v>-5</v>
      </c>
      <c r="G3" s="7">
        <v>-6.2</v>
      </c>
      <c r="H3" s="7">
        <v>-8</v>
      </c>
      <c r="I3" s="7">
        <v>-9.8000000000000007</v>
      </c>
    </row>
    <row r="5" spans="1:9">
      <c r="H5" t="s">
        <v>13</v>
      </c>
      <c r="I5" s="6">
        <f>INTERCEPT(B3:I3,B2:I2)</f>
        <v>0.36666666666666697</v>
      </c>
    </row>
    <row r="6" spans="1:9">
      <c r="H6" t="s">
        <v>12</v>
      </c>
      <c r="I6" s="6">
        <f>SLOPE(B3:I3,B2:I2)</f>
        <v>2.78095238095238</v>
      </c>
    </row>
    <row r="15" spans="1:9">
      <c r="A15" t="s">
        <v>209</v>
      </c>
    </row>
    <row r="16" spans="1:9">
      <c r="A16" s="8" t="s">
        <v>210</v>
      </c>
    </row>
    <row r="17" spans="1:22">
      <c r="A17" s="4" t="s">
        <v>211</v>
      </c>
      <c r="B17" s="9">
        <v>-87</v>
      </c>
      <c r="C17" s="9">
        <v>-86</v>
      </c>
      <c r="D17" s="9">
        <v>-84</v>
      </c>
      <c r="E17" s="9">
        <v>-82</v>
      </c>
      <c r="F17" s="9">
        <v>-80</v>
      </c>
      <c r="G17" s="9">
        <v>-78</v>
      </c>
      <c r="H17" s="9">
        <v>-76</v>
      </c>
      <c r="I17" s="9">
        <v>-74</v>
      </c>
      <c r="J17" s="9">
        <v>-72</v>
      </c>
      <c r="K17" s="9">
        <v>-70</v>
      </c>
      <c r="L17" s="9">
        <v>-68</v>
      </c>
      <c r="M17" s="9">
        <v>-66</v>
      </c>
      <c r="N17" s="9">
        <v>-64</v>
      </c>
      <c r="O17" s="9">
        <v>-62</v>
      </c>
      <c r="P17" s="9">
        <v>-60</v>
      </c>
      <c r="Q17" s="9">
        <v>-58</v>
      </c>
      <c r="R17" s="9">
        <v>-48</v>
      </c>
      <c r="S17" s="9">
        <v>-38</v>
      </c>
      <c r="T17" s="9">
        <v>-22</v>
      </c>
      <c r="U17" s="9">
        <v>-10</v>
      </c>
      <c r="V17" s="9">
        <v>0</v>
      </c>
    </row>
    <row r="18" spans="1:22">
      <c r="A18" s="4" t="s">
        <v>54</v>
      </c>
      <c r="B18" s="10">
        <v>-3.5</v>
      </c>
      <c r="C18" s="11">
        <v>-3.26</v>
      </c>
      <c r="D18" s="10">
        <v>-2.96</v>
      </c>
      <c r="E18" s="10">
        <v>-2.68</v>
      </c>
      <c r="F18" s="10">
        <v>-2.44</v>
      </c>
      <c r="G18" s="10">
        <v>-2.21</v>
      </c>
      <c r="H18" s="10">
        <v>-2.0299999999999998</v>
      </c>
      <c r="I18" s="10">
        <v>-1.87</v>
      </c>
      <c r="J18" s="10">
        <v>-1.73</v>
      </c>
      <c r="K18" s="10">
        <v>-1.62</v>
      </c>
      <c r="L18" s="10">
        <v>-1.51</v>
      </c>
      <c r="M18" s="10">
        <v>-1.44</v>
      </c>
      <c r="N18" s="10">
        <v>-1.37</v>
      </c>
      <c r="O18" s="10">
        <v>-1.3</v>
      </c>
      <c r="P18" s="10">
        <v>-1.25</v>
      </c>
      <c r="Q18" s="11">
        <v>-1.22</v>
      </c>
      <c r="R18" s="10">
        <v>-1.1000000000000001</v>
      </c>
      <c r="S18" s="10">
        <v>-1.01</v>
      </c>
      <c r="T18" s="10">
        <v>-0.94</v>
      </c>
      <c r="U18" s="10">
        <v>-0.9</v>
      </c>
      <c r="V18" s="10">
        <v>-0.86</v>
      </c>
    </row>
    <row r="19" spans="1:22">
      <c r="A19" s="4" t="s">
        <v>208</v>
      </c>
      <c r="B19" s="10">
        <f>$I$5+$I$6*B18</f>
        <v>-9.3666666666666707</v>
      </c>
      <c r="C19" s="10">
        <f t="shared" ref="C19:V19" si="0">$I$5+$I$6*C18</f>
        <v>-8.6992380952380994</v>
      </c>
      <c r="D19" s="10">
        <f t="shared" si="0"/>
        <v>-7.8649523809523796</v>
      </c>
      <c r="E19" s="10">
        <f t="shared" si="0"/>
        <v>-7.0862857142857196</v>
      </c>
      <c r="F19" s="10">
        <f t="shared" si="0"/>
        <v>-6.4188571428571404</v>
      </c>
      <c r="G19" s="10">
        <f t="shared" si="0"/>
        <v>-5.7792380952381004</v>
      </c>
      <c r="H19" s="10">
        <f t="shared" si="0"/>
        <v>-5.2786666666666697</v>
      </c>
      <c r="I19" s="10">
        <f t="shared" si="0"/>
        <v>-4.8337142857142901</v>
      </c>
      <c r="J19" s="10">
        <f t="shared" si="0"/>
        <v>-4.4443809523809499</v>
      </c>
      <c r="K19" s="10">
        <f t="shared" si="0"/>
        <v>-4.1384761904761902</v>
      </c>
      <c r="L19" s="10">
        <f t="shared" si="0"/>
        <v>-3.8325714285714301</v>
      </c>
      <c r="M19" s="10">
        <f t="shared" si="0"/>
        <v>-3.63790476190476</v>
      </c>
      <c r="N19" s="10">
        <f t="shared" si="0"/>
        <v>-3.4432380952381001</v>
      </c>
      <c r="O19" s="10">
        <f t="shared" si="0"/>
        <v>-3.24857142857143</v>
      </c>
      <c r="P19" s="10">
        <f t="shared" si="0"/>
        <v>-3.10952380952381</v>
      </c>
      <c r="Q19" s="10">
        <f t="shared" si="0"/>
        <v>-3.0260952380952402</v>
      </c>
      <c r="R19" s="10">
        <f t="shared" si="0"/>
        <v>-2.6923809523809501</v>
      </c>
      <c r="S19" s="10">
        <f t="shared" si="0"/>
        <v>-2.4420952380952401</v>
      </c>
      <c r="T19" s="10">
        <f t="shared" si="0"/>
        <v>-2.24742857142857</v>
      </c>
      <c r="U19" s="10">
        <f t="shared" si="0"/>
        <v>-2.13619047619048</v>
      </c>
      <c r="V19" s="10">
        <f t="shared" si="0"/>
        <v>-2.0249523809523802</v>
      </c>
    </row>
    <row r="20" spans="1:22">
      <c r="A20" s="4" t="s">
        <v>212</v>
      </c>
      <c r="B20" s="12">
        <f>B17-B19</f>
        <v>-77.633333333333297</v>
      </c>
      <c r="C20" s="12">
        <f t="shared" ref="C20:V20" si="1">C17-C19</f>
        <v>-77.300761904761899</v>
      </c>
      <c r="D20" s="12">
        <f t="shared" si="1"/>
        <v>-76.135047619047597</v>
      </c>
      <c r="E20" s="12">
        <f t="shared" si="1"/>
        <v>-74.913714285714306</v>
      </c>
      <c r="F20" s="12">
        <f t="shared" si="1"/>
        <v>-73.581142857142893</v>
      </c>
      <c r="G20" s="12">
        <f t="shared" si="1"/>
        <v>-72.2207619047619</v>
      </c>
      <c r="H20" s="12">
        <f t="shared" si="1"/>
        <v>-70.721333333333305</v>
      </c>
      <c r="I20" s="12">
        <f t="shared" si="1"/>
        <v>-69.166285714285706</v>
      </c>
      <c r="J20" s="12">
        <f t="shared" si="1"/>
        <v>-67.555619047619004</v>
      </c>
      <c r="K20" s="12">
        <f t="shared" si="1"/>
        <v>-65.861523809523803</v>
      </c>
      <c r="L20" s="12">
        <f t="shared" si="1"/>
        <v>-64.167428571428601</v>
      </c>
      <c r="M20" s="12">
        <f t="shared" si="1"/>
        <v>-62.362095238095201</v>
      </c>
      <c r="N20" s="12">
        <f t="shared" si="1"/>
        <v>-60.556761904761899</v>
      </c>
      <c r="O20" s="12">
        <f t="shared" si="1"/>
        <v>-58.751428571428598</v>
      </c>
      <c r="P20" s="12">
        <f t="shared" si="1"/>
        <v>-56.8904761904762</v>
      </c>
      <c r="Q20" s="12">
        <f t="shared" si="1"/>
        <v>-54.973904761904798</v>
      </c>
      <c r="R20" s="12">
        <f t="shared" si="1"/>
        <v>-45.307619047618999</v>
      </c>
      <c r="S20" s="12">
        <f t="shared" si="1"/>
        <v>-35.557904761904801</v>
      </c>
      <c r="T20" s="12">
        <f t="shared" si="1"/>
        <v>-19.7525714285714</v>
      </c>
      <c r="U20" s="12">
        <f t="shared" si="1"/>
        <v>-7.86380952380952</v>
      </c>
      <c r="V20" s="12">
        <f t="shared" si="1"/>
        <v>2.0249523809523802</v>
      </c>
    </row>
    <row r="21" spans="1:2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8" t="s">
        <v>213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4" t="s">
        <v>211</v>
      </c>
      <c r="B23" s="9">
        <v>-96</v>
      </c>
      <c r="C23" s="9">
        <v>-94</v>
      </c>
      <c r="D23" s="9">
        <v>-92</v>
      </c>
      <c r="E23" s="9">
        <v>-90</v>
      </c>
      <c r="F23" s="9">
        <v>-88</v>
      </c>
      <c r="G23" s="9">
        <v>-86</v>
      </c>
      <c r="H23" s="9">
        <v>-84</v>
      </c>
      <c r="I23" s="9">
        <v>-82</v>
      </c>
      <c r="J23" s="9">
        <v>-80</v>
      </c>
      <c r="K23" s="9">
        <v>-78</v>
      </c>
      <c r="L23" s="9">
        <v>-76</v>
      </c>
      <c r="M23" s="9">
        <v>-72</v>
      </c>
      <c r="N23" s="9">
        <v>-67.599999999999994</v>
      </c>
      <c r="O23" s="9">
        <v>-57</v>
      </c>
      <c r="P23" s="9">
        <v>-36</v>
      </c>
      <c r="Q23" s="9">
        <v>-2</v>
      </c>
      <c r="R23" s="9">
        <v>0</v>
      </c>
      <c r="S23" s="3"/>
      <c r="T23" s="3"/>
      <c r="U23" s="3"/>
      <c r="V23" s="3"/>
    </row>
    <row r="24" spans="1:22">
      <c r="A24" s="4" t="s">
        <v>54</v>
      </c>
      <c r="B24" s="3">
        <v>-3.5</v>
      </c>
      <c r="C24" s="3">
        <v>-3.08</v>
      </c>
      <c r="D24" s="11">
        <v>-2.66</v>
      </c>
      <c r="E24" s="3">
        <v>-2.36</v>
      </c>
      <c r="F24" s="3">
        <v>-2.08</v>
      </c>
      <c r="G24" s="3">
        <v>-1.85</v>
      </c>
      <c r="H24" s="3">
        <v>-1.68</v>
      </c>
      <c r="I24" s="3">
        <v>-1.55</v>
      </c>
      <c r="J24" s="3">
        <v>-1.44</v>
      </c>
      <c r="K24" s="3">
        <v>-1.34</v>
      </c>
      <c r="L24" s="11">
        <v>-1.25</v>
      </c>
      <c r="M24" s="3">
        <v>-1.1499999999999999</v>
      </c>
      <c r="N24" s="3">
        <v>-1.05</v>
      </c>
      <c r="O24" s="3">
        <v>-0.95</v>
      </c>
      <c r="P24" s="3">
        <v>-0.85</v>
      </c>
      <c r="Q24" s="3">
        <v>-0.75</v>
      </c>
      <c r="R24" s="3">
        <v>-0.74</v>
      </c>
      <c r="S24" s="3"/>
      <c r="T24" s="3"/>
      <c r="U24" s="3"/>
      <c r="V24" s="3"/>
    </row>
    <row r="25" spans="1:22">
      <c r="A25" s="4" t="s">
        <v>208</v>
      </c>
      <c r="B25" s="10">
        <f>$I$5+$I$6*B24</f>
        <v>-9.3666666666666707</v>
      </c>
      <c r="C25" s="10">
        <f t="shared" ref="C25:R25" si="2">$I$5+$I$6*C24</f>
        <v>-8.1986666666666697</v>
      </c>
      <c r="D25" s="10">
        <f t="shared" si="2"/>
        <v>-7.0306666666666704</v>
      </c>
      <c r="E25" s="10">
        <f t="shared" si="2"/>
        <v>-6.1963809523809497</v>
      </c>
      <c r="F25" s="10">
        <f t="shared" si="2"/>
        <v>-5.4177142857142897</v>
      </c>
      <c r="G25" s="10">
        <f t="shared" si="2"/>
        <v>-4.7780952380952399</v>
      </c>
      <c r="H25" s="10">
        <f t="shared" si="2"/>
        <v>-4.3053333333333299</v>
      </c>
      <c r="I25" s="10">
        <f t="shared" si="2"/>
        <v>-3.9438095238095201</v>
      </c>
      <c r="J25" s="10">
        <f t="shared" si="2"/>
        <v>-3.63790476190476</v>
      </c>
      <c r="K25" s="10">
        <f t="shared" si="2"/>
        <v>-3.35980952380952</v>
      </c>
      <c r="L25" s="10">
        <f t="shared" si="2"/>
        <v>-3.10952380952381</v>
      </c>
      <c r="M25" s="10">
        <f t="shared" si="2"/>
        <v>-2.8314285714285701</v>
      </c>
      <c r="N25" s="10">
        <f t="shared" si="2"/>
        <v>-2.5533333333333301</v>
      </c>
      <c r="O25" s="10">
        <f t="shared" si="2"/>
        <v>-2.2752380952380902</v>
      </c>
      <c r="P25" s="10">
        <f t="shared" si="2"/>
        <v>-1.99714285714286</v>
      </c>
      <c r="Q25" s="10">
        <f t="shared" si="2"/>
        <v>-1.71904761904762</v>
      </c>
      <c r="R25" s="10">
        <f t="shared" si="2"/>
        <v>-1.6912380952380901</v>
      </c>
      <c r="S25" s="3"/>
      <c r="T25" s="3"/>
      <c r="U25" s="3"/>
      <c r="V25" s="3"/>
    </row>
    <row r="26" spans="1:22">
      <c r="A26" s="4" t="s">
        <v>212</v>
      </c>
      <c r="B26" s="12">
        <f>B23-B25</f>
        <v>-86.633333333333297</v>
      </c>
      <c r="C26" s="12">
        <f t="shared" ref="C26:R26" si="3">C23-C25</f>
        <v>-85.801333333333304</v>
      </c>
      <c r="D26" s="12">
        <f t="shared" si="3"/>
        <v>-84.969333333333296</v>
      </c>
      <c r="E26" s="12">
        <f t="shared" si="3"/>
        <v>-83.803619047619094</v>
      </c>
      <c r="F26" s="12">
        <f t="shared" si="3"/>
        <v>-82.582285714285703</v>
      </c>
      <c r="G26" s="12">
        <f t="shared" si="3"/>
        <v>-81.221904761904796</v>
      </c>
      <c r="H26" s="12">
        <f t="shared" si="3"/>
        <v>-79.694666666666706</v>
      </c>
      <c r="I26" s="12">
        <f t="shared" si="3"/>
        <v>-78.056190476190494</v>
      </c>
      <c r="J26" s="12">
        <f t="shared" si="3"/>
        <v>-76.362095238095193</v>
      </c>
      <c r="K26" s="12">
        <f t="shared" si="3"/>
        <v>-74.640190476190497</v>
      </c>
      <c r="L26" s="12">
        <f t="shared" si="3"/>
        <v>-72.890476190476207</v>
      </c>
      <c r="M26" s="12">
        <f t="shared" si="3"/>
        <v>-69.168571428571397</v>
      </c>
      <c r="N26" s="12">
        <f t="shared" si="3"/>
        <v>-65.046666666666695</v>
      </c>
      <c r="O26" s="12">
        <f t="shared" si="3"/>
        <v>-54.724761904761898</v>
      </c>
      <c r="P26" s="12">
        <f t="shared" si="3"/>
        <v>-34.002857142857103</v>
      </c>
      <c r="Q26" s="12">
        <f t="shared" si="3"/>
        <v>-0.28095238095238101</v>
      </c>
      <c r="R26" s="12">
        <f t="shared" si="3"/>
        <v>1.6912380952380901</v>
      </c>
      <c r="S26" s="3"/>
      <c r="T26" s="3"/>
      <c r="U26" s="3"/>
      <c r="V26" s="3"/>
    </row>
    <row r="27" spans="1:2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4" t="s">
        <v>214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4" t="s">
        <v>211</v>
      </c>
      <c r="B29" s="9">
        <v>-90</v>
      </c>
      <c r="C29" s="9">
        <v>-88</v>
      </c>
      <c r="D29" s="9">
        <v>-86</v>
      </c>
      <c r="E29" s="9">
        <v>-84</v>
      </c>
      <c r="F29" s="9">
        <v>-82</v>
      </c>
      <c r="G29" s="9">
        <v>-80</v>
      </c>
      <c r="H29" s="9">
        <v>-78</v>
      </c>
      <c r="I29" s="9">
        <v>-76</v>
      </c>
      <c r="J29" s="9">
        <v>-74</v>
      </c>
      <c r="K29" s="9">
        <v>-72</v>
      </c>
      <c r="L29" s="9">
        <v>-70</v>
      </c>
      <c r="M29" s="9">
        <v>-68</v>
      </c>
      <c r="N29" s="9">
        <v>-65.400000000000006</v>
      </c>
      <c r="O29" s="9">
        <v>-62.2</v>
      </c>
      <c r="P29" s="9">
        <v>-57</v>
      </c>
      <c r="Q29" s="9">
        <v>-46.2</v>
      </c>
      <c r="R29" s="9">
        <v>-26</v>
      </c>
      <c r="S29" s="9">
        <v>0</v>
      </c>
      <c r="T29" s="3"/>
      <c r="U29" s="3"/>
      <c r="V29" s="3"/>
    </row>
    <row r="30" spans="1:22">
      <c r="A30" s="4" t="s">
        <v>54</v>
      </c>
      <c r="B30" s="3">
        <v>-3.5</v>
      </c>
      <c r="C30" s="3">
        <v>-3.03</v>
      </c>
      <c r="D30" s="11">
        <v>-2.68</v>
      </c>
      <c r="E30" s="3">
        <v>-2.39</v>
      </c>
      <c r="F30" s="3">
        <v>-2.1800000000000002</v>
      </c>
      <c r="G30" s="3">
        <v>-1.99</v>
      </c>
      <c r="H30" s="3">
        <v>-1.82</v>
      </c>
      <c r="I30" s="3">
        <v>-1.63</v>
      </c>
      <c r="J30" s="3">
        <v>-1.51</v>
      </c>
      <c r="K30" s="3">
        <v>-1.4</v>
      </c>
      <c r="L30" s="3">
        <v>-1.29</v>
      </c>
      <c r="M30" s="11">
        <v>-1.2</v>
      </c>
      <c r="N30" s="3">
        <v>-1.1000000000000001</v>
      </c>
      <c r="O30" s="3">
        <v>-1</v>
      </c>
      <c r="P30" s="3">
        <v>-0.9</v>
      </c>
      <c r="Q30" s="3">
        <v>-0.8</v>
      </c>
      <c r="R30" s="3">
        <v>-0.7</v>
      </c>
      <c r="S30" s="3">
        <v>-0.63</v>
      </c>
      <c r="T30" s="3"/>
      <c r="U30" s="3"/>
      <c r="V30" s="3"/>
    </row>
    <row r="31" spans="1:22">
      <c r="A31" s="4" t="s">
        <v>208</v>
      </c>
      <c r="B31" s="11">
        <f>$I$5+$I$6*B30</f>
        <v>-9.3666666666666707</v>
      </c>
      <c r="C31" s="11">
        <f t="shared" ref="C31:S31" si="4">$I$5+$I$6*C30</f>
        <v>-8.0596190476190497</v>
      </c>
      <c r="D31" s="11">
        <f t="shared" si="4"/>
        <v>-7.0862857142857196</v>
      </c>
      <c r="E31" s="11">
        <f t="shared" si="4"/>
        <v>-6.2798095238095204</v>
      </c>
      <c r="F31" s="11">
        <f t="shared" si="4"/>
        <v>-5.6958095238095199</v>
      </c>
      <c r="G31" s="11">
        <f t="shared" si="4"/>
        <v>-5.1674285714285704</v>
      </c>
      <c r="H31" s="11">
        <f t="shared" si="4"/>
        <v>-4.6946666666666701</v>
      </c>
      <c r="I31" s="11">
        <f t="shared" si="4"/>
        <v>-4.1662857142857099</v>
      </c>
      <c r="J31" s="11">
        <f t="shared" si="4"/>
        <v>-3.8325714285714301</v>
      </c>
      <c r="K31" s="11">
        <f t="shared" si="4"/>
        <v>-3.5266666666666699</v>
      </c>
      <c r="L31" s="11">
        <f t="shared" si="4"/>
        <v>-3.2207619047619001</v>
      </c>
      <c r="M31" s="11">
        <f t="shared" si="4"/>
        <v>-2.97047619047619</v>
      </c>
      <c r="N31" s="11">
        <f t="shared" si="4"/>
        <v>-2.6923809523809501</v>
      </c>
      <c r="O31" s="11">
        <f t="shared" si="4"/>
        <v>-2.4142857142857101</v>
      </c>
      <c r="P31" s="11">
        <f t="shared" si="4"/>
        <v>-2.13619047619048</v>
      </c>
      <c r="Q31" s="11">
        <f t="shared" si="4"/>
        <v>-1.85809523809524</v>
      </c>
      <c r="R31" s="11">
        <f t="shared" si="4"/>
        <v>-1.58</v>
      </c>
      <c r="S31" s="11">
        <f t="shared" si="4"/>
        <v>-1.38533333333333</v>
      </c>
      <c r="T31" s="3"/>
      <c r="U31" s="3"/>
      <c r="V31" s="3"/>
    </row>
    <row r="32" spans="1:22">
      <c r="A32" s="4" t="s">
        <v>212</v>
      </c>
      <c r="B32" s="12">
        <f>B29-B31</f>
        <v>-80.633333333333297</v>
      </c>
      <c r="C32" s="12">
        <f t="shared" ref="C32:S32" si="5">C29-C31</f>
        <v>-79.940380952380906</v>
      </c>
      <c r="D32" s="12">
        <f t="shared" si="5"/>
        <v>-78.913714285714306</v>
      </c>
      <c r="E32" s="12">
        <f t="shared" si="5"/>
        <v>-77.720190476190496</v>
      </c>
      <c r="F32" s="12">
        <f t="shared" si="5"/>
        <v>-76.304190476190499</v>
      </c>
      <c r="G32" s="12">
        <f t="shared" si="5"/>
        <v>-74.832571428571399</v>
      </c>
      <c r="H32" s="12">
        <f t="shared" si="5"/>
        <v>-73.305333333333294</v>
      </c>
      <c r="I32" s="12">
        <f t="shared" si="5"/>
        <v>-71.833714285714294</v>
      </c>
      <c r="J32" s="12">
        <f t="shared" si="5"/>
        <v>-70.167428571428601</v>
      </c>
      <c r="K32" s="12">
        <f t="shared" si="5"/>
        <v>-68.473333333333301</v>
      </c>
      <c r="L32" s="12">
        <f t="shared" si="5"/>
        <v>-66.7792380952381</v>
      </c>
      <c r="M32" s="12">
        <f t="shared" si="5"/>
        <v>-65.029523809523795</v>
      </c>
      <c r="N32" s="12">
        <f t="shared" si="5"/>
        <v>-62.707619047619097</v>
      </c>
      <c r="O32" s="12">
        <f t="shared" si="5"/>
        <v>-59.785714285714299</v>
      </c>
      <c r="P32" s="12">
        <f t="shared" si="5"/>
        <v>-54.8638095238095</v>
      </c>
      <c r="Q32" s="12">
        <f t="shared" si="5"/>
        <v>-44.3419047619048</v>
      </c>
      <c r="R32" s="12">
        <f t="shared" si="5"/>
        <v>-24.42</v>
      </c>
      <c r="S32" s="12">
        <f t="shared" si="5"/>
        <v>1.38533333333333</v>
      </c>
      <c r="T32" s="3"/>
      <c r="U32" s="3"/>
      <c r="V32" s="3"/>
    </row>
    <row r="33" spans="1:22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4" t="s">
        <v>215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4" t="s">
        <v>211</v>
      </c>
      <c r="B35" s="9">
        <v>-90</v>
      </c>
      <c r="C35" s="9">
        <v>-88</v>
      </c>
      <c r="D35" s="9">
        <v>-86</v>
      </c>
      <c r="E35" s="9">
        <v>-84</v>
      </c>
      <c r="F35" s="9">
        <v>-82</v>
      </c>
      <c r="G35" s="9">
        <v>-80</v>
      </c>
      <c r="H35" s="9">
        <v>-78</v>
      </c>
      <c r="I35" s="9">
        <v>-76</v>
      </c>
      <c r="J35" s="9">
        <v>-74</v>
      </c>
      <c r="K35" s="9">
        <v>-72</v>
      </c>
      <c r="L35" s="9">
        <v>-70</v>
      </c>
      <c r="M35" s="9">
        <v>-68</v>
      </c>
      <c r="N35" s="9">
        <v>-66</v>
      </c>
      <c r="O35" s="9">
        <v>-64</v>
      </c>
      <c r="P35" s="9">
        <v>-60.8</v>
      </c>
      <c r="Q35" s="9">
        <v>-56</v>
      </c>
      <c r="R35" s="9">
        <v>-44.8</v>
      </c>
      <c r="S35" s="9">
        <v>-18.399999999999999</v>
      </c>
      <c r="T35" s="9">
        <v>0</v>
      </c>
      <c r="U35" s="3"/>
      <c r="V35" s="3"/>
    </row>
    <row r="36" spans="1:22">
      <c r="A36" s="4" t="s">
        <v>54</v>
      </c>
      <c r="B36" s="10">
        <v>-3.5</v>
      </c>
      <c r="C36" s="10">
        <v>-3.01</v>
      </c>
      <c r="D36" s="11">
        <v>-2.66</v>
      </c>
      <c r="E36" s="10">
        <v>-2.37</v>
      </c>
      <c r="F36" s="10">
        <v>-2.14</v>
      </c>
      <c r="G36" s="10">
        <v>-1.92</v>
      </c>
      <c r="H36" s="10">
        <v>-1.76</v>
      </c>
      <c r="I36" s="10">
        <v>-1.61</v>
      </c>
      <c r="J36" s="10">
        <v>-1.47</v>
      </c>
      <c r="K36" s="10">
        <v>-1.33</v>
      </c>
      <c r="L36" s="10">
        <v>-1.22</v>
      </c>
      <c r="M36" s="10">
        <v>-1.1200000000000001</v>
      </c>
      <c r="N36" s="10">
        <v>-1.04</v>
      </c>
      <c r="O36" s="11">
        <v>-0.95</v>
      </c>
      <c r="P36" s="10">
        <v>-0.85</v>
      </c>
      <c r="Q36" s="10">
        <v>-0.75</v>
      </c>
      <c r="R36" s="10">
        <v>-0.65</v>
      </c>
      <c r="S36" s="10">
        <v>-0.55000000000000004</v>
      </c>
      <c r="T36" s="10">
        <v>-0.5</v>
      </c>
      <c r="U36" s="3"/>
      <c r="V36" s="3"/>
    </row>
    <row r="37" spans="1:22">
      <c r="A37" s="4" t="s">
        <v>208</v>
      </c>
      <c r="B37" s="10">
        <f>$I$5+$I$6*B36</f>
        <v>-9.3666666666666707</v>
      </c>
      <c r="C37" s="10">
        <f t="shared" ref="C37:T37" si="6">$I$5+$I$6*C36</f>
        <v>-8.0039999999999996</v>
      </c>
      <c r="D37" s="10">
        <f t="shared" si="6"/>
        <v>-7.0306666666666704</v>
      </c>
      <c r="E37" s="10">
        <f t="shared" si="6"/>
        <v>-6.22419047619048</v>
      </c>
      <c r="F37" s="10">
        <f t="shared" si="6"/>
        <v>-5.5845714285714303</v>
      </c>
      <c r="G37" s="10">
        <f t="shared" si="6"/>
        <v>-4.9727619047619003</v>
      </c>
      <c r="H37" s="10">
        <f t="shared" si="6"/>
        <v>-4.5278095238095197</v>
      </c>
      <c r="I37" s="10">
        <f t="shared" si="6"/>
        <v>-4.1106666666666696</v>
      </c>
      <c r="J37" s="10">
        <f t="shared" si="6"/>
        <v>-3.7213333333333298</v>
      </c>
      <c r="K37" s="10">
        <f t="shared" si="6"/>
        <v>-3.3319999999999999</v>
      </c>
      <c r="L37" s="10">
        <f t="shared" si="6"/>
        <v>-3.0260952380952402</v>
      </c>
      <c r="M37" s="10">
        <f t="shared" si="6"/>
        <v>-2.7480000000000002</v>
      </c>
      <c r="N37" s="10">
        <f t="shared" si="6"/>
        <v>-2.5255238095238099</v>
      </c>
      <c r="O37" s="10">
        <f t="shared" si="6"/>
        <v>-2.2752380952380902</v>
      </c>
      <c r="P37" s="10">
        <f t="shared" si="6"/>
        <v>-1.99714285714286</v>
      </c>
      <c r="Q37" s="10">
        <f t="shared" si="6"/>
        <v>-1.71904761904762</v>
      </c>
      <c r="R37" s="10">
        <f t="shared" si="6"/>
        <v>-1.4409523809523801</v>
      </c>
      <c r="S37" s="10">
        <f t="shared" si="6"/>
        <v>-1.1628571428571399</v>
      </c>
      <c r="T37" s="10">
        <f t="shared" si="6"/>
        <v>-1.02380952380952</v>
      </c>
      <c r="U37" s="3"/>
      <c r="V37" s="3"/>
    </row>
    <row r="38" spans="1:22">
      <c r="A38" s="4" t="s">
        <v>212</v>
      </c>
      <c r="B38" s="12">
        <f>B35-B37</f>
        <v>-80.633333333333297</v>
      </c>
      <c r="C38" s="12">
        <f t="shared" ref="C38:T38" si="7">C35-C37</f>
        <v>-79.995999999999995</v>
      </c>
      <c r="D38" s="12">
        <f t="shared" si="7"/>
        <v>-78.969333333333296</v>
      </c>
      <c r="E38" s="12">
        <f t="shared" si="7"/>
        <v>-77.7758095238095</v>
      </c>
      <c r="F38" s="12">
        <f t="shared" si="7"/>
        <v>-76.415428571428606</v>
      </c>
      <c r="G38" s="12">
        <f t="shared" si="7"/>
        <v>-75.027238095238104</v>
      </c>
      <c r="H38" s="12">
        <f t="shared" si="7"/>
        <v>-73.472190476190505</v>
      </c>
      <c r="I38" s="12">
        <f t="shared" si="7"/>
        <v>-71.889333333333298</v>
      </c>
      <c r="J38" s="12">
        <f t="shared" si="7"/>
        <v>-70.278666666666695</v>
      </c>
      <c r="K38" s="12">
        <f t="shared" si="7"/>
        <v>-68.668000000000006</v>
      </c>
      <c r="L38" s="12">
        <f t="shared" si="7"/>
        <v>-66.973904761904805</v>
      </c>
      <c r="M38" s="12">
        <f t="shared" si="7"/>
        <v>-65.251999999999995</v>
      </c>
      <c r="N38" s="12">
        <f t="shared" si="7"/>
        <v>-63.474476190476203</v>
      </c>
      <c r="O38" s="12">
        <f t="shared" si="7"/>
        <v>-61.724761904761898</v>
      </c>
      <c r="P38" s="12">
        <f t="shared" si="7"/>
        <v>-58.8028571428571</v>
      </c>
      <c r="Q38" s="12">
        <f t="shared" si="7"/>
        <v>-54.280952380952399</v>
      </c>
      <c r="R38" s="12">
        <f t="shared" si="7"/>
        <v>-43.359047619047601</v>
      </c>
      <c r="S38" s="12">
        <f t="shared" si="7"/>
        <v>-17.237142857142899</v>
      </c>
      <c r="T38" s="12">
        <f t="shared" si="7"/>
        <v>1.02380952380952</v>
      </c>
      <c r="U38" s="3"/>
      <c r="V38" s="3"/>
    </row>
    <row r="39" spans="1:2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4" t="s">
        <v>216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4" t="s">
        <v>211</v>
      </c>
      <c r="B41" s="9">
        <v>-90</v>
      </c>
      <c r="C41" s="9">
        <v>-88</v>
      </c>
      <c r="D41" s="9">
        <v>-86</v>
      </c>
      <c r="E41" s="9">
        <v>-84</v>
      </c>
      <c r="F41" s="9">
        <v>-82</v>
      </c>
      <c r="G41" s="9">
        <v>-80</v>
      </c>
      <c r="H41" s="9">
        <v>-78</v>
      </c>
      <c r="I41" s="9">
        <v>-76</v>
      </c>
      <c r="J41" s="9">
        <v>-74</v>
      </c>
      <c r="K41" s="9">
        <v>-72</v>
      </c>
      <c r="L41" s="9">
        <v>-70</v>
      </c>
      <c r="M41" s="9">
        <v>-68</v>
      </c>
      <c r="N41" s="9">
        <v>-66</v>
      </c>
      <c r="O41" s="9">
        <v>-64</v>
      </c>
      <c r="P41" s="9">
        <v>-61</v>
      </c>
      <c r="Q41" s="9">
        <v>-57</v>
      </c>
      <c r="R41" s="9">
        <v>-48</v>
      </c>
      <c r="S41" s="9">
        <v>-30</v>
      </c>
      <c r="T41" s="9">
        <v>0</v>
      </c>
      <c r="U41" s="3"/>
      <c r="V41" s="3"/>
    </row>
    <row r="42" spans="1:22">
      <c r="A42" s="4" t="s">
        <v>54</v>
      </c>
      <c r="B42" s="3">
        <v>-3.5</v>
      </c>
      <c r="C42" s="3">
        <v>-3.16</v>
      </c>
      <c r="D42" s="11">
        <v>-2.74</v>
      </c>
      <c r="E42" s="3">
        <v>-2.4300000000000002</v>
      </c>
      <c r="F42" s="3">
        <v>-2.2000000000000002</v>
      </c>
      <c r="G42" s="3">
        <v>-1.97</v>
      </c>
      <c r="H42" s="3">
        <v>-1.79</v>
      </c>
      <c r="I42" s="3">
        <v>-1.58</v>
      </c>
      <c r="J42" s="3">
        <v>-1.44</v>
      </c>
      <c r="K42" s="3">
        <v>-1.3</v>
      </c>
      <c r="L42" s="3">
        <v>-1.19</v>
      </c>
      <c r="M42" s="3">
        <v>-1.06</v>
      </c>
      <c r="N42" s="3">
        <v>-0.97</v>
      </c>
      <c r="O42" s="11">
        <v>-0.88</v>
      </c>
      <c r="P42" s="3">
        <v>-0.77</v>
      </c>
      <c r="Q42" s="3">
        <v>-0.67</v>
      </c>
      <c r="R42" s="3">
        <v>-0.56000000000000005</v>
      </c>
      <c r="S42" s="3">
        <v>-0.46</v>
      </c>
      <c r="T42" s="3">
        <v>-0.39</v>
      </c>
      <c r="U42" s="3"/>
      <c r="V42" s="3"/>
    </row>
    <row r="43" spans="1:22">
      <c r="A43" s="4" t="s">
        <v>208</v>
      </c>
      <c r="B43" s="10">
        <f>$I$5+$I$6*B42</f>
        <v>-9.3666666666666707</v>
      </c>
      <c r="C43" s="10">
        <f t="shared" ref="C43:T43" si="8">$I$5+$I$6*C42</f>
        <v>-8.4211428571428595</v>
      </c>
      <c r="D43" s="10">
        <f t="shared" si="8"/>
        <v>-7.2531428571428602</v>
      </c>
      <c r="E43" s="10">
        <f t="shared" si="8"/>
        <v>-6.3910476190476198</v>
      </c>
      <c r="F43" s="10">
        <f t="shared" si="8"/>
        <v>-5.75142857142857</v>
      </c>
      <c r="G43" s="10">
        <f t="shared" si="8"/>
        <v>-5.1118095238095203</v>
      </c>
      <c r="H43" s="10">
        <f t="shared" si="8"/>
        <v>-4.6112380952381002</v>
      </c>
      <c r="I43" s="10">
        <f t="shared" si="8"/>
        <v>-4.0272380952380997</v>
      </c>
      <c r="J43" s="10">
        <f t="shared" si="8"/>
        <v>-3.63790476190476</v>
      </c>
      <c r="K43" s="10">
        <f t="shared" si="8"/>
        <v>-3.24857142857143</v>
      </c>
      <c r="L43" s="10">
        <f t="shared" si="8"/>
        <v>-2.9426666666666699</v>
      </c>
      <c r="M43" s="10">
        <f t="shared" si="8"/>
        <v>-2.5811428571428601</v>
      </c>
      <c r="N43" s="10">
        <f t="shared" si="8"/>
        <v>-2.3308571428571399</v>
      </c>
      <c r="O43" s="10">
        <f t="shared" si="8"/>
        <v>-2.0805714285714298</v>
      </c>
      <c r="P43" s="10">
        <f t="shared" si="8"/>
        <v>-1.7746666666666699</v>
      </c>
      <c r="Q43" s="10">
        <f t="shared" si="8"/>
        <v>-1.49657142857143</v>
      </c>
      <c r="R43" s="10">
        <f t="shared" si="8"/>
        <v>-1.1906666666666701</v>
      </c>
      <c r="S43" s="10">
        <f t="shared" si="8"/>
        <v>-0.91257142857142803</v>
      </c>
      <c r="T43" s="10">
        <f t="shared" si="8"/>
        <v>-0.71790476190476205</v>
      </c>
      <c r="U43" s="3"/>
      <c r="V43" s="3"/>
    </row>
    <row r="44" spans="1:22">
      <c r="A44" s="4" t="s">
        <v>212</v>
      </c>
      <c r="B44" s="12">
        <f>B41-B43</f>
        <v>-80.633333333333297</v>
      </c>
      <c r="C44" s="12">
        <f t="shared" ref="C44:T44" si="9">C41-C43</f>
        <v>-79.578857142857103</v>
      </c>
      <c r="D44" s="12">
        <f t="shared" si="9"/>
        <v>-78.746857142857095</v>
      </c>
      <c r="E44" s="12">
        <f t="shared" si="9"/>
        <v>-77.608952380952402</v>
      </c>
      <c r="F44" s="12">
        <f t="shared" si="9"/>
        <v>-76.248571428571395</v>
      </c>
      <c r="G44" s="12">
        <f t="shared" si="9"/>
        <v>-74.888190476190502</v>
      </c>
      <c r="H44" s="12">
        <f t="shared" si="9"/>
        <v>-73.388761904761907</v>
      </c>
      <c r="I44" s="12">
        <f t="shared" si="9"/>
        <v>-71.972761904761896</v>
      </c>
      <c r="J44" s="12">
        <f t="shared" si="9"/>
        <v>-70.362095238095193</v>
      </c>
      <c r="K44" s="12">
        <f t="shared" si="9"/>
        <v>-68.751428571428605</v>
      </c>
      <c r="L44" s="12">
        <f t="shared" si="9"/>
        <v>-67.057333333333304</v>
      </c>
      <c r="M44" s="12">
        <f t="shared" si="9"/>
        <v>-65.418857142857107</v>
      </c>
      <c r="N44" s="12">
        <f t="shared" si="9"/>
        <v>-63.669142857142901</v>
      </c>
      <c r="O44" s="12">
        <f t="shared" si="9"/>
        <v>-61.919428571428597</v>
      </c>
      <c r="P44" s="12">
        <f t="shared" si="9"/>
        <v>-59.225333333333303</v>
      </c>
      <c r="Q44" s="12">
        <f t="shared" si="9"/>
        <v>-55.5034285714286</v>
      </c>
      <c r="R44" s="12">
        <f t="shared" si="9"/>
        <v>-46.809333333333299</v>
      </c>
      <c r="S44" s="12">
        <f t="shared" si="9"/>
        <v>-29.0874285714286</v>
      </c>
      <c r="T44" s="12">
        <f t="shared" si="9"/>
        <v>0.71790476190476205</v>
      </c>
      <c r="U44" s="3"/>
      <c r="V44" s="3"/>
    </row>
    <row r="54" spans="1:6">
      <c r="F54" s="13"/>
    </row>
    <row r="61" spans="1:6">
      <c r="A61" s="4"/>
    </row>
    <row r="66" spans="1:6">
      <c r="A66" s="4" t="s">
        <v>217</v>
      </c>
      <c r="B66" s="7">
        <v>400</v>
      </c>
      <c r="C66" s="7">
        <v>428.5</v>
      </c>
      <c r="D66" s="7">
        <v>461.5</v>
      </c>
      <c r="E66" s="7">
        <v>500</v>
      </c>
      <c r="F66" s="7">
        <v>545.5</v>
      </c>
    </row>
    <row r="67" spans="1:6">
      <c r="A67" s="4" t="s">
        <v>218</v>
      </c>
      <c r="B67" s="14">
        <f>300000000/(B66/1000000000)/100000000000000</f>
        <v>7.5</v>
      </c>
      <c r="C67" s="14">
        <f t="shared" ref="C67:F67" si="10">300000000/(C66/1000000000)/100000000000000</f>
        <v>7.0011668611435196</v>
      </c>
      <c r="D67" s="14">
        <f t="shared" si="10"/>
        <v>6.5005417118093201</v>
      </c>
      <c r="E67" s="14">
        <f t="shared" si="10"/>
        <v>6</v>
      </c>
      <c r="F67" s="14">
        <f t="shared" si="10"/>
        <v>5.49954170485793</v>
      </c>
    </row>
    <row r="68" spans="1:6">
      <c r="A68" s="4" t="s">
        <v>219</v>
      </c>
      <c r="B68">
        <v>1.51</v>
      </c>
      <c r="C68">
        <v>1.44</v>
      </c>
      <c r="D68">
        <v>1.2</v>
      </c>
      <c r="E68">
        <v>0.85</v>
      </c>
      <c r="F68">
        <v>0.77</v>
      </c>
    </row>
    <row r="70" spans="1:6">
      <c r="A70" s="4" t="s">
        <v>220</v>
      </c>
      <c r="B70" s="6">
        <f>SLOPE(B68:F68,B67:F67)</f>
        <v>0.41386868342828498</v>
      </c>
    </row>
    <row r="71" spans="1:6">
      <c r="A71" s="4" t="s">
        <v>221</v>
      </c>
      <c r="B71" s="6">
        <f>INTERCEPT(B68:F68,B67:F67)</f>
        <v>-1.53624993245014</v>
      </c>
    </row>
    <row r="72" spans="1:6">
      <c r="A72" s="4" t="s">
        <v>222</v>
      </c>
      <c r="B72">
        <f>-B71/B70</f>
        <v>3.7119260141274899</v>
      </c>
    </row>
    <row r="74" spans="1:6">
      <c r="A74" t="s">
        <v>223</v>
      </c>
      <c r="B74">
        <f>B70*1.6*10</f>
        <v>6.6218989348525596</v>
      </c>
    </row>
    <row r="75" spans="1:6">
      <c r="A75" t="s">
        <v>224</v>
      </c>
      <c r="B75">
        <f>-B71*1.6</f>
        <v>2.4579998919202302</v>
      </c>
    </row>
    <row r="76" spans="1:6">
      <c r="A76" s="4" t="s">
        <v>218</v>
      </c>
      <c r="B76">
        <f>B72</f>
        <v>3.7119260141274899</v>
      </c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39" workbookViewId="0">
      <selection activeCell="F30" sqref="F30"/>
    </sheetView>
  </sheetViews>
  <sheetFormatPr defaultColWidth="9" defaultRowHeight="14.25"/>
  <cols>
    <col min="2" max="2" width="9.375" customWidth="1"/>
  </cols>
  <sheetData>
    <row r="1" spans="1:10">
      <c r="A1" t="s">
        <v>225</v>
      </c>
    </row>
    <row r="2" spans="1:10">
      <c r="A2" t="s">
        <v>226</v>
      </c>
      <c r="B2">
        <v>316</v>
      </c>
      <c r="C2">
        <v>345</v>
      </c>
      <c r="D2">
        <v>374</v>
      </c>
      <c r="E2">
        <v>402</v>
      </c>
      <c r="F2">
        <v>431</v>
      </c>
      <c r="G2">
        <v>461</v>
      </c>
      <c r="H2">
        <v>490</v>
      </c>
      <c r="I2">
        <v>519</v>
      </c>
    </row>
    <row r="3" spans="1:10">
      <c r="A3" t="s">
        <v>227</v>
      </c>
      <c r="B3" s="1">
        <v>12</v>
      </c>
      <c r="C3" s="1">
        <v>13</v>
      </c>
      <c r="D3" s="1">
        <v>14</v>
      </c>
      <c r="E3" s="1">
        <v>15</v>
      </c>
      <c r="F3" s="1">
        <v>16</v>
      </c>
      <c r="G3" s="1">
        <v>17</v>
      </c>
      <c r="H3" s="1">
        <v>18</v>
      </c>
      <c r="I3" s="1">
        <v>19</v>
      </c>
      <c r="J3" s="1"/>
    </row>
    <row r="5" spans="1:10">
      <c r="F5" s="2" t="s">
        <v>228</v>
      </c>
      <c r="G5">
        <f>SLOPE(B3:I3,B2:I2)</f>
        <v>3.44812943224765E-2</v>
      </c>
    </row>
    <row r="17" spans="1:17">
      <c r="O17" s="2"/>
    </row>
    <row r="18" spans="1:17">
      <c r="A18" t="s">
        <v>229</v>
      </c>
    </row>
    <row r="19" spans="1:17">
      <c r="A19" t="s">
        <v>230</v>
      </c>
      <c r="B19">
        <v>37730</v>
      </c>
      <c r="C19" s="2" t="s">
        <v>231</v>
      </c>
      <c r="D19">
        <v>37780</v>
      </c>
      <c r="E19" s="2" t="s">
        <v>232</v>
      </c>
      <c r="F19">
        <v>37680</v>
      </c>
    </row>
    <row r="20" spans="1:17">
      <c r="C20" s="2" t="s">
        <v>233</v>
      </c>
      <c r="D20">
        <v>0.44900000000000001</v>
      </c>
      <c r="E20" s="2" t="s">
        <v>234</v>
      </c>
      <c r="F20">
        <v>0.44900000000000001</v>
      </c>
    </row>
    <row r="22" spans="1:17">
      <c r="A22" s="2" t="s">
        <v>235</v>
      </c>
      <c r="B22">
        <f>(D20+F20)/(D19-F19)*B19</f>
        <v>338.81540000000001</v>
      </c>
    </row>
    <row r="24" spans="1:17">
      <c r="A24" s="2" t="s">
        <v>236</v>
      </c>
      <c r="C24" s="3">
        <v>1</v>
      </c>
      <c r="D24" s="2" t="s">
        <v>237</v>
      </c>
      <c r="F24" s="3">
        <v>2E-3</v>
      </c>
    </row>
    <row r="26" spans="1:17">
      <c r="A26" s="2" t="s">
        <v>238</v>
      </c>
      <c r="B26">
        <f>SQRT((C24/B19)^2+(C24^2+C24^2)/(D19-F19)^2+(F24^2+F24^2)/(D20+F20)^2)</f>
        <v>1.44886606758226E-2</v>
      </c>
    </row>
    <row r="27" spans="1:17">
      <c r="A27" s="2" t="s">
        <v>239</v>
      </c>
      <c r="B27">
        <f>B26*B22</f>
        <v>4.90898136234311</v>
      </c>
    </row>
    <row r="29" spans="1:17" ht="18.75">
      <c r="A29" s="2" t="s">
        <v>240</v>
      </c>
      <c r="B29">
        <v>17.899999999999999</v>
      </c>
      <c r="C29" s="2" t="s">
        <v>241</v>
      </c>
      <c r="D29">
        <f>331.45*(1+B29/273.16)^0.5</f>
        <v>342.13754425085898</v>
      </c>
    </row>
    <row r="31" spans="1:17">
      <c r="A31" s="2" t="s">
        <v>242</v>
      </c>
    </row>
    <row r="32" spans="1:17">
      <c r="A32" s="2" t="s">
        <v>243</v>
      </c>
      <c r="B32">
        <v>1</v>
      </c>
      <c r="C32">
        <v>6</v>
      </c>
      <c r="D32">
        <v>11</v>
      </c>
      <c r="E32">
        <v>16</v>
      </c>
      <c r="F32">
        <v>21</v>
      </c>
      <c r="G32">
        <v>26</v>
      </c>
      <c r="H32">
        <v>31</v>
      </c>
      <c r="I32">
        <v>36</v>
      </c>
      <c r="J32">
        <v>41</v>
      </c>
      <c r="K32">
        <v>46</v>
      </c>
      <c r="L32">
        <v>51</v>
      </c>
      <c r="M32">
        <v>56</v>
      </c>
      <c r="N32">
        <v>61</v>
      </c>
      <c r="O32">
        <v>66</v>
      </c>
      <c r="P32">
        <v>71</v>
      </c>
      <c r="Q32">
        <v>76</v>
      </c>
    </row>
    <row r="33" spans="1:17">
      <c r="A33" s="2" t="s">
        <v>244</v>
      </c>
      <c r="B33">
        <f>(B32-1)*50</f>
        <v>0</v>
      </c>
      <c r="C33">
        <f t="shared" ref="C33:Q33" si="0">(C32-1)*50</f>
        <v>250</v>
      </c>
      <c r="D33">
        <f t="shared" si="0"/>
        <v>500</v>
      </c>
      <c r="E33">
        <f t="shared" si="0"/>
        <v>750</v>
      </c>
      <c r="F33">
        <f t="shared" si="0"/>
        <v>1000</v>
      </c>
      <c r="G33">
        <f t="shared" si="0"/>
        <v>1250</v>
      </c>
      <c r="H33">
        <f t="shared" si="0"/>
        <v>1500</v>
      </c>
      <c r="I33">
        <f t="shared" si="0"/>
        <v>1750</v>
      </c>
      <c r="J33">
        <f t="shared" si="0"/>
        <v>2000</v>
      </c>
      <c r="K33">
        <f t="shared" si="0"/>
        <v>2250</v>
      </c>
      <c r="L33">
        <f t="shared" si="0"/>
        <v>2500</v>
      </c>
      <c r="M33">
        <f t="shared" si="0"/>
        <v>2750</v>
      </c>
      <c r="N33">
        <f t="shared" si="0"/>
        <v>3000</v>
      </c>
      <c r="O33">
        <f t="shared" si="0"/>
        <v>3250</v>
      </c>
      <c r="P33">
        <f t="shared" si="0"/>
        <v>3500</v>
      </c>
      <c r="Q33">
        <f t="shared" si="0"/>
        <v>3750</v>
      </c>
    </row>
    <row r="34" spans="1:17">
      <c r="A34" s="2" t="s">
        <v>230</v>
      </c>
      <c r="B34">
        <v>37738</v>
      </c>
      <c r="C34">
        <v>37727</v>
      </c>
      <c r="D34">
        <v>37718</v>
      </c>
      <c r="E34">
        <v>37710</v>
      </c>
      <c r="F34">
        <v>37705</v>
      </c>
      <c r="G34">
        <v>37702</v>
      </c>
      <c r="H34">
        <v>37698</v>
      </c>
      <c r="I34">
        <v>37701</v>
      </c>
      <c r="J34">
        <v>37707</v>
      </c>
      <c r="K34">
        <v>37712</v>
      </c>
      <c r="L34">
        <v>37721</v>
      </c>
      <c r="M34">
        <v>37731</v>
      </c>
      <c r="N34">
        <v>37742</v>
      </c>
      <c r="O34">
        <v>37749</v>
      </c>
      <c r="P34">
        <v>37754</v>
      </c>
      <c r="Q34">
        <v>37759</v>
      </c>
    </row>
    <row r="35" spans="1:17">
      <c r="A35" s="2" t="s">
        <v>205</v>
      </c>
      <c r="B35">
        <f>(B34/$B$19-1)*$B$22</f>
        <v>7.1839999999997003E-2</v>
      </c>
      <c r="C35">
        <f>(C34/$B$19-1)*$B$22</f>
        <v>-2.6939999999998899E-2</v>
      </c>
      <c r="D35">
        <f t="shared" ref="D35:Q35" si="1">(D34/$B$19-1)*$B$22</f>
        <v>-0.107759999999995</v>
      </c>
      <c r="E35">
        <f t="shared" si="1"/>
        <v>-0.17959999999999199</v>
      </c>
      <c r="F35">
        <f t="shared" si="1"/>
        <v>-0.22449999999999001</v>
      </c>
      <c r="G35">
        <f t="shared" si="1"/>
        <v>-0.25143999999998901</v>
      </c>
      <c r="H35">
        <f t="shared" si="1"/>
        <v>-0.28735999999998801</v>
      </c>
      <c r="I35">
        <f t="shared" si="1"/>
        <v>-0.26041999999998899</v>
      </c>
      <c r="J35">
        <f t="shared" si="1"/>
        <v>-0.20653999999999101</v>
      </c>
      <c r="K35">
        <f t="shared" si="1"/>
        <v>-0.16163999999999301</v>
      </c>
      <c r="L35">
        <f t="shared" si="1"/>
        <v>-8.0819999999996603E-2</v>
      </c>
      <c r="M35">
        <f t="shared" si="1"/>
        <v>8.9800000000372394E-3</v>
      </c>
      <c r="N35">
        <f t="shared" si="1"/>
        <v>0.107759999999995</v>
      </c>
      <c r="O35">
        <f t="shared" si="1"/>
        <v>0.17062000000003</v>
      </c>
      <c r="P35">
        <f t="shared" si="1"/>
        <v>0.215519999999991</v>
      </c>
      <c r="Q35">
        <f t="shared" si="1"/>
        <v>0.26042000000002702</v>
      </c>
    </row>
    <row r="37" spans="1:17">
      <c r="A37" s="2" t="s">
        <v>243</v>
      </c>
      <c r="B37">
        <v>81</v>
      </c>
      <c r="C37">
        <v>86</v>
      </c>
      <c r="D37">
        <v>91</v>
      </c>
      <c r="E37">
        <v>96</v>
      </c>
      <c r="F37">
        <v>101</v>
      </c>
      <c r="G37">
        <v>106</v>
      </c>
      <c r="H37">
        <v>111</v>
      </c>
      <c r="I37">
        <v>116</v>
      </c>
      <c r="J37">
        <v>121</v>
      </c>
      <c r="K37">
        <v>126</v>
      </c>
      <c r="L37">
        <v>131</v>
      </c>
      <c r="M37">
        <v>136</v>
      </c>
      <c r="N37">
        <v>141</v>
      </c>
      <c r="O37">
        <v>146</v>
      </c>
      <c r="P37">
        <v>151</v>
      </c>
      <c r="Q37">
        <v>156</v>
      </c>
    </row>
    <row r="38" spans="1:17">
      <c r="A38" s="2" t="s">
        <v>244</v>
      </c>
      <c r="B38">
        <f>(B37-1)*50</f>
        <v>4000</v>
      </c>
      <c r="C38">
        <f t="shared" ref="C38:Q38" si="2">(C37-1)*50</f>
        <v>4250</v>
      </c>
      <c r="D38">
        <f t="shared" si="2"/>
        <v>4500</v>
      </c>
      <c r="E38">
        <f t="shared" si="2"/>
        <v>4750</v>
      </c>
      <c r="F38">
        <f t="shared" si="2"/>
        <v>5000</v>
      </c>
      <c r="G38">
        <f t="shared" si="2"/>
        <v>5250</v>
      </c>
      <c r="H38">
        <f t="shared" si="2"/>
        <v>5500</v>
      </c>
      <c r="I38">
        <f t="shared" si="2"/>
        <v>5750</v>
      </c>
      <c r="J38">
        <f t="shared" si="2"/>
        <v>6000</v>
      </c>
      <c r="K38">
        <f t="shared" si="2"/>
        <v>6250</v>
      </c>
      <c r="L38">
        <f t="shared" si="2"/>
        <v>6500</v>
      </c>
      <c r="M38">
        <f t="shared" si="2"/>
        <v>6750</v>
      </c>
      <c r="N38">
        <f t="shared" si="2"/>
        <v>7000</v>
      </c>
      <c r="O38">
        <f t="shared" si="2"/>
        <v>7250</v>
      </c>
      <c r="P38">
        <f t="shared" si="2"/>
        <v>7500</v>
      </c>
      <c r="Q38">
        <f t="shared" si="2"/>
        <v>7750</v>
      </c>
    </row>
    <row r="39" spans="1:17">
      <c r="A39" s="2" t="s">
        <v>230</v>
      </c>
      <c r="B39">
        <v>37761</v>
      </c>
      <c r="C39">
        <v>37758</v>
      </c>
      <c r="D39">
        <v>37754</v>
      </c>
      <c r="E39">
        <v>37748</v>
      </c>
      <c r="F39">
        <v>37742</v>
      </c>
      <c r="G39">
        <v>37731</v>
      </c>
      <c r="H39">
        <v>37720</v>
      </c>
      <c r="I39">
        <v>37712</v>
      </c>
      <c r="J39">
        <v>37706</v>
      </c>
      <c r="K39">
        <v>37702</v>
      </c>
      <c r="L39">
        <v>37698</v>
      </c>
      <c r="M39">
        <v>37701</v>
      </c>
      <c r="N39">
        <v>37705</v>
      </c>
      <c r="O39">
        <v>37711</v>
      </c>
      <c r="P39">
        <v>37718</v>
      </c>
      <c r="Q39">
        <v>37701</v>
      </c>
    </row>
    <row r="40" spans="1:17">
      <c r="A40" s="2" t="s">
        <v>205</v>
      </c>
      <c r="B40">
        <f>(B39/$B$19-1)*$B$22</f>
        <v>0.278380000000026</v>
      </c>
      <c r="C40">
        <f t="shared" ref="C40:Q40" si="3">(C39/$B$19-1)*$B$22</f>
        <v>0.25143999999998901</v>
      </c>
      <c r="D40">
        <f t="shared" si="3"/>
        <v>0.215519999999991</v>
      </c>
      <c r="E40">
        <f t="shared" si="3"/>
        <v>0.16163999999999301</v>
      </c>
      <c r="F40">
        <f t="shared" si="3"/>
        <v>0.107759999999995</v>
      </c>
      <c r="G40">
        <f t="shared" si="3"/>
        <v>8.9800000000372394E-3</v>
      </c>
      <c r="H40">
        <f t="shared" si="3"/>
        <v>-8.9799999999996202E-2</v>
      </c>
      <c r="I40">
        <f t="shared" si="3"/>
        <v>-0.16163999999999301</v>
      </c>
      <c r="J40">
        <f t="shared" si="3"/>
        <v>-0.215519999999991</v>
      </c>
      <c r="K40">
        <f t="shared" si="3"/>
        <v>-0.25143999999998901</v>
      </c>
      <c r="L40">
        <f t="shared" si="3"/>
        <v>-0.28735999999998801</v>
      </c>
      <c r="M40">
        <f t="shared" si="3"/>
        <v>-0.26041999999998899</v>
      </c>
      <c r="N40">
        <f t="shared" si="3"/>
        <v>-0.22449999999999001</v>
      </c>
      <c r="O40">
        <f t="shared" si="3"/>
        <v>-0.170619999999993</v>
      </c>
      <c r="P40">
        <f t="shared" si="3"/>
        <v>-0.107759999999995</v>
      </c>
      <c r="Q40">
        <f t="shared" si="3"/>
        <v>-0.26041999999998899</v>
      </c>
    </row>
    <row r="44" spans="1:17">
      <c r="A44" s="2"/>
      <c r="B44" s="2"/>
      <c r="C44" s="2"/>
      <c r="D44" s="2"/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topLeftCell="A46" workbookViewId="0">
      <selection activeCell="J58" sqref="J58"/>
    </sheetView>
  </sheetViews>
  <sheetFormatPr defaultRowHeight="14.25"/>
  <cols>
    <col min="2" max="26" width="6.125" customWidth="1"/>
  </cols>
  <sheetData>
    <row r="1" spans="1:26">
      <c r="A1" t="s">
        <v>245</v>
      </c>
    </row>
    <row r="2" spans="1:26">
      <c r="A2" s="55" t="s">
        <v>246</v>
      </c>
      <c r="B2" s="7">
        <v>20</v>
      </c>
      <c r="C2" s="7">
        <v>32</v>
      </c>
      <c r="D2" s="7">
        <v>42.8</v>
      </c>
      <c r="E2" s="7">
        <v>55.3</v>
      </c>
      <c r="F2" s="7">
        <v>68</v>
      </c>
      <c r="G2" s="7">
        <v>80.5</v>
      </c>
    </row>
    <row r="4" spans="1:26">
      <c r="A4" s="55" t="s">
        <v>247</v>
      </c>
    </row>
    <row r="5" spans="1:26">
      <c r="A5" s="55" t="s">
        <v>246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18.2</v>
      </c>
      <c r="V5" s="7">
        <v>18.399999999999999</v>
      </c>
      <c r="W5" s="7">
        <v>18.600000000000001</v>
      </c>
      <c r="X5" s="7">
        <v>18.8</v>
      </c>
      <c r="Y5" s="7">
        <v>19</v>
      </c>
      <c r="Z5" s="7">
        <v>19.2</v>
      </c>
    </row>
    <row r="6" spans="1:26">
      <c r="A6" s="56" t="s">
        <v>248</v>
      </c>
      <c r="B6" s="7">
        <v>-2.4</v>
      </c>
      <c r="C6" s="7">
        <v>-2</v>
      </c>
      <c r="D6" s="7">
        <v>-1.6</v>
      </c>
      <c r="E6" s="7">
        <v>-1.2</v>
      </c>
      <c r="F6" s="7">
        <v>-1</v>
      </c>
      <c r="G6" s="7">
        <v>-0.6</v>
      </c>
      <c r="H6" s="7">
        <v>-0.2</v>
      </c>
      <c r="I6" s="7">
        <v>-0.5</v>
      </c>
      <c r="J6" s="7">
        <v>-0.2</v>
      </c>
      <c r="K6" s="7">
        <v>4</v>
      </c>
      <c r="L6" s="7">
        <v>15.5</v>
      </c>
      <c r="M6" s="7">
        <v>29.8</v>
      </c>
      <c r="N6" s="7">
        <v>41.8</v>
      </c>
      <c r="O6" s="7">
        <v>53.9</v>
      </c>
      <c r="P6" s="7">
        <v>62.5</v>
      </c>
      <c r="Q6" s="7">
        <v>72.2</v>
      </c>
      <c r="R6" s="7">
        <v>81.5</v>
      </c>
      <c r="S6" s="7">
        <v>90.8</v>
      </c>
      <c r="T6" s="7">
        <v>98</v>
      </c>
      <c r="U6" s="7">
        <v>98.3</v>
      </c>
      <c r="V6" s="7">
        <v>99</v>
      </c>
      <c r="W6" s="7">
        <v>99.4</v>
      </c>
      <c r="X6" s="7">
        <v>100.3</v>
      </c>
      <c r="Y6" s="7">
        <v>100.5</v>
      </c>
      <c r="Z6" s="7">
        <v>101.1</v>
      </c>
    </row>
    <row r="7" spans="1:26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55" t="s">
        <v>246</v>
      </c>
      <c r="B8" s="7">
        <v>19.399999999999999</v>
      </c>
      <c r="C8" s="7">
        <v>19.600000000000001</v>
      </c>
      <c r="D8" s="7">
        <v>19.8</v>
      </c>
      <c r="E8" s="7">
        <v>20</v>
      </c>
      <c r="F8" s="7">
        <v>20.2</v>
      </c>
      <c r="G8" s="7">
        <v>20.399999999999999</v>
      </c>
      <c r="H8" s="7">
        <v>20.6</v>
      </c>
      <c r="I8" s="7">
        <v>20.8</v>
      </c>
      <c r="J8" s="7">
        <v>21</v>
      </c>
      <c r="K8" s="7">
        <v>22</v>
      </c>
      <c r="L8" s="7">
        <v>23</v>
      </c>
      <c r="M8" s="7">
        <v>24</v>
      </c>
      <c r="N8" s="7">
        <v>25</v>
      </c>
      <c r="O8" s="7">
        <v>26</v>
      </c>
      <c r="P8" s="7">
        <v>27</v>
      </c>
      <c r="Q8" s="7">
        <v>28</v>
      </c>
      <c r="R8" s="7">
        <v>29</v>
      </c>
      <c r="S8" s="7">
        <v>30</v>
      </c>
      <c r="T8" s="7">
        <v>30.2</v>
      </c>
      <c r="U8" s="7">
        <v>30.4</v>
      </c>
      <c r="V8" s="7">
        <v>30.6</v>
      </c>
      <c r="W8" s="7">
        <v>30.8</v>
      </c>
      <c r="X8" s="7">
        <v>31</v>
      </c>
      <c r="Y8" s="7">
        <v>31.2</v>
      </c>
      <c r="Z8" s="7">
        <v>31.4</v>
      </c>
    </row>
    <row r="9" spans="1:26">
      <c r="A9" s="56" t="s">
        <v>248</v>
      </c>
      <c r="B9" s="7">
        <v>101.8</v>
      </c>
      <c r="C9" s="7">
        <v>101.9</v>
      </c>
      <c r="D9" s="7">
        <v>102.2</v>
      </c>
      <c r="E9" s="7">
        <v>102</v>
      </c>
      <c r="F9" s="7">
        <v>101.9</v>
      </c>
      <c r="G9" s="7">
        <v>101.6</v>
      </c>
      <c r="H9" s="7">
        <v>101.2</v>
      </c>
      <c r="I9" s="7">
        <v>100.5</v>
      </c>
      <c r="J9" s="7">
        <v>100.3</v>
      </c>
      <c r="K9" s="7">
        <v>94</v>
      </c>
      <c r="L9" s="7">
        <v>88.2</v>
      </c>
      <c r="M9" s="7">
        <v>88.8</v>
      </c>
      <c r="N9" s="7">
        <v>97.6</v>
      </c>
      <c r="O9" s="7">
        <v>112</v>
      </c>
      <c r="P9" s="7">
        <v>129.30000000000001</v>
      </c>
      <c r="Q9" s="7">
        <v>146.19999999999999</v>
      </c>
      <c r="R9" s="7">
        <v>160.30000000000001</v>
      </c>
      <c r="S9" s="7">
        <v>170.2</v>
      </c>
      <c r="T9" s="7">
        <v>171.5</v>
      </c>
      <c r="U9" s="7">
        <v>172.7</v>
      </c>
      <c r="V9" s="7">
        <v>173.5</v>
      </c>
      <c r="W9" s="7">
        <v>173.8</v>
      </c>
      <c r="X9" s="7">
        <v>174.1</v>
      </c>
      <c r="Y9" s="7">
        <v>174.3</v>
      </c>
      <c r="Z9" s="7">
        <v>174.1</v>
      </c>
    </row>
    <row r="10" spans="1:2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55" t="s">
        <v>246</v>
      </c>
      <c r="B11" s="7">
        <v>31.6</v>
      </c>
      <c r="C11" s="7">
        <v>31.8</v>
      </c>
      <c r="D11" s="7">
        <v>32</v>
      </c>
      <c r="E11" s="7">
        <v>32.200000000000003</v>
      </c>
      <c r="F11" s="7">
        <v>32.4</v>
      </c>
      <c r="G11" s="7">
        <v>32.6</v>
      </c>
      <c r="H11" s="7">
        <v>32.799999999999997</v>
      </c>
      <c r="I11" s="7">
        <v>33</v>
      </c>
      <c r="J11" s="7">
        <v>34</v>
      </c>
      <c r="K11" s="7">
        <v>35</v>
      </c>
      <c r="L11" s="7">
        <v>36</v>
      </c>
      <c r="M11" s="7">
        <v>37</v>
      </c>
      <c r="N11" s="7">
        <v>38</v>
      </c>
      <c r="O11" s="7">
        <v>39</v>
      </c>
      <c r="P11" s="7">
        <v>40</v>
      </c>
      <c r="Q11" s="7">
        <v>40.799999999999997</v>
      </c>
      <c r="R11" s="7">
        <v>41</v>
      </c>
      <c r="S11" s="7">
        <v>41.2</v>
      </c>
      <c r="T11" s="7">
        <v>41.4</v>
      </c>
      <c r="U11" s="7">
        <v>41.6</v>
      </c>
      <c r="V11" s="7">
        <v>41.8</v>
      </c>
      <c r="W11" s="7">
        <v>42</v>
      </c>
      <c r="X11" s="7">
        <v>42.2</v>
      </c>
      <c r="Y11" s="7">
        <v>42.4</v>
      </c>
      <c r="Z11" s="7">
        <v>42.6</v>
      </c>
    </row>
    <row r="12" spans="1:26">
      <c r="A12" s="56" t="s">
        <v>248</v>
      </c>
      <c r="B12" s="7">
        <v>173.2</v>
      </c>
      <c r="C12" s="7">
        <v>171.5</v>
      </c>
      <c r="D12" s="7">
        <v>169.4</v>
      </c>
      <c r="E12" s="7">
        <v>165.8</v>
      </c>
      <c r="F12" s="7">
        <v>162.6</v>
      </c>
      <c r="G12" s="7">
        <v>160.6</v>
      </c>
      <c r="H12" s="7">
        <v>156.30000000000001</v>
      </c>
      <c r="I12" s="7">
        <v>151.80000000000001</v>
      </c>
      <c r="J12" s="7">
        <v>126.6</v>
      </c>
      <c r="K12" s="7">
        <v>103</v>
      </c>
      <c r="L12" s="7">
        <v>99.8</v>
      </c>
      <c r="M12" s="7">
        <v>121.1</v>
      </c>
      <c r="N12" s="7">
        <v>154</v>
      </c>
      <c r="O12" s="7">
        <v>188.1</v>
      </c>
      <c r="P12" s="7">
        <v>220.1</v>
      </c>
      <c r="Q12" s="7">
        <v>239.7</v>
      </c>
      <c r="R12" s="7">
        <v>244</v>
      </c>
      <c r="S12" s="7">
        <v>246.8</v>
      </c>
      <c r="T12" s="7">
        <v>249.2</v>
      </c>
      <c r="U12" s="7">
        <v>251.5</v>
      </c>
      <c r="V12" s="7">
        <v>252.6</v>
      </c>
      <c r="W12" s="7">
        <v>253.8</v>
      </c>
      <c r="X12" s="7">
        <v>253.6</v>
      </c>
      <c r="Y12" s="7">
        <v>253.2</v>
      </c>
      <c r="Z12" s="7">
        <v>252.1</v>
      </c>
    </row>
    <row r="13" spans="1:2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55" t="s">
        <v>246</v>
      </c>
      <c r="B14" s="7">
        <v>42.8</v>
      </c>
      <c r="C14" s="7">
        <v>43</v>
      </c>
      <c r="D14" s="7">
        <v>43.2</v>
      </c>
      <c r="E14" s="7">
        <v>43.4</v>
      </c>
      <c r="F14" s="7">
        <v>43.6</v>
      </c>
      <c r="G14" s="7">
        <v>43.8</v>
      </c>
      <c r="H14" s="7">
        <v>44</v>
      </c>
      <c r="I14" s="7">
        <v>45</v>
      </c>
      <c r="J14" s="7">
        <v>46</v>
      </c>
      <c r="K14" s="7">
        <v>47</v>
      </c>
      <c r="L14" s="7">
        <v>48</v>
      </c>
      <c r="M14" s="7">
        <v>49</v>
      </c>
      <c r="N14" s="7">
        <v>50</v>
      </c>
      <c r="O14" s="7">
        <v>51</v>
      </c>
      <c r="P14" s="7">
        <v>52</v>
      </c>
      <c r="Q14" s="7">
        <v>53.3</v>
      </c>
      <c r="R14" s="7">
        <v>53.5</v>
      </c>
      <c r="S14" s="7">
        <v>53.7</v>
      </c>
      <c r="T14" s="7">
        <v>53.9</v>
      </c>
      <c r="U14" s="7">
        <v>54.1</v>
      </c>
      <c r="V14" s="7">
        <v>54.3</v>
      </c>
      <c r="W14" s="7">
        <v>54.5</v>
      </c>
      <c r="X14" s="7">
        <v>54.7</v>
      </c>
      <c r="Y14" s="7">
        <v>54.9</v>
      </c>
      <c r="Z14" s="7">
        <v>55.1</v>
      </c>
    </row>
    <row r="15" spans="1:26">
      <c r="A15" s="56" t="s">
        <v>248</v>
      </c>
      <c r="B15" s="7">
        <v>250.4</v>
      </c>
      <c r="C15" s="7">
        <v>247.4</v>
      </c>
      <c r="D15" s="7">
        <v>244</v>
      </c>
      <c r="E15" s="7">
        <v>239.3</v>
      </c>
      <c r="F15" s="7">
        <v>233.2</v>
      </c>
      <c r="G15" s="7">
        <v>227.2</v>
      </c>
      <c r="H15" s="7">
        <v>222</v>
      </c>
      <c r="I15" s="7">
        <v>179.7</v>
      </c>
      <c r="J15" s="7">
        <v>129.9</v>
      </c>
      <c r="K15" s="7">
        <v>96.7</v>
      </c>
      <c r="L15" s="7">
        <v>100.5</v>
      </c>
      <c r="M15" s="7">
        <v>141.1</v>
      </c>
      <c r="N15" s="7">
        <v>192.5</v>
      </c>
      <c r="O15" s="7">
        <v>248.5</v>
      </c>
      <c r="P15" s="7">
        <v>294.2</v>
      </c>
      <c r="Q15" s="7">
        <v>325.39999999999998</v>
      </c>
      <c r="R15" s="7">
        <v>328.4</v>
      </c>
      <c r="S15" s="7">
        <v>330.7</v>
      </c>
      <c r="T15" s="7">
        <v>331.5</v>
      </c>
      <c r="U15" s="7">
        <v>330.6</v>
      </c>
      <c r="V15" s="7">
        <v>329.6</v>
      </c>
      <c r="W15" s="7">
        <v>326.8</v>
      </c>
      <c r="X15" s="7">
        <v>322.39999999999998</v>
      </c>
      <c r="Y15" s="7">
        <v>318.39999999999998</v>
      </c>
      <c r="Z15" s="7">
        <v>312.60000000000002</v>
      </c>
    </row>
    <row r="16" spans="1:2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55" t="s">
        <v>246</v>
      </c>
      <c r="B17" s="7">
        <v>55.3</v>
      </c>
      <c r="C17" s="7">
        <v>55.5</v>
      </c>
      <c r="D17" s="7">
        <v>55.7</v>
      </c>
      <c r="E17" s="7">
        <v>55.9</v>
      </c>
      <c r="F17" s="7">
        <v>56.1</v>
      </c>
      <c r="G17" s="7">
        <v>56.3</v>
      </c>
      <c r="H17" s="7">
        <v>57</v>
      </c>
      <c r="I17" s="7">
        <v>58</v>
      </c>
      <c r="J17" s="7">
        <v>59</v>
      </c>
      <c r="K17" s="7">
        <v>60</v>
      </c>
      <c r="L17" s="7">
        <v>61</v>
      </c>
      <c r="M17" s="7">
        <v>62</v>
      </c>
      <c r="N17" s="7">
        <v>63</v>
      </c>
      <c r="O17" s="7">
        <v>64</v>
      </c>
      <c r="P17" s="7">
        <v>65</v>
      </c>
      <c r="Q17" s="7">
        <v>66</v>
      </c>
      <c r="R17" s="7">
        <v>66.2</v>
      </c>
      <c r="S17" s="7">
        <v>66.400000000000006</v>
      </c>
      <c r="T17" s="7">
        <v>66.599999999999994</v>
      </c>
      <c r="U17" s="7">
        <v>66.8</v>
      </c>
      <c r="V17" s="7">
        <v>67</v>
      </c>
      <c r="W17" s="7">
        <v>67.2</v>
      </c>
      <c r="X17" s="7">
        <v>67.5</v>
      </c>
      <c r="Y17" s="7">
        <v>68.5</v>
      </c>
      <c r="Z17" s="7">
        <v>69.5</v>
      </c>
    </row>
    <row r="18" spans="1:26">
      <c r="A18" s="56" t="s">
        <v>248</v>
      </c>
      <c r="B18" s="7">
        <v>306.5</v>
      </c>
      <c r="C18" s="7">
        <v>298.60000000000002</v>
      </c>
      <c r="D18" s="7">
        <v>291.10000000000002</v>
      </c>
      <c r="E18" s="7">
        <v>281.10000000000002</v>
      </c>
      <c r="F18" s="7">
        <v>271.60000000000002</v>
      </c>
      <c r="G18" s="7">
        <v>262.10000000000002</v>
      </c>
      <c r="H18" s="7">
        <v>217.4</v>
      </c>
      <c r="I18" s="7">
        <v>155.5</v>
      </c>
      <c r="J18" s="7">
        <v>108</v>
      </c>
      <c r="K18" s="7">
        <v>112.6</v>
      </c>
      <c r="L18" s="7">
        <v>159.19999999999999</v>
      </c>
      <c r="M18" s="7">
        <v>223.5</v>
      </c>
      <c r="N18" s="7">
        <v>292.10000000000002</v>
      </c>
      <c r="O18" s="7">
        <v>351.1</v>
      </c>
      <c r="P18" s="7">
        <v>392.1</v>
      </c>
      <c r="Q18" s="7">
        <v>405.6</v>
      </c>
      <c r="R18" s="7">
        <v>405.6</v>
      </c>
      <c r="S18" s="7">
        <v>403.7</v>
      </c>
      <c r="T18" s="7">
        <v>401.3</v>
      </c>
      <c r="U18" s="7">
        <v>398.7</v>
      </c>
      <c r="V18" s="7">
        <v>395</v>
      </c>
      <c r="W18" s="7">
        <v>388.4</v>
      </c>
      <c r="X18" s="7">
        <v>380.6</v>
      </c>
      <c r="Y18" s="7">
        <v>327.2</v>
      </c>
      <c r="Z18" s="7">
        <v>255.4</v>
      </c>
    </row>
    <row r="19" spans="1:2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55" t="s">
        <v>246</v>
      </c>
      <c r="B20" s="7">
        <v>70.5</v>
      </c>
      <c r="C20" s="7">
        <v>71.5</v>
      </c>
      <c r="D20" s="7">
        <v>72.5</v>
      </c>
      <c r="E20" s="7">
        <v>73.5</v>
      </c>
      <c r="F20" s="7">
        <v>74.5</v>
      </c>
      <c r="G20" s="7">
        <v>75.5</v>
      </c>
      <c r="H20" s="7">
        <v>76.5</v>
      </c>
      <c r="I20" s="7">
        <v>77.5</v>
      </c>
      <c r="J20" s="7">
        <v>78.5</v>
      </c>
      <c r="K20" s="7">
        <v>78.7</v>
      </c>
      <c r="L20" s="7">
        <v>78.900000000000006</v>
      </c>
      <c r="M20" s="7">
        <v>79.099999999999994</v>
      </c>
      <c r="N20" s="7">
        <v>79.3</v>
      </c>
      <c r="O20" s="7">
        <v>79.5</v>
      </c>
      <c r="P20" s="7">
        <v>79.8</v>
      </c>
      <c r="Q20" s="7">
        <v>80</v>
      </c>
      <c r="R20" s="7">
        <v>80.5</v>
      </c>
      <c r="S20" s="7">
        <v>81</v>
      </c>
      <c r="T20" s="7">
        <v>82</v>
      </c>
      <c r="U20" s="7">
        <v>83</v>
      </c>
      <c r="V20" s="7">
        <v>84</v>
      </c>
      <c r="W20" s="7">
        <v>85</v>
      </c>
      <c r="X20" s="7"/>
      <c r="Y20" s="7"/>
      <c r="Z20" s="7"/>
    </row>
    <row r="21" spans="1:26">
      <c r="A21" s="56" t="s">
        <v>248</v>
      </c>
      <c r="B21" s="7">
        <v>176.8</v>
      </c>
      <c r="C21" s="7">
        <v>139.19999999999999</v>
      </c>
      <c r="D21" s="7">
        <v>149.4</v>
      </c>
      <c r="E21" s="7">
        <v>207</v>
      </c>
      <c r="F21" s="7">
        <v>273.39999999999998</v>
      </c>
      <c r="G21" s="7">
        <v>349.3</v>
      </c>
      <c r="H21" s="7">
        <v>410</v>
      </c>
      <c r="I21" s="7">
        <v>454.9</v>
      </c>
      <c r="J21" s="7">
        <v>473.8</v>
      </c>
      <c r="K21" s="7">
        <v>474.3</v>
      </c>
      <c r="L21" s="7">
        <v>474.4</v>
      </c>
      <c r="M21" s="7">
        <v>472.3</v>
      </c>
      <c r="N21" s="7">
        <v>469.1</v>
      </c>
      <c r="O21" s="7">
        <v>466.4</v>
      </c>
      <c r="P21" s="7">
        <v>458.4</v>
      </c>
      <c r="Q21" s="7">
        <v>450.6</v>
      </c>
      <c r="R21" s="7">
        <v>427.5</v>
      </c>
      <c r="S21" s="7">
        <v>398.2</v>
      </c>
      <c r="T21" s="7">
        <v>326.5</v>
      </c>
      <c r="U21" s="7">
        <v>249.9</v>
      </c>
      <c r="V21" s="7">
        <v>201.6</v>
      </c>
      <c r="W21" s="7">
        <v>209.7</v>
      </c>
      <c r="X21" s="7"/>
      <c r="Y21" s="7"/>
      <c r="Z21" s="7"/>
    </row>
    <row r="51" spans="1:7">
      <c r="A51" s="55" t="s">
        <v>249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</row>
    <row r="52" spans="1:7">
      <c r="A52" s="55" t="s">
        <v>250</v>
      </c>
      <c r="B52" s="7">
        <v>19.8</v>
      </c>
      <c r="C52" s="7">
        <v>31.2</v>
      </c>
      <c r="D52" s="7">
        <v>42</v>
      </c>
      <c r="E52" s="7">
        <v>53.9</v>
      </c>
      <c r="F52" s="7">
        <v>66.099999999999994</v>
      </c>
      <c r="G52" s="7">
        <v>78.900000000000006</v>
      </c>
    </row>
    <row r="54" spans="1:7">
      <c r="A54" s="55" t="s">
        <v>252</v>
      </c>
      <c r="B54" s="55">
        <f>INDEX(LINEST(B52:G52,B51:G51,1,1),1,1)</f>
        <v>11.774285714285716</v>
      </c>
    </row>
    <row r="55" spans="1:7">
      <c r="A55" s="55" t="s">
        <v>251</v>
      </c>
      <c r="B55">
        <f>INDEX(LINEST(B52:G52,B51:G51,1,1),1,2)</f>
        <v>7.4399999999999906</v>
      </c>
    </row>
    <row r="56" spans="1:7" ht="15">
      <c r="A56" s="55" t="s">
        <v>253</v>
      </c>
      <c r="B56">
        <f>INDEX(LINEST(B52:G52,B51:G51,1,1),2,1)</f>
        <v>0.17252033302229189</v>
      </c>
    </row>
    <row r="57" spans="1:7">
      <c r="A57" s="55" t="s">
        <v>255</v>
      </c>
      <c r="B57">
        <v>2.78</v>
      </c>
    </row>
    <row r="58" spans="1:7">
      <c r="A58" s="55" t="s">
        <v>254</v>
      </c>
      <c r="B58">
        <f>B57*B56</f>
        <v>0.47960652580197144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5" sqref="B25"/>
    </sheetView>
  </sheetViews>
  <sheetFormatPr defaultColWidth="9" defaultRowHeight="14.25"/>
  <cols>
    <col min="1" max="1" width="13.625" customWidth="1"/>
    <col min="2" max="2" width="11.125" customWidth="1"/>
    <col min="10" max="10" width="9.5" customWidth="1"/>
    <col min="13" max="13" width="12.75" customWidth="1"/>
  </cols>
  <sheetData>
    <row r="1" spans="1:13">
      <c r="A1" t="s">
        <v>17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f t="shared" ref="J1:J6" si="0">AVERAGE(B1:I1)</f>
        <v>1750</v>
      </c>
    </row>
    <row r="2" spans="1:13">
      <c r="A2" t="s">
        <v>18</v>
      </c>
      <c r="B2">
        <v>0</v>
      </c>
      <c r="C2">
        <v>17.3</v>
      </c>
      <c r="D2">
        <v>40</v>
      </c>
      <c r="E2">
        <v>58.4</v>
      </c>
      <c r="F2">
        <v>77.099999999999994</v>
      </c>
      <c r="G2">
        <v>95.5</v>
      </c>
      <c r="H2">
        <v>114.3</v>
      </c>
      <c r="I2">
        <v>132.9</v>
      </c>
    </row>
    <row r="3" spans="1:13">
      <c r="A3" t="s">
        <v>19</v>
      </c>
      <c r="B3">
        <v>1.8</v>
      </c>
      <c r="C3">
        <v>21.1</v>
      </c>
      <c r="D3">
        <v>37.6</v>
      </c>
      <c r="E3">
        <v>55.1</v>
      </c>
      <c r="F3">
        <v>73.3</v>
      </c>
      <c r="G3">
        <v>95.9</v>
      </c>
      <c r="H3">
        <v>114.2</v>
      </c>
    </row>
    <row r="4" spans="1:13">
      <c r="A4" t="s">
        <v>20</v>
      </c>
      <c r="B4">
        <f>AVERAGE(B2:B3)</f>
        <v>0.9</v>
      </c>
      <c r="C4">
        <f t="shared" ref="C4:I4" si="1">AVERAGE(C2:C3)</f>
        <v>19.2</v>
      </c>
      <c r="D4">
        <f t="shared" si="1"/>
        <v>38.799999999999997</v>
      </c>
      <c r="E4">
        <f t="shared" si="1"/>
        <v>56.75</v>
      </c>
      <c r="F4">
        <f t="shared" si="1"/>
        <v>75.2</v>
      </c>
      <c r="G4">
        <f t="shared" si="1"/>
        <v>95.7</v>
      </c>
      <c r="H4">
        <f t="shared" si="1"/>
        <v>114.25</v>
      </c>
      <c r="I4">
        <f t="shared" si="1"/>
        <v>132.9</v>
      </c>
      <c r="J4">
        <f t="shared" si="0"/>
        <v>66.712500000000006</v>
      </c>
      <c r="L4" t="s">
        <v>12</v>
      </c>
      <c r="M4">
        <f>(J6-J1*J4)/(J5-J1^2)</f>
        <v>3.7819047619047599E-2</v>
      </c>
    </row>
    <row r="5" spans="1:13">
      <c r="A5" t="s">
        <v>21</v>
      </c>
      <c r="B5">
        <f>B1^2</f>
        <v>0</v>
      </c>
      <c r="C5">
        <f t="shared" ref="C5:I5" si="2">C1^2</f>
        <v>250000</v>
      </c>
      <c r="D5">
        <f t="shared" si="2"/>
        <v>1000000</v>
      </c>
      <c r="E5">
        <f t="shared" si="2"/>
        <v>2250000</v>
      </c>
      <c r="F5">
        <f t="shared" si="2"/>
        <v>4000000</v>
      </c>
      <c r="G5">
        <f t="shared" si="2"/>
        <v>6250000</v>
      </c>
      <c r="H5">
        <f t="shared" si="2"/>
        <v>9000000</v>
      </c>
      <c r="I5">
        <f t="shared" si="2"/>
        <v>12250000</v>
      </c>
      <c r="J5">
        <f t="shared" si="0"/>
        <v>4375000</v>
      </c>
      <c r="L5" t="s">
        <v>13</v>
      </c>
      <c r="M5">
        <f>J4-M4*J1</f>
        <v>0.52916666666669698</v>
      </c>
    </row>
    <row r="6" spans="1:13">
      <c r="A6" t="s">
        <v>22</v>
      </c>
      <c r="B6">
        <f>B1*B4</f>
        <v>0</v>
      </c>
      <c r="C6">
        <f t="shared" ref="C6:I6" si="3">C1*C4</f>
        <v>9600</v>
      </c>
      <c r="D6">
        <f t="shared" si="3"/>
        <v>38800</v>
      </c>
      <c r="E6">
        <f t="shared" si="3"/>
        <v>85125</v>
      </c>
      <c r="F6">
        <f t="shared" si="3"/>
        <v>150400</v>
      </c>
      <c r="G6">
        <f t="shared" si="3"/>
        <v>239250</v>
      </c>
      <c r="H6">
        <f t="shared" si="3"/>
        <v>342750</v>
      </c>
      <c r="I6">
        <f t="shared" si="3"/>
        <v>465150</v>
      </c>
      <c r="J6">
        <f t="shared" si="0"/>
        <v>166384.375</v>
      </c>
      <c r="L6" t="s">
        <v>14</v>
      </c>
      <c r="M6">
        <f>(J7/6)^0.5</f>
        <v>0.58451411106298301</v>
      </c>
    </row>
    <row r="7" spans="1:13">
      <c r="A7" t="s">
        <v>9</v>
      </c>
      <c r="B7">
        <f>(B4-$M$5-$M$4*B1)^2</f>
        <v>0.137517361111089</v>
      </c>
      <c r="C7">
        <f t="shared" ref="C7:I7" si="4">(C4-$M$5-$M$4*C1)^2</f>
        <v>5.6973143424047003E-2</v>
      </c>
      <c r="D7">
        <f t="shared" si="4"/>
        <v>0.20411033163263201</v>
      </c>
      <c r="E7">
        <f t="shared" si="4"/>
        <v>0.25779797335601701</v>
      </c>
      <c r="F7">
        <f t="shared" si="4"/>
        <v>0.93559559240366996</v>
      </c>
      <c r="G7">
        <f t="shared" si="4"/>
        <v>0.38839604591836402</v>
      </c>
      <c r="H7">
        <f t="shared" si="4"/>
        <v>6.9532667233567394E-2</v>
      </c>
      <c r="I7">
        <f t="shared" si="4"/>
        <v>1.7361111111316401E-5</v>
      </c>
      <c r="J7">
        <f>SUM(B7:I7)</f>
        <v>2.0499404761904998</v>
      </c>
      <c r="L7" t="s">
        <v>15</v>
      </c>
      <c r="M7" s="53">
        <f>M6/(J8^0.5)</f>
        <v>1.80384970874265E-4</v>
      </c>
    </row>
    <row r="8" spans="1:13">
      <c r="A8" t="s">
        <v>23</v>
      </c>
      <c r="B8">
        <f>(B1-$J$1)^2</f>
        <v>3062500</v>
      </c>
      <c r="C8">
        <f t="shared" ref="C8:I8" si="5">(C1-$J$1)^2</f>
        <v>1562500</v>
      </c>
      <c r="D8">
        <f t="shared" si="5"/>
        <v>562500</v>
      </c>
      <c r="E8">
        <f t="shared" si="5"/>
        <v>62500</v>
      </c>
      <c r="F8">
        <f t="shared" si="5"/>
        <v>62500</v>
      </c>
      <c r="G8">
        <f t="shared" si="5"/>
        <v>562500</v>
      </c>
      <c r="H8">
        <f t="shared" si="5"/>
        <v>1562500</v>
      </c>
      <c r="I8">
        <f t="shared" si="5"/>
        <v>3062500</v>
      </c>
      <c r="J8">
        <f>SUM(B8:I8)</f>
        <v>10500000</v>
      </c>
      <c r="L8" t="s">
        <v>16</v>
      </c>
      <c r="M8">
        <f>M6*(J1^2/J8+1/8)^0.5</f>
        <v>0.37730223629502802</v>
      </c>
    </row>
    <row r="11" spans="1:13">
      <c r="B11">
        <f>INDEX(LINEST(B4:I4,B1:I1,1,1),1,1)</f>
        <v>3.7819047619047599E-2</v>
      </c>
    </row>
    <row r="12" spans="1:13">
      <c r="B12">
        <f>INDEX(LINEST(B4:I4,B1:I1,1,1),1,2)</f>
        <v>0.52916666666664003</v>
      </c>
    </row>
    <row r="13" spans="1:13">
      <c r="B13">
        <f>INDEX(LINEST(B4:I4,B1:I1,1,1),3,2)</f>
        <v>0.58451411106298201</v>
      </c>
    </row>
    <row r="14" spans="1:13">
      <c r="B14">
        <f>INDEX(LINEST(B4:I4,B1:I1,1,1),2,1)</f>
        <v>1.80384970874265E-4</v>
      </c>
      <c r="C14">
        <f>B14*2.45</f>
        <v>4.4194317864194898E-4</v>
      </c>
    </row>
    <row r="15" spans="1:13">
      <c r="B15">
        <f>INDEX(LINEST(B4:I4,B1:I1,1,1),2,2)</f>
        <v>0.37730223629502702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13">
      <c r="A18" t="s">
        <v>24</v>
      </c>
      <c r="B18">
        <v>103.7</v>
      </c>
      <c r="C18">
        <v>103.9</v>
      </c>
      <c r="D18">
        <v>103.6</v>
      </c>
      <c r="E18">
        <v>103.9</v>
      </c>
      <c r="F18">
        <v>104</v>
      </c>
      <c r="G18">
        <v>104.1</v>
      </c>
      <c r="H18">
        <v>103.9</v>
      </c>
      <c r="I18">
        <v>104.1</v>
      </c>
      <c r="J18">
        <f>AVERAGE(B18:I18)</f>
        <v>103.9</v>
      </c>
      <c r="L18" t="s">
        <v>25</v>
      </c>
      <c r="M18">
        <f>(J20/7)^0.5</f>
        <v>0.17728105208558301</v>
      </c>
    </row>
    <row r="19" spans="1:13">
      <c r="A19" t="s">
        <v>26</v>
      </c>
      <c r="B19">
        <v>56</v>
      </c>
      <c r="C19">
        <v>56</v>
      </c>
      <c r="D19">
        <v>56</v>
      </c>
      <c r="E19">
        <v>56</v>
      </c>
      <c r="F19">
        <v>55.9</v>
      </c>
      <c r="G19">
        <v>55.9</v>
      </c>
      <c r="H19">
        <v>55.9</v>
      </c>
      <c r="I19">
        <v>55.8</v>
      </c>
      <c r="J19">
        <f>AVERAGE(B19:I19)</f>
        <v>55.9375</v>
      </c>
      <c r="L19" t="s">
        <v>27</v>
      </c>
      <c r="M19">
        <f>(J21/7)^0.5</f>
        <v>7.4402380914285596E-2</v>
      </c>
    </row>
    <row r="20" spans="1:13">
      <c r="A20" t="s">
        <v>28</v>
      </c>
      <c r="B20">
        <f>(B18-$J$18)^2</f>
        <v>4.0000000000001097E-2</v>
      </c>
      <c r="C20">
        <f t="shared" ref="C20:I20" si="6">(C18-$J$18)^2</f>
        <v>0</v>
      </c>
      <c r="D20">
        <f t="shared" si="6"/>
        <v>9.0000000000006797E-2</v>
      </c>
      <c r="E20">
        <f t="shared" si="6"/>
        <v>0</v>
      </c>
      <c r="F20">
        <f t="shared" si="6"/>
        <v>9.9999999999988605E-3</v>
      </c>
      <c r="G20">
        <f t="shared" si="6"/>
        <v>3.9999999999995497E-2</v>
      </c>
      <c r="H20">
        <f t="shared" si="6"/>
        <v>0</v>
      </c>
      <c r="I20">
        <f t="shared" si="6"/>
        <v>3.9999999999995497E-2</v>
      </c>
      <c r="J20">
        <f>SUM(B20:I20)</f>
        <v>0.219999999999998</v>
      </c>
      <c r="L20" t="s">
        <v>29</v>
      </c>
      <c r="M20">
        <f>((M18*2.36/(8^0.5))^2+0.1*0.1)^0.5</f>
        <v>0.178551313152749</v>
      </c>
    </row>
    <row r="21" spans="1:13">
      <c r="A21" t="s">
        <v>30</v>
      </c>
      <c r="B21">
        <f>(B19-$J$19)^2</f>
        <v>3.9062500000008899E-3</v>
      </c>
      <c r="C21">
        <f t="shared" ref="C21:I21" si="7">(C19-$J$19)^2</f>
        <v>3.9062500000008899E-3</v>
      </c>
      <c r="D21">
        <f t="shared" si="7"/>
        <v>3.9062500000008899E-3</v>
      </c>
      <c r="E21">
        <f t="shared" si="7"/>
        <v>3.9062500000008899E-3</v>
      </c>
      <c r="F21">
        <f t="shared" si="7"/>
        <v>1.40624999999957E-3</v>
      </c>
      <c r="G21">
        <f t="shared" si="7"/>
        <v>1.40624999999957E-3</v>
      </c>
      <c r="H21">
        <f t="shared" si="7"/>
        <v>1.40624999999957E-3</v>
      </c>
      <c r="I21">
        <f t="shared" si="7"/>
        <v>1.8906249999998799E-2</v>
      </c>
      <c r="J21">
        <f>SUM(B21:I21)</f>
        <v>3.8750000000001103E-2</v>
      </c>
      <c r="L21" t="s">
        <v>31</v>
      </c>
      <c r="M21">
        <f>((M19*2.36/(8^0.5))^2+0.1*0.1)^0.5</f>
        <v>0.11770286439044</v>
      </c>
    </row>
    <row r="24" spans="1:13">
      <c r="A24" t="s">
        <v>32</v>
      </c>
      <c r="B24">
        <f>48/0.0378/3.14159/67.88</f>
        <v>5.9546754786481602</v>
      </c>
    </row>
    <row r="25" spans="1:13">
      <c r="A25" t="s">
        <v>33</v>
      </c>
      <c r="B25">
        <f>B24*((M20^2+M21^2)/(J18-J19)^2+(C14/M4)^2+2*(0.02)^2/67.88^2)^0.5</f>
        <v>7.4519383870519706E-2</v>
      </c>
    </row>
  </sheetData>
  <phoneticPr fontId="14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20" sqref="M20"/>
    </sheetView>
  </sheetViews>
  <sheetFormatPr defaultColWidth="9" defaultRowHeight="14.25"/>
  <sheetData>
    <row r="1" spans="1:13">
      <c r="A1" t="s">
        <v>34</v>
      </c>
      <c r="B1">
        <v>1</v>
      </c>
      <c r="C1">
        <v>2</v>
      </c>
      <c r="D1">
        <v>3</v>
      </c>
      <c r="E1" t="s">
        <v>35</v>
      </c>
      <c r="H1" t="s">
        <v>36</v>
      </c>
      <c r="I1">
        <v>1</v>
      </c>
      <c r="J1">
        <v>2</v>
      </c>
      <c r="K1">
        <v>3</v>
      </c>
      <c r="L1" t="s">
        <v>35</v>
      </c>
    </row>
    <row r="2" spans="1:13">
      <c r="A2" t="s">
        <v>37</v>
      </c>
      <c r="B2">
        <v>0.4</v>
      </c>
      <c r="C2">
        <v>0.4</v>
      </c>
      <c r="D2">
        <v>0.25</v>
      </c>
      <c r="H2" t="s">
        <v>37</v>
      </c>
      <c r="I2">
        <v>15.05</v>
      </c>
      <c r="J2">
        <v>15</v>
      </c>
      <c r="K2">
        <v>15.2</v>
      </c>
    </row>
    <row r="3" spans="1:13">
      <c r="A3" t="s">
        <v>38</v>
      </c>
      <c r="B3">
        <v>0.4</v>
      </c>
      <c r="C3">
        <v>0.35</v>
      </c>
      <c r="D3">
        <v>0.2</v>
      </c>
      <c r="H3" t="s">
        <v>38</v>
      </c>
      <c r="I3">
        <v>14.95</v>
      </c>
      <c r="J3">
        <v>14.9</v>
      </c>
      <c r="K3">
        <v>15.15</v>
      </c>
    </row>
    <row r="4" spans="1:13">
      <c r="A4" t="s">
        <v>39</v>
      </c>
      <c r="B4">
        <f>AVERAGE(B2:B3)</f>
        <v>0.4</v>
      </c>
      <c r="C4">
        <f t="shared" ref="C4:D4" si="0">AVERAGE(C2:C3)</f>
        <v>0.375</v>
      </c>
      <c r="D4">
        <f t="shared" si="0"/>
        <v>0.22500000000000001</v>
      </c>
      <c r="E4">
        <f>AVERAGE(B4:D4)</f>
        <v>0.33333333333333298</v>
      </c>
      <c r="H4" t="s">
        <v>39</v>
      </c>
      <c r="I4">
        <f>AVERAGE(I2:I3)</f>
        <v>15</v>
      </c>
      <c r="J4">
        <f t="shared" ref="J4" si="1">AVERAGE(J2:J3)</f>
        <v>14.95</v>
      </c>
      <c r="K4">
        <f t="shared" ref="K4" si="2">AVERAGE(K2:K3)</f>
        <v>15.175000000000001</v>
      </c>
      <c r="L4">
        <f>AVERAGE(I4:K4)</f>
        <v>15.0416666666667</v>
      </c>
      <c r="M4">
        <f>L4-E4</f>
        <v>14.7083333333333</v>
      </c>
    </row>
    <row r="6" spans="1:13">
      <c r="A6" t="s">
        <v>40</v>
      </c>
      <c r="B6">
        <v>1</v>
      </c>
      <c r="C6">
        <v>2</v>
      </c>
      <c r="D6">
        <v>3</v>
      </c>
      <c r="E6" t="s">
        <v>35</v>
      </c>
      <c r="H6" t="s">
        <v>41</v>
      </c>
      <c r="I6">
        <v>1</v>
      </c>
      <c r="J6">
        <v>2</v>
      </c>
      <c r="K6">
        <v>3</v>
      </c>
      <c r="L6" t="s">
        <v>35</v>
      </c>
    </row>
    <row r="7" spans="1:13">
      <c r="A7" t="s">
        <v>37</v>
      </c>
      <c r="B7">
        <v>5.2</v>
      </c>
      <c r="C7">
        <v>5</v>
      </c>
      <c r="D7">
        <v>5.25</v>
      </c>
      <c r="H7" t="s">
        <v>37</v>
      </c>
      <c r="I7">
        <v>19.649999999999999</v>
      </c>
      <c r="J7">
        <v>19.399999999999999</v>
      </c>
      <c r="K7">
        <v>19.649999999999999</v>
      </c>
    </row>
    <row r="8" spans="1:13">
      <c r="A8" t="s">
        <v>38</v>
      </c>
      <c r="B8">
        <v>5.0999999999999996</v>
      </c>
      <c r="C8">
        <v>4.95</v>
      </c>
      <c r="D8">
        <v>5.15</v>
      </c>
      <c r="H8" t="s">
        <v>38</v>
      </c>
      <c r="I8">
        <v>19.55</v>
      </c>
      <c r="J8">
        <v>19.350000000000001</v>
      </c>
      <c r="K8">
        <v>19.55</v>
      </c>
    </row>
    <row r="9" spans="1:13">
      <c r="A9" t="s">
        <v>39</v>
      </c>
      <c r="B9">
        <f>AVERAGE(B7:B8)</f>
        <v>5.15</v>
      </c>
      <c r="C9">
        <f t="shared" ref="C9" si="3">AVERAGE(C7:C8)</f>
        <v>4.9749999999999996</v>
      </c>
      <c r="D9">
        <f t="shared" ref="D9" si="4">AVERAGE(D7:D8)</f>
        <v>5.2</v>
      </c>
      <c r="E9">
        <f>AVERAGE(B9:D9)</f>
        <v>5.1083333333333298</v>
      </c>
      <c r="F9">
        <f>E9-E4</f>
        <v>4.7750000000000004</v>
      </c>
      <c r="H9" t="s">
        <v>39</v>
      </c>
      <c r="I9">
        <f>AVERAGE(I7:I8)</f>
        <v>19.600000000000001</v>
      </c>
      <c r="J9">
        <f t="shared" ref="J9" si="5">AVERAGE(J7:J8)</f>
        <v>19.375</v>
      </c>
      <c r="K9">
        <f t="shared" ref="K9" si="6">AVERAGE(K7:K8)</f>
        <v>19.600000000000001</v>
      </c>
      <c r="L9">
        <f>AVERAGE(I9:K9)</f>
        <v>19.524999999999999</v>
      </c>
      <c r="M9">
        <f>L9-E4</f>
        <v>19.191666666666698</v>
      </c>
    </row>
    <row r="11" spans="1:13">
      <c r="A11" t="s">
        <v>42</v>
      </c>
      <c r="B11">
        <v>1</v>
      </c>
      <c r="C11">
        <v>2</v>
      </c>
      <c r="D11">
        <v>3</v>
      </c>
      <c r="E11" t="s">
        <v>35</v>
      </c>
      <c r="H11" t="s">
        <v>43</v>
      </c>
      <c r="I11">
        <v>1</v>
      </c>
      <c r="J11">
        <v>2</v>
      </c>
      <c r="K11">
        <v>3</v>
      </c>
      <c r="L11" t="s">
        <v>35</v>
      </c>
    </row>
    <row r="12" spans="1:13">
      <c r="A12" t="s">
        <v>37</v>
      </c>
      <c r="B12">
        <v>10</v>
      </c>
      <c r="C12">
        <v>9.5500000000000007</v>
      </c>
      <c r="D12">
        <v>9.85</v>
      </c>
      <c r="H12" t="s">
        <v>37</v>
      </c>
      <c r="I12">
        <v>24.35</v>
      </c>
      <c r="J12">
        <v>24.55</v>
      </c>
      <c r="K12">
        <v>24.35</v>
      </c>
    </row>
    <row r="13" spans="1:13">
      <c r="A13" t="s">
        <v>38</v>
      </c>
      <c r="B13">
        <v>9.9499999999999993</v>
      </c>
      <c r="C13">
        <v>9.4</v>
      </c>
      <c r="D13">
        <v>9.8000000000000007</v>
      </c>
      <c r="H13" t="s">
        <v>38</v>
      </c>
      <c r="I13">
        <v>24.2</v>
      </c>
      <c r="J13">
        <v>24.4</v>
      </c>
      <c r="K13">
        <v>24.1</v>
      </c>
    </row>
    <row r="14" spans="1:13">
      <c r="A14" t="s">
        <v>39</v>
      </c>
      <c r="B14">
        <f>AVERAGE(B12:B13)</f>
        <v>9.9749999999999996</v>
      </c>
      <c r="C14">
        <f t="shared" ref="C14" si="7">AVERAGE(C12:C13)</f>
        <v>9.4749999999999996</v>
      </c>
      <c r="D14">
        <f t="shared" ref="D14" si="8">AVERAGE(D12:D13)</f>
        <v>9.8249999999999993</v>
      </c>
      <c r="E14">
        <f>AVERAGE(B14:D14)</f>
        <v>9.7583333333333293</v>
      </c>
      <c r="F14">
        <f>E14-E4</f>
        <v>9.4250000000000007</v>
      </c>
      <c r="H14" t="s">
        <v>39</v>
      </c>
      <c r="I14">
        <f>AVERAGE(I12:I13)</f>
        <v>24.274999999999999</v>
      </c>
      <c r="J14">
        <f t="shared" ref="J14" si="9">AVERAGE(J12:J13)</f>
        <v>24.475000000000001</v>
      </c>
      <c r="K14">
        <f t="shared" ref="K14" si="10">AVERAGE(K12:K13)</f>
        <v>24.225000000000001</v>
      </c>
      <c r="L14">
        <f>AVERAGE(I14:K14)</f>
        <v>24.324999999999999</v>
      </c>
      <c r="M14">
        <f>L14-E4</f>
        <v>23.991666666666699</v>
      </c>
    </row>
    <row r="16" spans="1:13">
      <c r="A16" t="s">
        <v>44</v>
      </c>
      <c r="B16">
        <v>1</v>
      </c>
      <c r="C16">
        <v>2</v>
      </c>
      <c r="D16">
        <v>3</v>
      </c>
      <c r="E16" t="s">
        <v>35</v>
      </c>
      <c r="H16" t="s">
        <v>45</v>
      </c>
      <c r="I16">
        <v>1</v>
      </c>
      <c r="J16">
        <v>2</v>
      </c>
      <c r="K16">
        <v>3</v>
      </c>
      <c r="L16" t="s">
        <v>35</v>
      </c>
    </row>
    <row r="17" spans="1:13">
      <c r="A17" t="s">
        <v>37</v>
      </c>
      <c r="B17">
        <v>12.2</v>
      </c>
      <c r="C17">
        <v>12.05</v>
      </c>
      <c r="D17">
        <v>12.35</v>
      </c>
      <c r="H17" t="s">
        <v>37</v>
      </c>
      <c r="I17">
        <v>7.35</v>
      </c>
      <c r="J17">
        <v>7.5</v>
      </c>
      <c r="K17">
        <v>7.5</v>
      </c>
    </row>
    <row r="18" spans="1:13">
      <c r="A18" t="s">
        <v>38</v>
      </c>
      <c r="B18">
        <v>12.05</v>
      </c>
      <c r="C18">
        <v>11.95</v>
      </c>
      <c r="D18">
        <v>12.3</v>
      </c>
      <c r="H18" t="s">
        <v>38</v>
      </c>
      <c r="I18">
        <v>7.2</v>
      </c>
      <c r="J18">
        <v>7.4</v>
      </c>
      <c r="K18">
        <v>7.4</v>
      </c>
    </row>
    <row r="19" spans="1:13">
      <c r="A19" t="s">
        <v>39</v>
      </c>
      <c r="B19">
        <f>AVERAGE(B17:B18)</f>
        <v>12.125</v>
      </c>
      <c r="C19">
        <f t="shared" ref="C19" si="11">AVERAGE(C17:C18)</f>
        <v>12</v>
      </c>
      <c r="D19">
        <f t="shared" ref="D19" si="12">AVERAGE(D17:D18)</f>
        <v>12.324999999999999</v>
      </c>
      <c r="E19">
        <f>AVERAGE(B19:D19)</f>
        <v>12.15</v>
      </c>
      <c r="F19">
        <f>E19-E4</f>
        <v>11.8166666666667</v>
      </c>
      <c r="H19" t="s">
        <v>39</v>
      </c>
      <c r="I19">
        <f>AVERAGE(I17:I18)</f>
        <v>7.2750000000000004</v>
      </c>
      <c r="J19">
        <f t="shared" ref="J19" si="13">AVERAGE(J17:J18)</f>
        <v>7.45</v>
      </c>
      <c r="K19">
        <f t="shared" ref="K19" si="14">AVERAGE(K17:K18)</f>
        <v>7.45</v>
      </c>
      <c r="L19">
        <f>AVERAGE(I19:K19)</f>
        <v>7.3916666666666702</v>
      </c>
      <c r="M19">
        <f>L19-E4</f>
        <v>7.05833333333333</v>
      </c>
    </row>
  </sheetData>
  <phoneticPr fontId="14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workbookViewId="0">
      <selection activeCell="C9" sqref="C9"/>
    </sheetView>
  </sheetViews>
  <sheetFormatPr defaultColWidth="9" defaultRowHeight="14.25"/>
  <cols>
    <col min="2" max="15" width="10.75" customWidth="1"/>
    <col min="16" max="42" width="10.5" customWidth="1"/>
  </cols>
  <sheetData>
    <row r="1" spans="1:42">
      <c r="A1" t="s">
        <v>46</v>
      </c>
      <c r="B1">
        <v>-100</v>
      </c>
      <c r="C1">
        <v>-95</v>
      </c>
      <c r="D1">
        <v>-90</v>
      </c>
      <c r="E1">
        <v>-85</v>
      </c>
      <c r="F1">
        <v>-80</v>
      </c>
      <c r="G1">
        <v>-75</v>
      </c>
      <c r="H1">
        <v>-70</v>
      </c>
      <c r="I1">
        <v>-65</v>
      </c>
      <c r="J1">
        <v>-60</v>
      </c>
      <c r="K1">
        <v>-55</v>
      </c>
      <c r="L1">
        <v>-50</v>
      </c>
      <c r="M1">
        <v>-45</v>
      </c>
      <c r="N1">
        <v>-40</v>
      </c>
      <c r="O1">
        <v>-35</v>
      </c>
      <c r="P1">
        <v>-30</v>
      </c>
      <c r="Q1">
        <v>-25</v>
      </c>
      <c r="R1">
        <v>-20</v>
      </c>
      <c r="S1">
        <v>-15</v>
      </c>
      <c r="T1">
        <v>-10</v>
      </c>
      <c r="U1">
        <v>-5</v>
      </c>
      <c r="V1">
        <v>0</v>
      </c>
      <c r="W1">
        <v>5</v>
      </c>
      <c r="X1">
        <v>10</v>
      </c>
      <c r="Y1">
        <v>15</v>
      </c>
      <c r="Z1">
        <v>20</v>
      </c>
      <c r="AA1">
        <v>25</v>
      </c>
      <c r="AB1">
        <v>30</v>
      </c>
      <c r="AC1">
        <v>35</v>
      </c>
      <c r="AD1">
        <v>40</v>
      </c>
      <c r="AE1">
        <v>45</v>
      </c>
      <c r="AF1">
        <v>50</v>
      </c>
      <c r="AG1">
        <v>55</v>
      </c>
      <c r="AH1">
        <v>60</v>
      </c>
      <c r="AI1">
        <v>65</v>
      </c>
      <c r="AJ1">
        <v>70</v>
      </c>
      <c r="AK1">
        <v>75</v>
      </c>
      <c r="AL1">
        <v>80</v>
      </c>
      <c r="AM1">
        <v>85</v>
      </c>
      <c r="AN1">
        <v>90</v>
      </c>
      <c r="AO1">
        <v>95</v>
      </c>
      <c r="AP1">
        <v>100</v>
      </c>
    </row>
    <row r="2" spans="1:42" s="48" customFormat="1">
      <c r="A2" s="48" t="s">
        <v>47</v>
      </c>
      <c r="B2" s="50">
        <f t="shared" ref="B2:V2" si="0">B1/1000*24000*4*3.14159/10000000*10000</f>
        <v>-30.159264</v>
      </c>
      <c r="C2" s="50">
        <f t="shared" si="0"/>
        <v>-28.651300800000001</v>
      </c>
      <c r="D2" s="50">
        <f t="shared" si="0"/>
        <v>-27.143337599999999</v>
      </c>
      <c r="E2" s="50">
        <f t="shared" si="0"/>
        <v>-25.6353744</v>
      </c>
      <c r="F2" s="50">
        <f t="shared" si="0"/>
        <v>-24.127411200000001</v>
      </c>
      <c r="G2" s="50">
        <f t="shared" si="0"/>
        <v>-22.619447999999998</v>
      </c>
      <c r="H2" s="50">
        <f t="shared" si="0"/>
        <v>-21.111484799999999</v>
      </c>
      <c r="I2" s="50">
        <f t="shared" si="0"/>
        <v>-19.603521600000001</v>
      </c>
      <c r="J2" s="50">
        <f t="shared" si="0"/>
        <v>-18.095558400000002</v>
      </c>
      <c r="K2" s="50">
        <f t="shared" si="0"/>
        <v>-16.587595199999999</v>
      </c>
      <c r="L2" s="50">
        <f t="shared" si="0"/>
        <v>-15.079632</v>
      </c>
      <c r="M2" s="50">
        <f t="shared" si="0"/>
        <v>-13.571668799999999</v>
      </c>
      <c r="N2" s="50">
        <f t="shared" si="0"/>
        <v>-12.0637056</v>
      </c>
      <c r="O2" s="50">
        <f t="shared" si="0"/>
        <v>-10.5557424</v>
      </c>
      <c r="P2" s="50">
        <f t="shared" si="0"/>
        <v>-9.0477792000000008</v>
      </c>
      <c r="Q2" s="50">
        <f t="shared" si="0"/>
        <v>-7.5398160000000001</v>
      </c>
      <c r="R2" s="50">
        <f t="shared" si="0"/>
        <v>-6.0318528000000002</v>
      </c>
      <c r="S2" s="50">
        <f t="shared" si="0"/>
        <v>-4.5238896000000004</v>
      </c>
      <c r="T2" s="50">
        <f t="shared" si="0"/>
        <v>-3.0159264000000001</v>
      </c>
      <c r="U2" s="50">
        <f t="shared" si="0"/>
        <v>-1.5079632000000001</v>
      </c>
      <c r="V2" s="50">
        <f t="shared" si="0"/>
        <v>0</v>
      </c>
      <c r="W2" s="50">
        <f t="shared" ref="W2:AP2" si="1">W1/1000*24000*4*3.14159/10000000*10000</f>
        <v>1.5079632000000001</v>
      </c>
      <c r="X2" s="50">
        <f t="shared" si="1"/>
        <v>3.0159264000000001</v>
      </c>
      <c r="Y2" s="50">
        <f t="shared" si="1"/>
        <v>4.5238896000000004</v>
      </c>
      <c r="Z2" s="50">
        <f t="shared" si="1"/>
        <v>6.0318528000000002</v>
      </c>
      <c r="AA2" s="50">
        <f t="shared" si="1"/>
        <v>7.5398160000000001</v>
      </c>
      <c r="AB2" s="50">
        <f t="shared" si="1"/>
        <v>9.0477792000000008</v>
      </c>
      <c r="AC2" s="50">
        <f t="shared" si="1"/>
        <v>10.5557424</v>
      </c>
      <c r="AD2" s="50">
        <f t="shared" si="1"/>
        <v>12.0637056</v>
      </c>
      <c r="AE2" s="50">
        <f t="shared" si="1"/>
        <v>13.571668799999999</v>
      </c>
      <c r="AF2" s="50">
        <f t="shared" si="1"/>
        <v>15.079632</v>
      </c>
      <c r="AG2" s="50">
        <f t="shared" si="1"/>
        <v>16.587595199999999</v>
      </c>
      <c r="AH2" s="50">
        <f t="shared" si="1"/>
        <v>18.095558400000002</v>
      </c>
      <c r="AI2" s="50">
        <f t="shared" si="1"/>
        <v>19.603521600000001</v>
      </c>
      <c r="AJ2" s="50">
        <f t="shared" si="1"/>
        <v>21.111484799999999</v>
      </c>
      <c r="AK2" s="50">
        <f t="shared" si="1"/>
        <v>22.619447999999998</v>
      </c>
      <c r="AL2" s="50">
        <f t="shared" si="1"/>
        <v>24.127411200000001</v>
      </c>
      <c r="AM2" s="50">
        <f t="shared" si="1"/>
        <v>25.6353744</v>
      </c>
      <c r="AN2" s="50">
        <f t="shared" si="1"/>
        <v>27.143337599999999</v>
      </c>
      <c r="AO2" s="50">
        <f t="shared" si="1"/>
        <v>28.651300800000001</v>
      </c>
      <c r="AP2" s="50">
        <f t="shared" si="1"/>
        <v>30.159264</v>
      </c>
    </row>
    <row r="4" spans="1:42">
      <c r="A4" t="s">
        <v>48</v>
      </c>
      <c r="B4">
        <v>1.482</v>
      </c>
      <c r="C4">
        <v>1.482</v>
      </c>
      <c r="D4">
        <v>1.4810000000000001</v>
      </c>
      <c r="E4">
        <v>1.48</v>
      </c>
      <c r="F4">
        <v>1.48</v>
      </c>
      <c r="G4">
        <v>1.478</v>
      </c>
      <c r="H4">
        <v>1.4770000000000001</v>
      </c>
      <c r="I4">
        <v>1.4750000000000001</v>
      </c>
      <c r="J4">
        <v>1.474</v>
      </c>
      <c r="K4">
        <v>1.472</v>
      </c>
      <c r="L4">
        <v>1.47</v>
      </c>
      <c r="M4">
        <v>1.466</v>
      </c>
      <c r="N4">
        <v>1.4610000000000001</v>
      </c>
      <c r="O4">
        <v>1.4550000000000001</v>
      </c>
      <c r="P4">
        <v>1.446</v>
      </c>
      <c r="Q4">
        <v>1.4330000000000001</v>
      </c>
      <c r="R4">
        <v>1.4179999999999999</v>
      </c>
      <c r="S4">
        <v>1.399</v>
      </c>
      <c r="T4">
        <v>1.38</v>
      </c>
      <c r="U4">
        <v>1.3580000000000001</v>
      </c>
      <c r="V4">
        <v>1.343</v>
      </c>
      <c r="W4">
        <v>1.353</v>
      </c>
      <c r="X4">
        <v>1.3740000000000001</v>
      </c>
      <c r="Y4">
        <v>1.393</v>
      </c>
      <c r="Z4">
        <v>1.4119999999999999</v>
      </c>
      <c r="AA4">
        <v>1.429</v>
      </c>
      <c r="AB4">
        <v>1.4419999999999999</v>
      </c>
      <c r="AC4">
        <v>1.452</v>
      </c>
      <c r="AD4">
        <v>1.46</v>
      </c>
      <c r="AE4">
        <v>1.464</v>
      </c>
      <c r="AF4">
        <v>1.468</v>
      </c>
      <c r="AG4">
        <v>1.472</v>
      </c>
      <c r="AH4">
        <v>1.4730000000000001</v>
      </c>
      <c r="AI4">
        <v>1.4750000000000001</v>
      </c>
      <c r="AJ4">
        <v>1.4770000000000001</v>
      </c>
      <c r="AK4">
        <v>1.478</v>
      </c>
      <c r="AL4">
        <v>1.48</v>
      </c>
      <c r="AM4">
        <v>1.48</v>
      </c>
      <c r="AN4">
        <v>1.4810000000000001</v>
      </c>
      <c r="AO4">
        <v>1.482</v>
      </c>
      <c r="AP4">
        <v>1.4830000000000001</v>
      </c>
    </row>
    <row r="5" spans="1:42" s="49" customFormat="1">
      <c r="A5" s="49" t="s">
        <v>49</v>
      </c>
      <c r="B5" s="51">
        <f>4*1000/B4</f>
        <v>2699.0553306342799</v>
      </c>
      <c r="C5" s="51">
        <f t="shared" ref="C5:AP5" si="2">4*1000/C4</f>
        <v>2699.0553306342799</v>
      </c>
      <c r="D5" s="51">
        <f t="shared" si="2"/>
        <v>2700.87778528022</v>
      </c>
      <c r="E5" s="51">
        <f t="shared" si="2"/>
        <v>2702.7027027027002</v>
      </c>
      <c r="F5" s="51">
        <f t="shared" si="2"/>
        <v>2702.7027027027002</v>
      </c>
      <c r="G5" s="51">
        <f t="shared" si="2"/>
        <v>2706.3599458727999</v>
      </c>
      <c r="H5" s="51">
        <f t="shared" si="2"/>
        <v>2708.192281652</v>
      </c>
      <c r="I5" s="51">
        <f t="shared" si="2"/>
        <v>2711.8644067796599</v>
      </c>
      <c r="J5" s="51">
        <f t="shared" si="2"/>
        <v>2713.7042062415198</v>
      </c>
      <c r="K5" s="51">
        <f t="shared" si="2"/>
        <v>2717.3913043478301</v>
      </c>
      <c r="L5" s="51">
        <f t="shared" si="2"/>
        <v>2721.0884353741499</v>
      </c>
      <c r="M5" s="51">
        <f t="shared" si="2"/>
        <v>2728.5129604365602</v>
      </c>
      <c r="N5" s="51">
        <f t="shared" si="2"/>
        <v>2737.8507871320999</v>
      </c>
      <c r="O5" s="51">
        <f t="shared" si="2"/>
        <v>2749.1408934707902</v>
      </c>
      <c r="P5" s="51">
        <f t="shared" si="2"/>
        <v>2766.2517289073298</v>
      </c>
      <c r="Q5" s="51">
        <f t="shared" si="2"/>
        <v>2791.3468248429899</v>
      </c>
      <c r="R5" s="51">
        <f t="shared" si="2"/>
        <v>2820.8744710860401</v>
      </c>
      <c r="S5" s="51">
        <f t="shared" si="2"/>
        <v>2859.18513223731</v>
      </c>
      <c r="T5" s="51">
        <f t="shared" si="2"/>
        <v>2898.5507246376801</v>
      </c>
      <c r="U5" s="51">
        <f t="shared" si="2"/>
        <v>2945.5081001472799</v>
      </c>
      <c r="V5" s="51">
        <f t="shared" si="2"/>
        <v>2978.4065524944199</v>
      </c>
      <c r="W5" s="51">
        <f t="shared" si="2"/>
        <v>2956.3932002956399</v>
      </c>
      <c r="X5" s="51">
        <f t="shared" si="2"/>
        <v>2911.2081513828198</v>
      </c>
      <c r="Y5" s="51">
        <f t="shared" si="2"/>
        <v>2871.5003589375401</v>
      </c>
      <c r="Z5" s="51">
        <f t="shared" si="2"/>
        <v>2832.8611898017002</v>
      </c>
      <c r="AA5" s="51">
        <f t="shared" si="2"/>
        <v>2799.1602519244202</v>
      </c>
      <c r="AB5" s="51">
        <f t="shared" si="2"/>
        <v>2773.9251040221902</v>
      </c>
      <c r="AC5" s="51">
        <f t="shared" si="2"/>
        <v>2754.8209366391202</v>
      </c>
      <c r="AD5" s="51">
        <f t="shared" si="2"/>
        <v>2739.7260273972602</v>
      </c>
      <c r="AE5" s="51">
        <f t="shared" si="2"/>
        <v>2732.2404371584698</v>
      </c>
      <c r="AF5" s="51">
        <f t="shared" si="2"/>
        <v>2724.79564032698</v>
      </c>
      <c r="AG5" s="51">
        <f t="shared" si="2"/>
        <v>2717.3913043478301</v>
      </c>
      <c r="AH5" s="51">
        <f t="shared" si="2"/>
        <v>2715.5465037338799</v>
      </c>
      <c r="AI5" s="51">
        <f t="shared" si="2"/>
        <v>2711.8644067796599</v>
      </c>
      <c r="AJ5" s="51">
        <f t="shared" si="2"/>
        <v>2708.192281652</v>
      </c>
      <c r="AK5" s="51">
        <f t="shared" si="2"/>
        <v>2706.3599458727999</v>
      </c>
      <c r="AL5" s="51">
        <f t="shared" si="2"/>
        <v>2702.7027027027002</v>
      </c>
      <c r="AM5" s="51">
        <f t="shared" si="2"/>
        <v>2702.7027027027002</v>
      </c>
      <c r="AN5" s="51">
        <f t="shared" si="2"/>
        <v>2700.87778528022</v>
      </c>
      <c r="AO5" s="51">
        <f t="shared" si="2"/>
        <v>2699.0553306342799</v>
      </c>
      <c r="AP5" s="51">
        <f t="shared" si="2"/>
        <v>2697.2353337828699</v>
      </c>
    </row>
    <row r="6" spans="1:42">
      <c r="A6" t="s">
        <v>50</v>
      </c>
      <c r="B6">
        <v>1.482</v>
      </c>
      <c r="C6">
        <v>1.482</v>
      </c>
      <c r="D6">
        <v>1.4810000000000001</v>
      </c>
      <c r="E6">
        <v>1.48</v>
      </c>
      <c r="F6">
        <v>1.4790000000000001</v>
      </c>
      <c r="G6">
        <v>1.478</v>
      </c>
      <c r="H6">
        <v>1.4770000000000001</v>
      </c>
      <c r="I6">
        <v>1.4750000000000001</v>
      </c>
      <c r="J6">
        <v>1.4730000000000001</v>
      </c>
      <c r="K6">
        <v>1.4710000000000001</v>
      </c>
      <c r="L6">
        <v>1.468</v>
      </c>
      <c r="M6">
        <v>1.464</v>
      </c>
      <c r="N6">
        <v>1.4590000000000001</v>
      </c>
      <c r="O6">
        <v>1.452</v>
      </c>
      <c r="P6">
        <v>1.4410000000000001</v>
      </c>
      <c r="Q6">
        <v>1.4279999999999999</v>
      </c>
      <c r="R6">
        <v>1.4119999999999999</v>
      </c>
      <c r="S6">
        <v>1.3919999999999999</v>
      </c>
      <c r="T6">
        <v>1.373</v>
      </c>
      <c r="U6">
        <v>1.353</v>
      </c>
      <c r="V6">
        <v>1.3440000000000001</v>
      </c>
      <c r="W6">
        <v>1.3580000000000001</v>
      </c>
      <c r="X6">
        <v>1.38</v>
      </c>
      <c r="Y6">
        <v>1.4</v>
      </c>
      <c r="Z6">
        <v>1.4179999999999999</v>
      </c>
      <c r="AA6">
        <v>1.4330000000000001</v>
      </c>
      <c r="AB6">
        <v>1.4450000000000001</v>
      </c>
      <c r="AC6">
        <v>1.454</v>
      </c>
      <c r="AD6">
        <v>1.4610000000000001</v>
      </c>
      <c r="AE6">
        <v>1.466</v>
      </c>
      <c r="AF6">
        <v>1.4690000000000001</v>
      </c>
      <c r="AG6">
        <v>1.4710000000000001</v>
      </c>
      <c r="AH6">
        <v>1.474</v>
      </c>
      <c r="AI6">
        <v>1.4750000000000001</v>
      </c>
      <c r="AJ6">
        <v>1.4770000000000001</v>
      </c>
      <c r="AK6">
        <v>1.478</v>
      </c>
      <c r="AL6">
        <v>1.48</v>
      </c>
      <c r="AM6">
        <v>1.4810000000000001</v>
      </c>
      <c r="AN6">
        <v>1.4810000000000001</v>
      </c>
      <c r="AO6">
        <v>1.482</v>
      </c>
      <c r="AP6">
        <v>1.4830000000000001</v>
      </c>
    </row>
    <row r="7" spans="1:42" s="48" customFormat="1">
      <c r="A7" s="48" t="s">
        <v>49</v>
      </c>
      <c r="B7" s="52">
        <f>4*1000/B6</f>
        <v>2699.0553306342799</v>
      </c>
      <c r="C7" s="52">
        <f t="shared" ref="C7:AP7" si="3">4*1000/C6</f>
        <v>2699.0553306342799</v>
      </c>
      <c r="D7" s="52">
        <f t="shared" si="3"/>
        <v>2700.87778528022</v>
      </c>
      <c r="E7" s="52">
        <f t="shared" si="3"/>
        <v>2702.7027027027002</v>
      </c>
      <c r="F7" s="52">
        <f t="shared" si="3"/>
        <v>2704.5300878972298</v>
      </c>
      <c r="G7" s="52">
        <f t="shared" si="3"/>
        <v>2706.3599458727999</v>
      </c>
      <c r="H7" s="52">
        <f t="shared" si="3"/>
        <v>2708.192281652</v>
      </c>
      <c r="I7" s="52">
        <f t="shared" si="3"/>
        <v>2711.8644067796599</v>
      </c>
      <c r="J7" s="52">
        <f t="shared" si="3"/>
        <v>2715.5465037338799</v>
      </c>
      <c r="K7" s="52">
        <f t="shared" si="3"/>
        <v>2719.23861318831</v>
      </c>
      <c r="L7" s="52">
        <f t="shared" si="3"/>
        <v>2724.79564032698</v>
      </c>
      <c r="M7" s="52">
        <f t="shared" si="3"/>
        <v>2732.2404371584698</v>
      </c>
      <c r="N7" s="52">
        <f t="shared" si="3"/>
        <v>2741.6038382453698</v>
      </c>
      <c r="O7" s="52">
        <f t="shared" si="3"/>
        <v>2754.8209366391202</v>
      </c>
      <c r="P7" s="52">
        <f t="shared" si="3"/>
        <v>2775.8501040943802</v>
      </c>
      <c r="Q7" s="52">
        <f t="shared" si="3"/>
        <v>2801.1204481792702</v>
      </c>
      <c r="R7" s="52">
        <f t="shared" si="3"/>
        <v>2832.8611898017002</v>
      </c>
      <c r="S7" s="52">
        <f t="shared" si="3"/>
        <v>2873.5632183908001</v>
      </c>
      <c r="T7" s="52">
        <f t="shared" si="3"/>
        <v>2913.3284777858698</v>
      </c>
      <c r="U7" s="52">
        <f t="shared" si="3"/>
        <v>2956.3932002956399</v>
      </c>
      <c r="V7" s="52">
        <f t="shared" si="3"/>
        <v>2976.1904761904798</v>
      </c>
      <c r="W7" s="52">
        <f t="shared" si="3"/>
        <v>2945.5081001472799</v>
      </c>
      <c r="X7" s="52">
        <f t="shared" si="3"/>
        <v>2898.5507246376801</v>
      </c>
      <c r="Y7" s="52">
        <f t="shared" si="3"/>
        <v>2857.1428571428601</v>
      </c>
      <c r="Z7" s="52">
        <f t="shared" si="3"/>
        <v>2820.8744710860401</v>
      </c>
      <c r="AA7" s="52">
        <f t="shared" si="3"/>
        <v>2791.3468248429899</v>
      </c>
      <c r="AB7" s="52">
        <f t="shared" si="3"/>
        <v>2768.1660899653998</v>
      </c>
      <c r="AC7" s="52">
        <f t="shared" si="3"/>
        <v>2751.03163686382</v>
      </c>
      <c r="AD7" s="52">
        <f t="shared" si="3"/>
        <v>2737.8507871320999</v>
      </c>
      <c r="AE7" s="52">
        <f t="shared" si="3"/>
        <v>2728.5129604365602</v>
      </c>
      <c r="AF7" s="52">
        <f t="shared" si="3"/>
        <v>2722.94077603812</v>
      </c>
      <c r="AG7" s="52">
        <f t="shared" si="3"/>
        <v>2719.23861318831</v>
      </c>
      <c r="AH7" s="52">
        <f t="shared" si="3"/>
        <v>2713.7042062415198</v>
      </c>
      <c r="AI7" s="52">
        <f t="shared" si="3"/>
        <v>2711.8644067796599</v>
      </c>
      <c r="AJ7" s="52">
        <f t="shared" si="3"/>
        <v>2708.192281652</v>
      </c>
      <c r="AK7" s="52">
        <f t="shared" si="3"/>
        <v>2706.3599458727999</v>
      </c>
      <c r="AL7" s="52">
        <f t="shared" si="3"/>
        <v>2702.7027027027002</v>
      </c>
      <c r="AM7" s="52">
        <f t="shared" si="3"/>
        <v>2700.87778528022</v>
      </c>
      <c r="AN7" s="52">
        <f t="shared" si="3"/>
        <v>2700.87778528022</v>
      </c>
      <c r="AO7" s="52">
        <f t="shared" si="3"/>
        <v>2699.0553306342799</v>
      </c>
      <c r="AP7" s="52">
        <f t="shared" si="3"/>
        <v>2697.2353337828699</v>
      </c>
    </row>
    <row r="12" spans="1:42">
      <c r="B12" s="17">
        <f>B5-2690</f>
        <v>9.0553306342781106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52" workbookViewId="0">
      <selection activeCell="B50" sqref="B50:D50"/>
    </sheetView>
  </sheetViews>
  <sheetFormatPr defaultColWidth="9" defaultRowHeight="14.25"/>
  <cols>
    <col min="1" max="1" width="17.5" customWidth="1"/>
    <col min="2" max="2" width="12.5" customWidth="1"/>
    <col min="3" max="9" width="11.625" customWidth="1"/>
    <col min="10" max="10" width="10.625" customWidth="1"/>
    <col min="11" max="11" width="12.875" customWidth="1"/>
    <col min="13" max="13" width="10.5" customWidth="1"/>
    <col min="14" max="14" width="10.375" customWidth="1"/>
  </cols>
  <sheetData>
    <row r="1" spans="1:11">
      <c r="A1" s="5" t="s">
        <v>51</v>
      </c>
    </row>
    <row r="2" spans="1:11">
      <c r="A2" s="5" t="s">
        <v>52</v>
      </c>
      <c r="B2">
        <v>29.9</v>
      </c>
      <c r="C2">
        <v>35</v>
      </c>
      <c r="D2">
        <v>40</v>
      </c>
      <c r="E2">
        <v>45</v>
      </c>
      <c r="F2">
        <v>50</v>
      </c>
      <c r="G2">
        <v>55.2</v>
      </c>
      <c r="H2">
        <v>60</v>
      </c>
      <c r="I2">
        <v>65</v>
      </c>
      <c r="J2">
        <v>70</v>
      </c>
      <c r="K2">
        <v>75</v>
      </c>
    </row>
    <row r="3" spans="1:11">
      <c r="A3" s="5" t="s">
        <v>53</v>
      </c>
      <c r="B3">
        <f>B2+273.15</f>
        <v>303.05</v>
      </c>
      <c r="C3">
        <f t="shared" ref="C3:K3" si="0">C2+273.15</f>
        <v>308.14999999999998</v>
      </c>
      <c r="D3">
        <f t="shared" si="0"/>
        <v>313.14999999999998</v>
      </c>
      <c r="E3">
        <f t="shared" si="0"/>
        <v>318.14999999999998</v>
      </c>
      <c r="F3">
        <f t="shared" si="0"/>
        <v>323.14999999999998</v>
      </c>
      <c r="G3">
        <f t="shared" si="0"/>
        <v>328.35</v>
      </c>
      <c r="H3">
        <f t="shared" si="0"/>
        <v>333.15</v>
      </c>
      <c r="I3">
        <f t="shared" si="0"/>
        <v>338.15</v>
      </c>
      <c r="J3">
        <f t="shared" si="0"/>
        <v>343.15</v>
      </c>
      <c r="K3">
        <f t="shared" si="0"/>
        <v>348.15</v>
      </c>
    </row>
    <row r="4" spans="1:11">
      <c r="A4" s="5" t="s">
        <v>54</v>
      </c>
      <c r="B4">
        <v>0.52239999999999998</v>
      </c>
      <c r="C4">
        <v>0.51049999999999995</v>
      </c>
      <c r="D4">
        <v>0.49840000000000001</v>
      </c>
      <c r="E4">
        <v>0.48570000000000002</v>
      </c>
      <c r="F4">
        <v>0.47439999999999999</v>
      </c>
      <c r="G4">
        <v>0.4627</v>
      </c>
      <c r="H4">
        <v>0.45100000000000001</v>
      </c>
      <c r="I4">
        <v>0.42899999999999999</v>
      </c>
      <c r="J4">
        <v>0.42730000000000001</v>
      </c>
      <c r="K4">
        <v>0.41539999999999999</v>
      </c>
    </row>
    <row r="6" spans="1:11">
      <c r="A6" s="26" t="s">
        <v>55</v>
      </c>
      <c r="B6" s="43">
        <f>-K8*E6/LN(H6/K6)</f>
        <v>1.4185291535000601E-23</v>
      </c>
      <c r="C6" s="3"/>
      <c r="D6" s="26" t="s">
        <v>56</v>
      </c>
      <c r="E6" s="44">
        <v>1.5999999999999999E-19</v>
      </c>
      <c r="F6" s="3"/>
      <c r="G6" s="26" t="s">
        <v>57</v>
      </c>
      <c r="H6" s="25">
        <v>21000000</v>
      </c>
      <c r="I6" s="3"/>
      <c r="J6" s="26" t="s">
        <v>58</v>
      </c>
      <c r="K6" s="25">
        <v>2.5999999999999998E-5</v>
      </c>
    </row>
    <row r="7" spans="1:11">
      <c r="C7" t="s">
        <v>59</v>
      </c>
    </row>
    <row r="8" spans="1:11">
      <c r="G8" s="5" t="s">
        <v>60</v>
      </c>
      <c r="H8" s="45">
        <v>1.2593000000000001</v>
      </c>
      <c r="J8" s="5" t="s">
        <v>61</v>
      </c>
      <c r="K8">
        <f>INDEX(LINEST(B4:K4,B2:K2,1,1),1,1)</f>
        <v>-2.4307779941384398E-3</v>
      </c>
    </row>
    <row r="9" spans="1:11">
      <c r="J9" s="5" t="s">
        <v>62</v>
      </c>
      <c r="K9">
        <f>INDEX(LINEST(B4:K4,B3:K3,1,1),1,2)</f>
        <v>1.2592871615711201</v>
      </c>
    </row>
    <row r="10" spans="1:11">
      <c r="G10" s="5" t="s">
        <v>63</v>
      </c>
      <c r="H10" s="46" t="e">
        <f>K14/H37H8</f>
        <v>#NAME?</v>
      </c>
      <c r="J10" s="5" t="s">
        <v>64</v>
      </c>
      <c r="K10">
        <v>0.99309999999999998</v>
      </c>
    </row>
    <row r="11" spans="1:11">
      <c r="J11" s="5" t="s">
        <v>65</v>
      </c>
      <c r="K11">
        <f>INDEX(LINEST(B4:K4,B3:K3,1,1),3,2)</f>
        <v>3.2575452483789599E-3</v>
      </c>
    </row>
    <row r="12" spans="1:11">
      <c r="J12" s="5" t="s">
        <v>66</v>
      </c>
      <c r="K12" s="5">
        <f>INDEX(LINEST(B4:K4,B3:K3,1,1),2,1)</f>
        <v>7.1632489467271694E-5</v>
      </c>
    </row>
    <row r="13" spans="1:11">
      <c r="J13" s="5" t="s">
        <v>67</v>
      </c>
      <c r="K13">
        <f>INDEX(LINEST(B4:K4,B3:K3,1,1),2,2)</f>
        <v>2.3350569946025902E-2</v>
      </c>
    </row>
    <row r="14" spans="1:11">
      <c r="J14" s="5" t="s">
        <v>68</v>
      </c>
      <c r="K14" s="5">
        <f>2.31*K13</f>
        <v>5.3939816575319897E-2</v>
      </c>
    </row>
    <row r="15" spans="1:11">
      <c r="J15" s="5" t="s">
        <v>4</v>
      </c>
      <c r="K15">
        <f>2.31*K12</f>
        <v>1.65471050669398E-4</v>
      </c>
    </row>
    <row r="24" spans="1:12">
      <c r="A24" s="5" t="s">
        <v>69</v>
      </c>
    </row>
    <row r="25" spans="1:12">
      <c r="A25" s="5" t="s">
        <v>70</v>
      </c>
      <c r="B25">
        <v>29.9</v>
      </c>
      <c r="C25">
        <v>35</v>
      </c>
      <c r="D25">
        <v>40</v>
      </c>
      <c r="E25">
        <v>45</v>
      </c>
      <c r="F25">
        <v>50</v>
      </c>
      <c r="G25">
        <v>55.2</v>
      </c>
      <c r="H25">
        <v>60</v>
      </c>
      <c r="I25">
        <v>65</v>
      </c>
      <c r="J25">
        <v>70</v>
      </c>
      <c r="K25">
        <v>75</v>
      </c>
    </row>
    <row r="26" spans="1:12">
      <c r="A26" s="5" t="s">
        <v>71</v>
      </c>
      <c r="B26">
        <f>B25+273.15</f>
        <v>303.05</v>
      </c>
      <c r="C26">
        <f t="shared" ref="C26:K26" si="1">C25+273.15</f>
        <v>308.14999999999998</v>
      </c>
      <c r="D26">
        <f t="shared" si="1"/>
        <v>313.14999999999998</v>
      </c>
      <c r="E26">
        <f t="shared" si="1"/>
        <v>318.14999999999998</v>
      </c>
      <c r="F26">
        <f t="shared" si="1"/>
        <v>323.14999999999998</v>
      </c>
      <c r="G26">
        <f t="shared" si="1"/>
        <v>328.35</v>
      </c>
      <c r="H26">
        <f t="shared" si="1"/>
        <v>333.15</v>
      </c>
      <c r="I26">
        <f t="shared" si="1"/>
        <v>338.15</v>
      </c>
      <c r="J26">
        <f t="shared" si="1"/>
        <v>343.15</v>
      </c>
      <c r="K26">
        <f t="shared" si="1"/>
        <v>348.15</v>
      </c>
    </row>
    <row r="27" spans="1:12">
      <c r="A27" s="5" t="s">
        <v>72</v>
      </c>
      <c r="B27" s="47">
        <f>1/B26</f>
        <v>3.2997855139415902E-3</v>
      </c>
      <c r="C27" s="47">
        <f t="shared" ref="C27:K27" si="2">1/C26</f>
        <v>3.2451728054518898E-3</v>
      </c>
      <c r="D27" s="47">
        <f t="shared" si="2"/>
        <v>3.1933578157432498E-3</v>
      </c>
      <c r="E27" s="47">
        <f t="shared" si="2"/>
        <v>3.1431714600031399E-3</v>
      </c>
      <c r="F27" s="47">
        <f t="shared" si="2"/>
        <v>3.0945381401825799E-3</v>
      </c>
      <c r="G27" s="47">
        <f t="shared" si="2"/>
        <v>3.0455306837216399E-3</v>
      </c>
      <c r="H27" s="47">
        <f t="shared" si="2"/>
        <v>3.0016509079993999E-3</v>
      </c>
      <c r="I27" s="47">
        <f t="shared" si="2"/>
        <v>2.957267484844E-3</v>
      </c>
      <c r="J27" s="47">
        <f t="shared" si="2"/>
        <v>2.91417747340813E-3</v>
      </c>
      <c r="K27" s="47">
        <f t="shared" si="2"/>
        <v>2.8723251472066598E-3</v>
      </c>
      <c r="L27" s="47"/>
    </row>
    <row r="28" spans="1:12">
      <c r="A28" s="5" t="s">
        <v>73</v>
      </c>
      <c r="B28">
        <v>6.3200000000000006E-2</v>
      </c>
      <c r="C28">
        <v>5.1299999999999998E-2</v>
      </c>
      <c r="D28">
        <v>4.19E-2</v>
      </c>
      <c r="E28">
        <v>3.3700000000000001E-2</v>
      </c>
      <c r="F28">
        <v>2.8199999999999999E-2</v>
      </c>
      <c r="G28">
        <v>2.3300000000000001E-2</v>
      </c>
      <c r="H28">
        <v>1.9699999999999999E-2</v>
      </c>
      <c r="I28">
        <v>1.6400000000000001E-2</v>
      </c>
      <c r="J28">
        <v>1.37E-2</v>
      </c>
      <c r="K28">
        <v>1.1599999999999999E-2</v>
      </c>
    </row>
    <row r="29" spans="1:12">
      <c r="A29" s="5" t="s">
        <v>49</v>
      </c>
      <c r="B29">
        <f>B28/0.000026</f>
        <v>2430.76923076923</v>
      </c>
      <c r="C29">
        <f t="shared" ref="C29:K29" si="3">C28/0.000026</f>
        <v>1973.0769230769199</v>
      </c>
      <c r="D29">
        <f t="shared" si="3"/>
        <v>1611.5384615384601</v>
      </c>
      <c r="E29">
        <f t="shared" si="3"/>
        <v>1296.1538461538501</v>
      </c>
      <c r="F29">
        <f t="shared" si="3"/>
        <v>1084.61538461538</v>
      </c>
      <c r="G29">
        <f t="shared" si="3"/>
        <v>896.15384615384596</v>
      </c>
      <c r="H29">
        <f t="shared" si="3"/>
        <v>757.69230769230796</v>
      </c>
      <c r="I29">
        <f t="shared" si="3"/>
        <v>630.76923076923094</v>
      </c>
      <c r="J29">
        <f t="shared" si="3"/>
        <v>526.92307692307702</v>
      </c>
      <c r="K29">
        <f t="shared" si="3"/>
        <v>446.15384615384602</v>
      </c>
    </row>
    <row r="30" spans="1:12">
      <c r="A30" s="5" t="s">
        <v>74</v>
      </c>
      <c r="B30" s="6">
        <f>LN(B29)</f>
        <v>7.7959630421134696</v>
      </c>
      <c r="C30" s="6">
        <f t="shared" ref="C30:K30" si="4">LN(C29)</f>
        <v>7.5873494931373804</v>
      </c>
      <c r="D30" s="6">
        <f t="shared" si="4"/>
        <v>7.3849445678887502</v>
      </c>
      <c r="E30" s="6">
        <f t="shared" si="4"/>
        <v>7.1671565783189699</v>
      </c>
      <c r="F30" s="6">
        <f t="shared" si="4"/>
        <v>6.9889807189047204</v>
      </c>
      <c r="G30" s="6">
        <f t="shared" si="4"/>
        <v>6.7981121015323103</v>
      </c>
      <c r="H30" s="6">
        <f t="shared" si="4"/>
        <v>6.6302773767046004</v>
      </c>
      <c r="I30" s="6">
        <f t="shared" si="4"/>
        <v>6.4469400757908097</v>
      </c>
      <c r="J30" s="6">
        <f t="shared" si="4"/>
        <v>6.2670545737947299</v>
      </c>
      <c r="K30" s="6">
        <f t="shared" si="4"/>
        <v>6.1006638390729702</v>
      </c>
    </row>
    <row r="48" spans="1:1">
      <c r="A48" s="5" t="s">
        <v>75</v>
      </c>
    </row>
    <row r="49" spans="1:11">
      <c r="A49" s="5" t="s">
        <v>70</v>
      </c>
      <c r="B49">
        <v>29.8</v>
      </c>
      <c r="C49">
        <v>35</v>
      </c>
      <c r="D49">
        <v>40</v>
      </c>
      <c r="E49">
        <v>44.9</v>
      </c>
      <c r="F49">
        <v>49.9</v>
      </c>
      <c r="G49">
        <v>54.9</v>
      </c>
      <c r="H49">
        <v>60</v>
      </c>
      <c r="I49">
        <v>65</v>
      </c>
      <c r="J49">
        <v>70</v>
      </c>
      <c r="K49">
        <v>74.900000000000006</v>
      </c>
    </row>
    <row r="50" spans="1:11">
      <c r="A50" s="5" t="s">
        <v>53</v>
      </c>
      <c r="B50">
        <f>B49+273.15</f>
        <v>302.95</v>
      </c>
      <c r="C50">
        <f t="shared" ref="C50:K50" si="5">C49+273.15</f>
        <v>308.14999999999998</v>
      </c>
      <c r="D50">
        <f t="shared" si="5"/>
        <v>313.14999999999998</v>
      </c>
      <c r="E50">
        <f t="shared" si="5"/>
        <v>318.05</v>
      </c>
      <c r="F50">
        <f t="shared" si="5"/>
        <v>323.05</v>
      </c>
      <c r="G50">
        <f t="shared" si="5"/>
        <v>328.05</v>
      </c>
      <c r="H50">
        <f t="shared" si="5"/>
        <v>333.15</v>
      </c>
      <c r="I50">
        <f t="shared" si="5"/>
        <v>338.15</v>
      </c>
      <c r="J50">
        <f t="shared" si="5"/>
        <v>343.15</v>
      </c>
      <c r="K50">
        <f t="shared" si="5"/>
        <v>348.05</v>
      </c>
    </row>
    <row r="51" spans="1:11">
      <c r="A51" s="5" t="s">
        <v>76</v>
      </c>
      <c r="B51">
        <v>0.76</v>
      </c>
      <c r="C51">
        <v>1.08</v>
      </c>
      <c r="D51">
        <v>1.37</v>
      </c>
      <c r="E51">
        <v>1.66</v>
      </c>
      <c r="F51">
        <v>1.94</v>
      </c>
      <c r="G51">
        <v>2.23</v>
      </c>
      <c r="H51">
        <v>2.5099999999999998</v>
      </c>
      <c r="I51">
        <v>2.79</v>
      </c>
      <c r="J51">
        <v>3.09</v>
      </c>
      <c r="K51">
        <v>3.38</v>
      </c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G25" sqref="G25"/>
    </sheetView>
  </sheetViews>
  <sheetFormatPr defaultColWidth="9" defaultRowHeight="14.25"/>
  <cols>
    <col min="2" max="6" width="13.875" customWidth="1"/>
    <col min="7" max="11" width="11.625" customWidth="1"/>
  </cols>
  <sheetData>
    <row r="1" spans="1:11">
      <c r="A1" s="5" t="s">
        <v>77</v>
      </c>
    </row>
    <row r="2" spans="1:11">
      <c r="B2" s="3">
        <v>6</v>
      </c>
      <c r="C2" s="3">
        <v>7</v>
      </c>
      <c r="D2" s="3">
        <v>8</v>
      </c>
      <c r="E2" s="3">
        <v>9</v>
      </c>
      <c r="F2" s="3">
        <v>10</v>
      </c>
      <c r="G2" s="3">
        <v>11</v>
      </c>
      <c r="H2" s="3">
        <v>12</v>
      </c>
      <c r="I2" s="3">
        <v>13</v>
      </c>
      <c r="J2" s="3">
        <v>14</v>
      </c>
      <c r="K2" s="3">
        <v>15</v>
      </c>
    </row>
    <row r="3" spans="1:11">
      <c r="A3" s="5" t="s">
        <v>78</v>
      </c>
      <c r="B3" s="28">
        <v>36.988</v>
      </c>
      <c r="C3" s="28">
        <v>36.862000000000002</v>
      </c>
      <c r="D3" s="28">
        <v>36.752000000000002</v>
      </c>
      <c r="E3" s="28">
        <v>36.622</v>
      </c>
      <c r="F3" s="28">
        <v>36.523000000000003</v>
      </c>
      <c r="G3" s="28">
        <v>36.420999999999999</v>
      </c>
      <c r="H3" s="28">
        <v>36.322000000000003</v>
      </c>
      <c r="I3" s="28">
        <v>36.228999999999999</v>
      </c>
      <c r="J3" s="28">
        <v>36.134</v>
      </c>
      <c r="K3" s="28">
        <v>36.049999999999997</v>
      </c>
    </row>
    <row r="4" spans="1:11">
      <c r="A4" s="5" t="s">
        <v>79</v>
      </c>
      <c r="B4" s="28">
        <v>41.018000000000001</v>
      </c>
      <c r="C4" s="28">
        <v>41.128999999999998</v>
      </c>
      <c r="D4" s="28">
        <v>41.250999999999998</v>
      </c>
      <c r="E4" s="28">
        <v>41.371000000000002</v>
      </c>
      <c r="F4" s="28">
        <v>41.484999999999999</v>
      </c>
      <c r="G4" s="28">
        <v>41.588000000000001</v>
      </c>
      <c r="H4" s="28">
        <v>41.697000000000003</v>
      </c>
      <c r="I4" s="28">
        <v>41.784999999999997</v>
      </c>
      <c r="J4" s="28">
        <v>41.874000000000002</v>
      </c>
      <c r="K4" s="28">
        <v>41.965000000000003</v>
      </c>
    </row>
    <row r="5" spans="1:11">
      <c r="A5" s="5" t="s">
        <v>80</v>
      </c>
      <c r="B5" s="27">
        <f>(B4-B3)</f>
        <v>4.03</v>
      </c>
      <c r="C5" s="27">
        <f t="shared" ref="C5:K5" si="0">(C4-C3)</f>
        <v>4.2670000000000003</v>
      </c>
      <c r="D5" s="27">
        <f t="shared" si="0"/>
        <v>4.4989999999999997</v>
      </c>
      <c r="E5" s="27">
        <f t="shared" si="0"/>
        <v>4.7489999999999997</v>
      </c>
      <c r="F5" s="27">
        <f t="shared" si="0"/>
        <v>4.9619999999999997</v>
      </c>
      <c r="G5" s="27">
        <f t="shared" si="0"/>
        <v>5.1669999999999998</v>
      </c>
      <c r="H5" s="27">
        <f t="shared" si="0"/>
        <v>5.375</v>
      </c>
      <c r="I5" s="27">
        <f t="shared" si="0"/>
        <v>5.556</v>
      </c>
      <c r="J5" s="27">
        <f t="shared" si="0"/>
        <v>5.74</v>
      </c>
      <c r="K5" s="27">
        <f t="shared" si="0"/>
        <v>5.9150000000000098</v>
      </c>
    </row>
    <row r="7" spans="1:11">
      <c r="A7" s="31" t="s">
        <v>81</v>
      </c>
      <c r="B7" s="32" t="s">
        <v>82</v>
      </c>
      <c r="C7" s="32" t="s">
        <v>83</v>
      </c>
      <c r="D7" s="32" t="s">
        <v>84</v>
      </c>
      <c r="E7" s="32" t="s">
        <v>85</v>
      </c>
      <c r="F7" s="32" t="s">
        <v>86</v>
      </c>
      <c r="G7" s="33"/>
      <c r="H7" s="33"/>
      <c r="I7" s="33"/>
      <c r="J7" s="33"/>
      <c r="K7" s="33"/>
    </row>
    <row r="8" spans="1:11" ht="15.75">
      <c r="A8" s="34" t="s">
        <v>87</v>
      </c>
      <c r="B8" s="35">
        <f>G5*G5-B5*B5</f>
        <v>10.456989</v>
      </c>
      <c r="C8" s="35">
        <f>H5*H5-C5*C5</f>
        <v>10.683336000000001</v>
      </c>
      <c r="D8" s="35">
        <f t="shared" ref="D8:F8" si="1">I5*I5-D5*D5</f>
        <v>10.628135</v>
      </c>
      <c r="E8" s="35">
        <f t="shared" si="1"/>
        <v>10.394598999999999</v>
      </c>
      <c r="F8" s="35">
        <f t="shared" si="1"/>
        <v>10.3657810000001</v>
      </c>
    </row>
    <row r="9" spans="1:11">
      <c r="A9" s="34" t="s">
        <v>88</v>
      </c>
      <c r="B9" s="3">
        <v>5</v>
      </c>
      <c r="C9" s="3">
        <v>5</v>
      </c>
      <c r="D9" s="3">
        <v>5</v>
      </c>
      <c r="E9" s="3">
        <v>5</v>
      </c>
      <c r="F9" s="3">
        <v>5</v>
      </c>
    </row>
    <row r="10" spans="1:11">
      <c r="A10" s="34" t="s">
        <v>89</v>
      </c>
      <c r="B10" s="27">
        <f>B8/(4*B9*0.0005893)</f>
        <v>887.238163923299</v>
      </c>
      <c r="C10" s="27">
        <f t="shared" ref="C10:F10" si="2">C8/(4*C9*0.0005893)</f>
        <v>906.44289835398195</v>
      </c>
      <c r="D10" s="27">
        <f t="shared" si="2"/>
        <v>901.75929068386301</v>
      </c>
      <c r="E10" s="27">
        <f t="shared" si="2"/>
        <v>881.94459528253901</v>
      </c>
      <c r="F10" s="27">
        <f t="shared" si="2"/>
        <v>879.49949092144197</v>
      </c>
      <c r="H10" s="36">
        <f>AVERAGE(B10:F10)</f>
        <v>891.37688783302497</v>
      </c>
    </row>
    <row r="11" spans="1:11">
      <c r="H11">
        <f>DEVSQ(B10:F10)</f>
        <v>581.94869772888103</v>
      </c>
    </row>
    <row r="12" spans="1:11">
      <c r="G12" s="37" t="s">
        <v>90</v>
      </c>
      <c r="H12">
        <f>(H11/4)^0.5</f>
        <v>12.061806433209799</v>
      </c>
    </row>
    <row r="13" spans="1:11">
      <c r="B13" s="37" t="s">
        <v>91</v>
      </c>
      <c r="C13" s="37" t="s">
        <v>92</v>
      </c>
      <c r="D13" s="37" t="s">
        <v>93</v>
      </c>
    </row>
    <row r="14" spans="1:11">
      <c r="A14" s="5"/>
      <c r="B14" s="5">
        <f>2.78*12.062/(5^0.5)</f>
        <v>14.996127281199</v>
      </c>
      <c r="C14">
        <v>5.0000000000000001E-3</v>
      </c>
      <c r="D14" s="5">
        <f>(B14*B14+0.005*0.005)^0.5</f>
        <v>14.996128114747499</v>
      </c>
      <c r="E14" s="5"/>
      <c r="F14" s="5"/>
      <c r="G14" s="5"/>
      <c r="H14" s="5"/>
      <c r="I14" s="5"/>
    </row>
    <row r="16" spans="1:11">
      <c r="A16" s="5" t="s">
        <v>94</v>
      </c>
    </row>
    <row r="17" spans="1:10">
      <c r="A17" s="26" t="s">
        <v>95</v>
      </c>
      <c r="B17" s="28">
        <v>50.822000000000003</v>
      </c>
      <c r="C17" s="28">
        <v>48.97</v>
      </c>
      <c r="D17" s="28">
        <v>49.582000000000001</v>
      </c>
      <c r="E17" s="28">
        <v>50.011000000000003</v>
      </c>
      <c r="F17" s="28">
        <v>49.63</v>
      </c>
      <c r="G17" s="38" t="s">
        <v>96</v>
      </c>
      <c r="H17" s="39">
        <f>AVERAGE(B19:F19)</f>
        <v>47.175600000000003</v>
      </c>
      <c r="I17" s="40" t="s">
        <v>97</v>
      </c>
      <c r="J17" s="41">
        <f>2.78*H18/(5^0.5)</f>
        <v>8.9417523472750796E-2</v>
      </c>
    </row>
    <row r="18" spans="1:10">
      <c r="A18" s="26" t="s">
        <v>98</v>
      </c>
      <c r="B18" s="3">
        <v>3.6629999999999998</v>
      </c>
      <c r="C18" s="3">
        <v>1.881</v>
      </c>
      <c r="D18" s="3">
        <v>2.3109999999999999</v>
      </c>
      <c r="E18" s="3">
        <v>2.875</v>
      </c>
      <c r="F18" s="3">
        <v>2.407</v>
      </c>
      <c r="G18" s="40" t="s">
        <v>99</v>
      </c>
      <c r="H18" s="38">
        <f>(DEVSQ(B19:F19)/4)^0.5</f>
        <v>7.1922180167177704E-2</v>
      </c>
      <c r="I18" s="40" t="s">
        <v>100</v>
      </c>
      <c r="J18" s="41">
        <v>5.0000000000000001E-3</v>
      </c>
    </row>
    <row r="19" spans="1:10">
      <c r="A19" s="3" t="s">
        <v>101</v>
      </c>
      <c r="B19" s="27">
        <f>B17-B18</f>
        <v>47.158999999999999</v>
      </c>
      <c r="C19" s="27">
        <f t="shared" ref="C19:F19" si="3">C17-C18</f>
        <v>47.088999999999999</v>
      </c>
      <c r="D19" s="27">
        <f t="shared" si="3"/>
        <v>47.271000000000001</v>
      </c>
      <c r="E19" s="27">
        <f t="shared" si="3"/>
        <v>47.136000000000003</v>
      </c>
      <c r="F19" s="27">
        <f t="shared" si="3"/>
        <v>47.222999999999999</v>
      </c>
      <c r="G19" s="41"/>
      <c r="H19" s="41"/>
      <c r="I19" s="40" t="s">
        <v>102</v>
      </c>
      <c r="J19" s="41">
        <f>(J17*J17+J18*J18)^0.5</f>
        <v>8.9557207995783095E-2</v>
      </c>
    </row>
    <row r="20" spans="1:10">
      <c r="G20" s="3"/>
      <c r="H20" s="3"/>
      <c r="I20" s="3"/>
      <c r="J20" s="3"/>
    </row>
    <row r="21" spans="1:10">
      <c r="A21" s="26" t="s">
        <v>95</v>
      </c>
      <c r="B21" s="28">
        <v>31.852</v>
      </c>
      <c r="C21" s="28">
        <v>29.169</v>
      </c>
      <c r="D21" s="28">
        <v>26.710999999999999</v>
      </c>
      <c r="E21" s="28">
        <v>32.331000000000003</v>
      </c>
      <c r="F21" s="28">
        <v>30.52</v>
      </c>
      <c r="G21" s="38" t="s">
        <v>103</v>
      </c>
      <c r="H21" s="42">
        <f>AVERAGE(B23:F23)</f>
        <v>2.2240000000000002</v>
      </c>
      <c r="I21" s="40" t="s">
        <v>104</v>
      </c>
      <c r="J21" s="41">
        <f>2.78*H22/(5^0.5)</f>
        <v>2.22399999999995E-2</v>
      </c>
    </row>
    <row r="22" spans="1:10">
      <c r="A22" s="26" t="s">
        <v>98</v>
      </c>
      <c r="B22" s="28">
        <v>29.646000000000001</v>
      </c>
      <c r="C22" s="28">
        <v>26.963999999999999</v>
      </c>
      <c r="D22" s="28">
        <v>24.472000000000001</v>
      </c>
      <c r="E22" s="28">
        <v>30.088000000000001</v>
      </c>
      <c r="F22" s="28">
        <v>28.292999999999999</v>
      </c>
      <c r="G22" s="40" t="s">
        <v>105</v>
      </c>
      <c r="H22" s="38">
        <f>(DEVSQ(B23:F23)/4)^0.5</f>
        <v>1.7888543819997899E-2</v>
      </c>
      <c r="I22" s="40" t="s">
        <v>106</v>
      </c>
      <c r="J22" s="41">
        <v>5.0000000000000001E-3</v>
      </c>
    </row>
    <row r="23" spans="1:10">
      <c r="A23" s="26" t="s">
        <v>107</v>
      </c>
      <c r="B23" s="28">
        <f>B21-B22</f>
        <v>2.206</v>
      </c>
      <c r="C23" s="28">
        <f t="shared" ref="C23:F23" si="4">C21-C22</f>
        <v>2.2050000000000001</v>
      </c>
      <c r="D23" s="28">
        <f t="shared" si="4"/>
        <v>2.2389999999999999</v>
      </c>
      <c r="E23" s="28">
        <f t="shared" si="4"/>
        <v>2.2429999999999999</v>
      </c>
      <c r="F23" s="28">
        <f t="shared" si="4"/>
        <v>2.2269999999999999</v>
      </c>
      <c r="G23" s="41"/>
      <c r="H23" s="41"/>
      <c r="I23" s="40" t="s">
        <v>108</v>
      </c>
      <c r="J23" s="41">
        <f>(J21*J21+J22*J22)^0.5</f>
        <v>2.27951222852605E-2</v>
      </c>
    </row>
    <row r="24" spans="1:10">
      <c r="G24" s="3"/>
      <c r="H24" s="3"/>
      <c r="I24" s="3"/>
      <c r="J24" s="3"/>
    </row>
    <row r="25" spans="1:10">
      <c r="A25" s="26" t="s">
        <v>109</v>
      </c>
      <c r="B25" s="26">
        <f>0.0005893*10*47.18/2/2.224</f>
        <v>6.2507135791366894E-2</v>
      </c>
      <c r="C25" s="3"/>
      <c r="D25" s="26" t="s">
        <v>110</v>
      </c>
      <c r="E25" s="3">
        <f>((J19/H17)^2+(J23/H21)^2)^0.5</f>
        <v>1.0423927078017901E-2</v>
      </c>
      <c r="F25" s="40" t="s">
        <v>111</v>
      </c>
      <c r="G25" s="3">
        <f>B25*E25</f>
        <v>6.5156982534496995E-4</v>
      </c>
    </row>
  </sheetData>
  <phoneticPr fontId="1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H13" workbookViewId="0">
      <selection activeCell="M23" sqref="M23"/>
    </sheetView>
  </sheetViews>
  <sheetFormatPr defaultColWidth="9" defaultRowHeight="14.25"/>
  <cols>
    <col min="1" max="1" width="17.625" customWidth="1"/>
    <col min="2" max="2" width="16.125" customWidth="1"/>
    <col min="3" max="3" width="11.75" customWidth="1"/>
    <col min="4" max="4" width="10.25" customWidth="1"/>
    <col min="5" max="5" width="9.875" customWidth="1"/>
    <col min="6" max="6" width="8.875" customWidth="1"/>
    <col min="7" max="7" width="10.625" customWidth="1"/>
    <col min="8" max="8" width="11" customWidth="1"/>
    <col min="9" max="9" width="10.875" customWidth="1"/>
    <col min="10" max="10" width="8.875" customWidth="1"/>
    <col min="11" max="11" width="8.125" customWidth="1"/>
    <col min="12" max="12" width="9.125" customWidth="1"/>
    <col min="13" max="13" width="7.375" customWidth="1"/>
    <col min="14" max="14" width="7.625" customWidth="1"/>
    <col min="15" max="16" width="7.125" customWidth="1"/>
  </cols>
  <sheetData>
    <row r="1" spans="1:16">
      <c r="A1" s="24" t="s">
        <v>112</v>
      </c>
      <c r="B1" s="24">
        <v>50</v>
      </c>
      <c r="C1" s="24" t="s">
        <v>113</v>
      </c>
      <c r="D1" s="3" t="s">
        <v>114</v>
      </c>
      <c r="E1" s="3">
        <v>0.13</v>
      </c>
      <c r="F1" s="3" t="s">
        <v>115</v>
      </c>
      <c r="G1" s="25">
        <v>1.2400000000000001E-4</v>
      </c>
      <c r="H1" s="3" t="s">
        <v>116</v>
      </c>
      <c r="I1" s="3">
        <v>150</v>
      </c>
      <c r="J1" s="3"/>
    </row>
    <row r="2" spans="1:16">
      <c r="A2" s="3" t="s">
        <v>117</v>
      </c>
      <c r="B2" s="3">
        <v>4.7</v>
      </c>
      <c r="C2" s="3" t="s">
        <v>118</v>
      </c>
      <c r="D2" s="3">
        <v>46</v>
      </c>
      <c r="E2" s="3" t="s">
        <v>119</v>
      </c>
      <c r="F2" s="3">
        <v>4</v>
      </c>
      <c r="G2" s="3" t="s">
        <v>120</v>
      </c>
      <c r="H2" s="3">
        <v>0.1</v>
      </c>
      <c r="I2" s="3" t="s">
        <v>121</v>
      </c>
      <c r="J2" s="3">
        <v>10</v>
      </c>
    </row>
    <row r="4" spans="1:16">
      <c r="A4" s="3" t="s">
        <v>122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 t="s">
        <v>123</v>
      </c>
      <c r="B5" s="10">
        <v>0</v>
      </c>
      <c r="C5" s="10">
        <v>0.4</v>
      </c>
      <c r="D5" s="10">
        <v>0.8</v>
      </c>
      <c r="E5" s="10">
        <v>1.2</v>
      </c>
      <c r="F5" s="10">
        <v>1.6</v>
      </c>
      <c r="G5" s="10">
        <v>2</v>
      </c>
      <c r="H5" s="10">
        <v>2.4</v>
      </c>
      <c r="I5" s="10">
        <v>3</v>
      </c>
      <c r="J5" s="10">
        <v>4</v>
      </c>
      <c r="K5" s="10">
        <v>5</v>
      </c>
      <c r="L5" s="3"/>
      <c r="M5" s="3"/>
      <c r="N5" s="3"/>
      <c r="O5" s="3"/>
      <c r="P5" s="3"/>
    </row>
    <row r="6" spans="1:16">
      <c r="A6" s="3" t="s">
        <v>124</v>
      </c>
      <c r="B6" s="10">
        <v>0</v>
      </c>
      <c r="C6" s="10">
        <v>0.6</v>
      </c>
      <c r="D6" s="10">
        <v>1.3</v>
      </c>
      <c r="E6" s="10">
        <v>2</v>
      </c>
      <c r="F6" s="10">
        <v>2.5</v>
      </c>
      <c r="G6" s="10">
        <v>2.8</v>
      </c>
      <c r="H6" s="10">
        <v>3.1</v>
      </c>
      <c r="I6" s="10">
        <v>3.4</v>
      </c>
      <c r="J6" s="10">
        <v>3.7</v>
      </c>
      <c r="K6" s="10">
        <v>4</v>
      </c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 t="s">
        <v>125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 t="s">
        <v>123</v>
      </c>
      <c r="B9" s="10">
        <v>-5</v>
      </c>
      <c r="C9" s="10">
        <v>-4</v>
      </c>
      <c r="D9" s="10">
        <v>-3</v>
      </c>
      <c r="E9" s="10">
        <v>-2</v>
      </c>
      <c r="F9" s="10">
        <v>-1.5</v>
      </c>
      <c r="G9" s="10">
        <v>-1</v>
      </c>
      <c r="H9" s="10">
        <v>-0.5</v>
      </c>
      <c r="I9" s="10">
        <v>0</v>
      </c>
      <c r="J9" s="10">
        <v>0.5</v>
      </c>
      <c r="K9" s="10">
        <v>1</v>
      </c>
      <c r="L9" s="10">
        <v>1.5</v>
      </c>
      <c r="M9" s="10">
        <v>2</v>
      </c>
      <c r="N9" s="10">
        <v>3</v>
      </c>
      <c r="O9" s="10">
        <v>4</v>
      </c>
      <c r="P9" s="10">
        <v>5</v>
      </c>
    </row>
    <row r="10" spans="1:16">
      <c r="A10" s="3" t="s">
        <v>126</v>
      </c>
      <c r="B10" s="10">
        <v>-4</v>
      </c>
      <c r="C10" s="10">
        <v>-3.7</v>
      </c>
      <c r="D10" s="10">
        <v>-3.4</v>
      </c>
      <c r="E10" s="10">
        <v>-2.5</v>
      </c>
      <c r="F10" s="10">
        <v>-1.4</v>
      </c>
      <c r="G10" s="10">
        <v>-0.2</v>
      </c>
      <c r="H10" s="10">
        <v>1.1000000000000001</v>
      </c>
      <c r="I10" s="10">
        <v>2.2000000000000002</v>
      </c>
      <c r="J10" s="10">
        <v>2.7</v>
      </c>
      <c r="K10" s="10">
        <v>3.05</v>
      </c>
      <c r="L10" s="10">
        <v>3.3</v>
      </c>
      <c r="M10" s="10">
        <v>3.45</v>
      </c>
      <c r="N10" s="10">
        <v>3.7</v>
      </c>
      <c r="O10" s="10">
        <v>3.8</v>
      </c>
      <c r="P10" s="10">
        <v>4</v>
      </c>
    </row>
    <row r="11" spans="1:16">
      <c r="A11" s="3" t="s">
        <v>127</v>
      </c>
      <c r="B11" s="10">
        <v>-4</v>
      </c>
      <c r="C11" s="10">
        <v>-3.8</v>
      </c>
      <c r="D11" s="10">
        <v>-3.7</v>
      </c>
      <c r="E11" s="10">
        <v>-3.5</v>
      </c>
      <c r="F11" s="10">
        <v>-3.2</v>
      </c>
      <c r="G11" s="10">
        <v>-3.05</v>
      </c>
      <c r="H11" s="10">
        <v>-2.6</v>
      </c>
      <c r="I11" s="10">
        <v>-2</v>
      </c>
      <c r="J11" s="10">
        <v>-0.7</v>
      </c>
      <c r="K11" s="10">
        <v>0.65</v>
      </c>
      <c r="L11" s="10">
        <v>1.85</v>
      </c>
      <c r="M11" s="10">
        <v>2.6</v>
      </c>
      <c r="N11" s="10">
        <v>3.4</v>
      </c>
      <c r="O11" s="10">
        <v>3.7</v>
      </c>
      <c r="P11" s="10">
        <v>4</v>
      </c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26" t="s">
        <v>128</v>
      </c>
      <c r="B13" s="27">
        <f>F2*0.000001*D2*1000*J2*0.001/G1/I1</f>
        <v>9.8924731182795697E-2</v>
      </c>
      <c r="C13" s="3"/>
      <c r="D13" s="26" t="s">
        <v>129</v>
      </c>
      <c r="E13" s="26">
        <f>PI()*0.0000004</f>
        <v>1.25663706143592E-6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26" t="s">
        <v>130</v>
      </c>
      <c r="B14" s="28">
        <f>I1*H2/E1/B2</f>
        <v>24.549918166939399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26"/>
      <c r="B15" s="2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26" t="s">
        <v>131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26" t="s">
        <v>132</v>
      </c>
      <c r="B17" s="10">
        <f>$B$14*B5</f>
        <v>0</v>
      </c>
      <c r="C17" s="10">
        <f t="shared" ref="C17:K17" si="0">$B$14*C5</f>
        <v>9.8199672667757802</v>
      </c>
      <c r="D17" s="10">
        <f t="shared" si="0"/>
        <v>19.6399345335516</v>
      </c>
      <c r="E17" s="10">
        <f t="shared" si="0"/>
        <v>29.459901800327302</v>
      </c>
      <c r="F17" s="10">
        <f t="shared" si="0"/>
        <v>39.2798690671031</v>
      </c>
      <c r="G17" s="10">
        <f t="shared" si="0"/>
        <v>49.099836333878898</v>
      </c>
      <c r="H17" s="10">
        <f t="shared" si="0"/>
        <v>58.919803600654703</v>
      </c>
      <c r="I17" s="10">
        <f t="shared" si="0"/>
        <v>73.649754500818304</v>
      </c>
      <c r="J17" s="10">
        <f t="shared" si="0"/>
        <v>98.199672667757795</v>
      </c>
      <c r="K17" s="10">
        <f t="shared" si="0"/>
        <v>122.749590834697</v>
      </c>
      <c r="L17" s="3"/>
      <c r="M17" s="3"/>
      <c r="N17" s="3"/>
      <c r="O17" s="3"/>
      <c r="P17" s="3"/>
    </row>
    <row r="18" spans="1:16">
      <c r="A18" s="26" t="s">
        <v>133</v>
      </c>
      <c r="B18" s="10">
        <f>$B$13*B6</f>
        <v>0</v>
      </c>
      <c r="C18" s="10">
        <f t="shared" ref="C18:K18" si="1">$B$13*C6</f>
        <v>5.93548387096774E-2</v>
      </c>
      <c r="D18" s="10">
        <f t="shared" si="1"/>
        <v>0.12860215053763399</v>
      </c>
      <c r="E18" s="10">
        <f t="shared" si="1"/>
        <v>0.19784946236559101</v>
      </c>
      <c r="F18" s="10">
        <f t="shared" si="1"/>
        <v>0.247311827956989</v>
      </c>
      <c r="G18" s="10">
        <f t="shared" si="1"/>
        <v>0.276989247311828</v>
      </c>
      <c r="H18" s="10">
        <f t="shared" si="1"/>
        <v>0.30666666666666698</v>
      </c>
      <c r="I18" s="10">
        <f t="shared" si="1"/>
        <v>0.33634408602150501</v>
      </c>
      <c r="J18" s="10">
        <f t="shared" si="1"/>
        <v>0.36602150537634398</v>
      </c>
      <c r="K18" s="10">
        <f t="shared" si="1"/>
        <v>0.39569892473118301</v>
      </c>
      <c r="L18" s="3"/>
      <c r="M18" s="3"/>
      <c r="N18" s="3"/>
      <c r="O18" s="3"/>
      <c r="P18" s="3"/>
    </row>
    <row r="19" spans="1:16">
      <c r="A19" s="26" t="s">
        <v>134</v>
      </c>
      <c r="B19" s="10">
        <v>0</v>
      </c>
      <c r="C19" s="10">
        <f>C18/$E$13/C17</f>
        <v>4809.9019683234501</v>
      </c>
      <c r="D19" s="10">
        <f t="shared" ref="D19:K19" si="2">D18/$E$13/D17</f>
        <v>5210.7271323504101</v>
      </c>
      <c r="E19" s="10">
        <f t="shared" si="2"/>
        <v>5344.3355203593901</v>
      </c>
      <c r="F19" s="10">
        <f t="shared" si="2"/>
        <v>5010.3145503369296</v>
      </c>
      <c r="G19" s="10">
        <f t="shared" si="2"/>
        <v>4489.2418371018903</v>
      </c>
      <c r="H19" s="10">
        <f t="shared" si="2"/>
        <v>4141.8600282785301</v>
      </c>
      <c r="I19" s="10">
        <f t="shared" si="2"/>
        <v>3634.14815384439</v>
      </c>
      <c r="J19" s="10">
        <f t="shared" si="2"/>
        <v>2966.10621379946</v>
      </c>
      <c r="K19" s="10">
        <f t="shared" si="2"/>
        <v>2565.28104977251</v>
      </c>
      <c r="L19" s="3"/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26" t="s">
        <v>135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26" t="s">
        <v>132</v>
      </c>
      <c r="B22" s="10">
        <f>B9*$B$14</f>
        <v>-122.749590834697</v>
      </c>
      <c r="C22" s="10">
        <f t="shared" ref="C22:P22" si="3">C9*$B$14</f>
        <v>-98.199672667757795</v>
      </c>
      <c r="D22" s="10">
        <f t="shared" si="3"/>
        <v>-73.649754500818304</v>
      </c>
      <c r="E22" s="10">
        <f t="shared" si="3"/>
        <v>-49.099836333878898</v>
      </c>
      <c r="F22" s="10">
        <f t="shared" si="3"/>
        <v>-36.824877250409202</v>
      </c>
      <c r="G22" s="10">
        <f t="shared" si="3"/>
        <v>-24.549918166939399</v>
      </c>
      <c r="H22" s="10">
        <f t="shared" si="3"/>
        <v>-12.2749590834697</v>
      </c>
      <c r="I22" s="10">
        <f t="shared" si="3"/>
        <v>0</v>
      </c>
      <c r="J22" s="10">
        <f t="shared" si="3"/>
        <v>12.2749590834697</v>
      </c>
      <c r="K22" s="10">
        <f t="shared" si="3"/>
        <v>24.549918166939399</v>
      </c>
      <c r="L22" s="10">
        <f t="shared" si="3"/>
        <v>36.824877250409202</v>
      </c>
      <c r="M22" s="10">
        <f t="shared" si="3"/>
        <v>49.099836333878898</v>
      </c>
      <c r="N22" s="10">
        <f t="shared" si="3"/>
        <v>73.649754500818304</v>
      </c>
      <c r="O22" s="10">
        <f t="shared" si="3"/>
        <v>98.199672667757795</v>
      </c>
      <c r="P22" s="10">
        <f t="shared" si="3"/>
        <v>122.749590834697</v>
      </c>
    </row>
    <row r="23" spans="1:16">
      <c r="A23" s="26" t="s">
        <v>136</v>
      </c>
      <c r="B23" s="10">
        <f>B10*$B$13</f>
        <v>-0.39569892473118301</v>
      </c>
      <c r="C23" s="10">
        <f t="shared" ref="C23:O24" si="4">C10*$B$13</f>
        <v>-0.36602150537634398</v>
      </c>
      <c r="D23" s="10">
        <f t="shared" si="4"/>
        <v>-0.33634408602150501</v>
      </c>
      <c r="E23" s="10">
        <f t="shared" si="4"/>
        <v>-0.247311827956989</v>
      </c>
      <c r="F23" s="10">
        <f t="shared" si="4"/>
        <v>-0.138494623655914</v>
      </c>
      <c r="G23" s="10">
        <f t="shared" si="4"/>
        <v>-1.97849462365591E-2</v>
      </c>
      <c r="H23" s="10">
        <f t="shared" si="4"/>
        <v>0.108817204301075</v>
      </c>
      <c r="I23" s="10">
        <f t="shared" si="4"/>
        <v>0.217634408602151</v>
      </c>
      <c r="J23" s="10">
        <f t="shared" si="4"/>
        <v>0.26709677419354799</v>
      </c>
      <c r="K23" s="10">
        <f t="shared" si="4"/>
        <v>0.30172043010752703</v>
      </c>
      <c r="L23" s="10">
        <f t="shared" si="4"/>
        <v>0.326451612903226</v>
      </c>
      <c r="M23" s="10">
        <f>M10*$B$13</f>
        <v>0.34129032258064501</v>
      </c>
      <c r="N23" s="10">
        <f t="shared" si="4"/>
        <v>0.36602150537634398</v>
      </c>
      <c r="O23" s="10">
        <f t="shared" si="4"/>
        <v>0.37591397849462399</v>
      </c>
      <c r="P23" s="10">
        <f>P10*$B$13</f>
        <v>0.39569892473118301</v>
      </c>
    </row>
    <row r="24" spans="1:16">
      <c r="A24" s="26" t="s">
        <v>137</v>
      </c>
      <c r="B24" s="10">
        <f>B11*$B$13</f>
        <v>-0.39569892473118301</v>
      </c>
      <c r="C24" s="10">
        <f>C11*$B$13</f>
        <v>-0.37591397849462399</v>
      </c>
      <c r="D24" s="10">
        <f t="shared" si="4"/>
        <v>-0.36602150537634398</v>
      </c>
      <c r="E24" s="10">
        <f t="shared" si="4"/>
        <v>-0.34623655913978502</v>
      </c>
      <c r="F24" s="10">
        <f t="shared" si="4"/>
        <v>-0.31655913978494599</v>
      </c>
      <c r="G24" s="10">
        <f t="shared" si="4"/>
        <v>-0.30172043010752703</v>
      </c>
      <c r="H24" s="10">
        <f t="shared" si="4"/>
        <v>-0.25720430107526898</v>
      </c>
      <c r="I24" s="10">
        <f>I11*$B$13</f>
        <v>-0.19784946236559101</v>
      </c>
      <c r="J24" s="10">
        <f t="shared" si="4"/>
        <v>-6.9247311827957E-2</v>
      </c>
      <c r="K24" s="10">
        <f t="shared" si="4"/>
        <v>6.4301075268817204E-2</v>
      </c>
      <c r="L24" s="10">
        <f t="shared" si="4"/>
        <v>0.18301075268817199</v>
      </c>
      <c r="M24" s="10">
        <f t="shared" si="4"/>
        <v>0.25720430107526898</v>
      </c>
      <c r="N24" s="10">
        <f t="shared" si="4"/>
        <v>0.33634408602150501</v>
      </c>
      <c r="O24" s="10">
        <f t="shared" si="4"/>
        <v>0.36602150537634398</v>
      </c>
      <c r="P24" s="10">
        <f>P11*$B$13</f>
        <v>0.39569892473118301</v>
      </c>
    </row>
    <row r="25" spans="1:16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7" spans="1:16">
      <c r="A27" s="24" t="s">
        <v>112</v>
      </c>
      <c r="B27" s="24">
        <v>150</v>
      </c>
      <c r="C27" s="24" t="s">
        <v>113</v>
      </c>
      <c r="D27" s="3" t="s">
        <v>114</v>
      </c>
      <c r="E27" s="3">
        <v>0.13</v>
      </c>
      <c r="F27" s="3" t="s">
        <v>115</v>
      </c>
      <c r="G27" s="25">
        <v>1.2400000000000001E-4</v>
      </c>
      <c r="H27" s="3" t="s">
        <v>116</v>
      </c>
      <c r="I27" s="3">
        <v>150</v>
      </c>
      <c r="J27" s="3"/>
    </row>
    <row r="28" spans="1:16">
      <c r="A28" s="3" t="s">
        <v>117</v>
      </c>
      <c r="B28" s="3">
        <v>6.7</v>
      </c>
      <c r="C28" s="3" t="s">
        <v>118</v>
      </c>
      <c r="D28" s="3">
        <v>40</v>
      </c>
      <c r="E28" s="3" t="s">
        <v>119</v>
      </c>
      <c r="F28" s="3">
        <v>4.2</v>
      </c>
      <c r="G28" s="3" t="s">
        <v>120</v>
      </c>
      <c r="H28" s="3">
        <v>0.1</v>
      </c>
      <c r="I28" s="3" t="s">
        <v>121</v>
      </c>
      <c r="J28" s="3">
        <v>10</v>
      </c>
    </row>
    <row r="30" spans="1:16">
      <c r="A30" s="3" t="s">
        <v>125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 t="s">
        <v>123</v>
      </c>
      <c r="B31" s="10">
        <v>-5</v>
      </c>
      <c r="C31" s="10">
        <v>-4</v>
      </c>
      <c r="D31" s="10">
        <v>-3</v>
      </c>
      <c r="E31" s="10">
        <v>-2</v>
      </c>
      <c r="F31" s="10">
        <v>-1.5</v>
      </c>
      <c r="G31" s="10">
        <v>-1</v>
      </c>
      <c r="H31" s="10">
        <v>-0.5</v>
      </c>
      <c r="I31" s="10">
        <v>0</v>
      </c>
      <c r="J31" s="10">
        <v>0.5</v>
      </c>
      <c r="K31" s="10">
        <v>1</v>
      </c>
      <c r="L31" s="10">
        <v>1.5</v>
      </c>
      <c r="M31" s="10">
        <v>2</v>
      </c>
      <c r="N31" s="10">
        <v>3</v>
      </c>
      <c r="O31" s="10">
        <v>4</v>
      </c>
      <c r="P31" s="10">
        <v>5</v>
      </c>
    </row>
    <row r="32" spans="1:16">
      <c r="A32" s="3" t="s">
        <v>126</v>
      </c>
      <c r="B32" s="10">
        <v>-4</v>
      </c>
      <c r="C32" s="10">
        <v>-3.7</v>
      </c>
      <c r="D32" s="10">
        <v>-3.3</v>
      </c>
      <c r="E32" s="10">
        <v>-2.2999999999999998</v>
      </c>
      <c r="F32" s="10">
        <v>-1.4</v>
      </c>
      <c r="G32" s="10">
        <v>-0.55000000000000004</v>
      </c>
      <c r="H32" s="10">
        <v>0.5</v>
      </c>
      <c r="I32" s="10">
        <v>1.45</v>
      </c>
      <c r="J32" s="10">
        <v>2.2000000000000002</v>
      </c>
      <c r="K32" s="10">
        <v>2.65</v>
      </c>
      <c r="L32" s="10">
        <v>3</v>
      </c>
      <c r="M32" s="10">
        <v>3.2</v>
      </c>
      <c r="N32" s="10">
        <v>3.55</v>
      </c>
      <c r="O32" s="10">
        <v>3.75</v>
      </c>
      <c r="P32" s="10">
        <v>4</v>
      </c>
    </row>
    <row r="33" spans="1:16">
      <c r="A33" s="3" t="s">
        <v>127</v>
      </c>
      <c r="B33" s="10">
        <v>-4</v>
      </c>
      <c r="C33" s="10">
        <v>-3.8</v>
      </c>
      <c r="D33" s="10">
        <v>-3.7</v>
      </c>
      <c r="E33" s="10">
        <v>-3.4</v>
      </c>
      <c r="F33" s="10">
        <v>-3.1</v>
      </c>
      <c r="G33" s="10">
        <v>-2.8</v>
      </c>
      <c r="H33" s="10">
        <v>-2.25</v>
      </c>
      <c r="I33" s="10">
        <v>-1.5</v>
      </c>
      <c r="J33" s="10">
        <v>-0.5</v>
      </c>
      <c r="K33" s="10">
        <v>0.5</v>
      </c>
      <c r="L33" s="10">
        <v>1.4</v>
      </c>
      <c r="M33" s="10">
        <v>2.2000000000000002</v>
      </c>
      <c r="N33" s="10">
        <v>3.2</v>
      </c>
      <c r="O33" s="10">
        <v>3.6</v>
      </c>
      <c r="P33" s="10">
        <v>4</v>
      </c>
    </row>
    <row r="35" spans="1:16">
      <c r="A35" s="26" t="s">
        <v>128</v>
      </c>
      <c r="B35" s="27">
        <f>F28*0.000001*D28*1000*J28*0.001/G27/I27</f>
        <v>9.0322580645161299E-2</v>
      </c>
      <c r="C35" s="3"/>
      <c r="D35" s="26" t="s">
        <v>129</v>
      </c>
      <c r="E35" s="26">
        <f>PI()*0.0000004</f>
        <v>1.25663706143592E-6</v>
      </c>
    </row>
    <row r="36" spans="1:16">
      <c r="A36" s="26" t="s">
        <v>130</v>
      </c>
      <c r="B36" s="28">
        <f>I27*H28/E27/B28</f>
        <v>17.221584385763499</v>
      </c>
      <c r="C36" s="3"/>
      <c r="D36" s="3"/>
      <c r="E36" s="3"/>
    </row>
    <row r="38" spans="1:16">
      <c r="A38" s="26" t="s">
        <v>138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6" t="s">
        <v>132</v>
      </c>
      <c r="B39" s="10">
        <f>B31*$B$36</f>
        <v>-86.107921928817404</v>
      </c>
      <c r="C39" s="10">
        <f t="shared" ref="C39:P39" si="5">C31*$B$36</f>
        <v>-68.886337543053997</v>
      </c>
      <c r="D39" s="10">
        <f t="shared" si="5"/>
        <v>-51.664753157290498</v>
      </c>
      <c r="E39" s="10">
        <f t="shared" si="5"/>
        <v>-34.443168771526999</v>
      </c>
      <c r="F39" s="10">
        <f t="shared" si="5"/>
        <v>-25.832376578645199</v>
      </c>
      <c r="G39" s="10">
        <f t="shared" si="5"/>
        <v>-17.221584385763499</v>
      </c>
      <c r="H39" s="10">
        <f t="shared" si="5"/>
        <v>-8.6107921928817408</v>
      </c>
      <c r="I39" s="10">
        <f t="shared" si="5"/>
        <v>0</v>
      </c>
      <c r="J39" s="10">
        <f t="shared" si="5"/>
        <v>8.6107921928817408</v>
      </c>
      <c r="K39" s="10">
        <f t="shared" si="5"/>
        <v>17.221584385763499</v>
      </c>
      <c r="L39" s="10">
        <f t="shared" si="5"/>
        <v>25.832376578645199</v>
      </c>
      <c r="M39" s="10">
        <f t="shared" si="5"/>
        <v>34.443168771526999</v>
      </c>
      <c r="N39" s="10">
        <f t="shared" si="5"/>
        <v>51.664753157290498</v>
      </c>
      <c r="O39" s="10">
        <f t="shared" si="5"/>
        <v>68.886337543053997</v>
      </c>
      <c r="P39" s="10">
        <f t="shared" si="5"/>
        <v>86.107921928817404</v>
      </c>
    </row>
    <row r="40" spans="1:16">
      <c r="A40" s="26" t="s">
        <v>136</v>
      </c>
      <c r="B40" s="10">
        <f>B32*$B$35</f>
        <v>-0.36129032258064497</v>
      </c>
      <c r="C40" s="10">
        <f t="shared" ref="C40:P40" si="6">C32*$B$35</f>
        <v>-0.33419354838709697</v>
      </c>
      <c r="D40" s="10">
        <f t="shared" si="6"/>
        <v>-0.29806451612903201</v>
      </c>
      <c r="E40" s="10">
        <f t="shared" si="6"/>
        <v>-0.20774193548387099</v>
      </c>
      <c r="F40" s="10">
        <f t="shared" si="6"/>
        <v>-0.12645161290322601</v>
      </c>
      <c r="G40" s="10">
        <f t="shared" si="6"/>
        <v>-4.9677419354838701E-2</v>
      </c>
      <c r="H40" s="10">
        <f t="shared" si="6"/>
        <v>4.5161290322580601E-2</v>
      </c>
      <c r="I40" s="10">
        <f t="shared" si="6"/>
        <v>0.13096774193548399</v>
      </c>
      <c r="J40" s="10">
        <f t="shared" si="6"/>
        <v>0.198709677419355</v>
      </c>
      <c r="K40" s="10">
        <f t="shared" si="6"/>
        <v>0.239354838709677</v>
      </c>
      <c r="L40" s="10">
        <f t="shared" si="6"/>
        <v>0.27096774193548401</v>
      </c>
      <c r="M40" s="10">
        <f t="shared" si="6"/>
        <v>0.28903225806451599</v>
      </c>
      <c r="N40" s="10">
        <f t="shared" si="6"/>
        <v>0.320645161290323</v>
      </c>
      <c r="O40" s="10">
        <f t="shared" si="6"/>
        <v>0.33870967741935498</v>
      </c>
      <c r="P40" s="10">
        <f t="shared" si="6"/>
        <v>0.36129032258064497</v>
      </c>
    </row>
    <row r="41" spans="1:16">
      <c r="A41" s="26" t="s">
        <v>137</v>
      </c>
      <c r="B41" s="10">
        <f>B33*$B$35</f>
        <v>-0.36129032258064497</v>
      </c>
      <c r="C41" s="10">
        <f t="shared" ref="C41:P41" si="7">C33*$B$35</f>
        <v>-0.34322580645161299</v>
      </c>
      <c r="D41" s="10">
        <f t="shared" si="7"/>
        <v>-0.33419354838709697</v>
      </c>
      <c r="E41" s="10">
        <f t="shared" si="7"/>
        <v>-0.30709677419354803</v>
      </c>
      <c r="F41" s="10">
        <f t="shared" si="7"/>
        <v>-0.28000000000000003</v>
      </c>
      <c r="G41" s="10">
        <f t="shared" si="7"/>
        <v>-0.25290322580645203</v>
      </c>
      <c r="H41" s="10">
        <f t="shared" si="7"/>
        <v>-0.20322580645161301</v>
      </c>
      <c r="I41" s="10">
        <f t="shared" si="7"/>
        <v>-0.135483870967742</v>
      </c>
      <c r="J41" s="10">
        <f t="shared" si="7"/>
        <v>-4.5161290322580601E-2</v>
      </c>
      <c r="K41" s="10">
        <f t="shared" si="7"/>
        <v>4.5161290322580601E-2</v>
      </c>
      <c r="L41" s="10">
        <f t="shared" si="7"/>
        <v>0.12645161290322601</v>
      </c>
      <c r="M41" s="10">
        <f t="shared" si="7"/>
        <v>0.198709677419355</v>
      </c>
      <c r="N41" s="10">
        <f t="shared" si="7"/>
        <v>0.28903225806451599</v>
      </c>
      <c r="O41" s="10">
        <f t="shared" si="7"/>
        <v>0.32516129032258101</v>
      </c>
      <c r="P41" s="10">
        <f t="shared" si="7"/>
        <v>0.36129032258064497</v>
      </c>
    </row>
    <row r="42" spans="1:16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4" spans="1:16">
      <c r="A44" s="24" t="s">
        <v>139</v>
      </c>
      <c r="B44" s="24">
        <v>50</v>
      </c>
      <c r="C44" s="24" t="s">
        <v>113</v>
      </c>
      <c r="D44" s="3" t="s">
        <v>114</v>
      </c>
      <c r="E44" s="3">
        <v>7.4999999999999997E-2</v>
      </c>
      <c r="F44" s="3" t="s">
        <v>115</v>
      </c>
      <c r="G44" s="25">
        <v>1.2E-4</v>
      </c>
      <c r="H44" s="3" t="s">
        <v>116</v>
      </c>
      <c r="I44" s="3">
        <v>150</v>
      </c>
      <c r="J44" s="3"/>
    </row>
    <row r="45" spans="1:16">
      <c r="A45" s="3" t="s">
        <v>117</v>
      </c>
      <c r="B45" s="3">
        <v>2.5</v>
      </c>
      <c r="C45" s="3" t="s">
        <v>118</v>
      </c>
      <c r="D45" s="3">
        <v>34</v>
      </c>
      <c r="E45" s="3" t="s">
        <v>119</v>
      </c>
      <c r="F45" s="3">
        <v>3.2</v>
      </c>
      <c r="G45" s="3" t="s">
        <v>120</v>
      </c>
      <c r="H45" s="3">
        <v>0.2</v>
      </c>
      <c r="I45" s="3" t="s">
        <v>121</v>
      </c>
      <c r="J45" s="3">
        <v>50</v>
      </c>
    </row>
    <row r="47" spans="1:16">
      <c r="A47" s="3" t="s">
        <v>125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3" t="s">
        <v>123</v>
      </c>
      <c r="B48" s="10">
        <v>-5</v>
      </c>
      <c r="C48" s="10">
        <v>-4</v>
      </c>
      <c r="D48" s="10">
        <v>-3</v>
      </c>
      <c r="E48" s="10">
        <v>-2</v>
      </c>
      <c r="F48" s="10">
        <v>-1.5</v>
      </c>
      <c r="G48" s="10">
        <v>-1</v>
      </c>
      <c r="H48" s="10">
        <v>-0.5</v>
      </c>
      <c r="I48" s="10">
        <v>0</v>
      </c>
      <c r="J48" s="10">
        <v>0.5</v>
      </c>
      <c r="K48" s="10">
        <v>1</v>
      </c>
      <c r="L48" s="10">
        <v>1.5</v>
      </c>
      <c r="M48" s="10">
        <v>2</v>
      </c>
      <c r="N48" s="10">
        <v>3</v>
      </c>
      <c r="O48" s="10">
        <v>4</v>
      </c>
      <c r="P48" s="10">
        <v>5</v>
      </c>
    </row>
    <row r="49" spans="1:16">
      <c r="A49" s="3" t="s">
        <v>126</v>
      </c>
      <c r="B49" s="10">
        <v>-4</v>
      </c>
      <c r="C49" s="10">
        <v>-3.7</v>
      </c>
      <c r="D49" s="10">
        <v>-3.35</v>
      </c>
      <c r="E49" s="10">
        <v>-2.5</v>
      </c>
      <c r="F49" s="10">
        <v>-1</v>
      </c>
      <c r="G49" s="10">
        <v>1.2</v>
      </c>
      <c r="H49" s="10">
        <v>2.1</v>
      </c>
      <c r="I49" s="10">
        <v>2.6</v>
      </c>
      <c r="J49" s="10">
        <v>2.9</v>
      </c>
      <c r="K49" s="10">
        <v>3.1</v>
      </c>
      <c r="L49" s="10">
        <v>3.25</v>
      </c>
      <c r="M49" s="10">
        <v>3.4</v>
      </c>
      <c r="N49" s="10">
        <v>3.6</v>
      </c>
      <c r="O49" s="10">
        <v>3.8</v>
      </c>
      <c r="P49" s="10">
        <v>4</v>
      </c>
    </row>
    <row r="50" spans="1:16">
      <c r="A50" s="3" t="s">
        <v>127</v>
      </c>
      <c r="B50" s="10">
        <v>-4</v>
      </c>
      <c r="C50" s="10">
        <v>-3.9</v>
      </c>
      <c r="D50" s="10">
        <v>-3.75</v>
      </c>
      <c r="E50" s="10">
        <v>-3.5</v>
      </c>
      <c r="F50" s="10">
        <v>-3.4</v>
      </c>
      <c r="G50" s="10">
        <v>-3.2</v>
      </c>
      <c r="H50" s="10">
        <v>-3</v>
      </c>
      <c r="I50" s="10">
        <v>-2.7</v>
      </c>
      <c r="J50" s="10">
        <v>-2.2000000000000002</v>
      </c>
      <c r="K50" s="10">
        <v>-1.1000000000000001</v>
      </c>
      <c r="L50" s="10">
        <v>1</v>
      </c>
      <c r="M50" s="10">
        <v>2.4</v>
      </c>
      <c r="N50" s="10">
        <v>3.25</v>
      </c>
      <c r="O50" s="10">
        <v>3.6</v>
      </c>
      <c r="P50" s="10">
        <v>4</v>
      </c>
    </row>
    <row r="52" spans="1:16">
      <c r="A52" s="26" t="s">
        <v>128</v>
      </c>
      <c r="B52" s="27">
        <f>F45*0.000001*D45*1000*J45*0.001/G44/I44</f>
        <v>0.302222222222222</v>
      </c>
      <c r="C52" s="3"/>
      <c r="D52" s="26" t="s">
        <v>129</v>
      </c>
      <c r="E52" s="26">
        <f>PI()*0.0000004</f>
        <v>1.25663706143592E-6</v>
      </c>
    </row>
    <row r="53" spans="1:16">
      <c r="A53" s="26" t="s">
        <v>130</v>
      </c>
      <c r="B53" s="28">
        <f>I44*H45/E44/B45</f>
        <v>160</v>
      </c>
      <c r="C53" s="3"/>
      <c r="D53" s="3"/>
      <c r="E53" s="3"/>
    </row>
    <row r="55" spans="1:16">
      <c r="A55" s="26" t="s">
        <v>140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26" t="s">
        <v>132</v>
      </c>
      <c r="B56" s="10">
        <f>B48*$B$53</f>
        <v>-800</v>
      </c>
      <c r="C56" s="10">
        <f t="shared" ref="C56:P56" si="8">C48*$B$53</f>
        <v>-640</v>
      </c>
      <c r="D56" s="10">
        <f t="shared" si="8"/>
        <v>-480</v>
      </c>
      <c r="E56" s="10">
        <f t="shared" si="8"/>
        <v>-320</v>
      </c>
      <c r="F56" s="10">
        <f t="shared" si="8"/>
        <v>-240</v>
      </c>
      <c r="G56" s="10">
        <f t="shared" si="8"/>
        <v>-160</v>
      </c>
      <c r="H56" s="10">
        <f t="shared" si="8"/>
        <v>-80</v>
      </c>
      <c r="I56" s="10">
        <f t="shared" si="8"/>
        <v>0</v>
      </c>
      <c r="J56" s="10">
        <f t="shared" si="8"/>
        <v>80</v>
      </c>
      <c r="K56" s="10">
        <f t="shared" si="8"/>
        <v>160</v>
      </c>
      <c r="L56" s="10">
        <f t="shared" si="8"/>
        <v>240</v>
      </c>
      <c r="M56" s="10">
        <f t="shared" si="8"/>
        <v>320</v>
      </c>
      <c r="N56" s="10">
        <f t="shared" si="8"/>
        <v>480</v>
      </c>
      <c r="O56" s="10">
        <f t="shared" si="8"/>
        <v>640</v>
      </c>
      <c r="P56" s="10">
        <f t="shared" si="8"/>
        <v>800</v>
      </c>
    </row>
    <row r="57" spans="1:16">
      <c r="A57" s="26" t="s">
        <v>136</v>
      </c>
      <c r="B57" s="10">
        <f>B49*$B$52</f>
        <v>-1.20888888888889</v>
      </c>
      <c r="C57" s="10">
        <f t="shared" ref="C57:P57" si="9">C49*$B$52</f>
        <v>-1.11822222222222</v>
      </c>
      <c r="D57" s="10">
        <f t="shared" si="9"/>
        <v>-1.01244444444444</v>
      </c>
      <c r="E57" s="10">
        <f t="shared" si="9"/>
        <v>-0.75555555555555498</v>
      </c>
      <c r="F57" s="10">
        <f t="shared" si="9"/>
        <v>-0.302222222222222</v>
      </c>
      <c r="G57" s="10">
        <f t="shared" si="9"/>
        <v>0.36266666666666703</v>
      </c>
      <c r="H57" s="10">
        <f t="shared" si="9"/>
        <v>0.63466666666666705</v>
      </c>
      <c r="I57" s="10">
        <f t="shared" si="9"/>
        <v>0.78577777777777802</v>
      </c>
      <c r="J57" s="10">
        <f t="shared" si="9"/>
        <v>0.87644444444444403</v>
      </c>
      <c r="K57" s="10">
        <f t="shared" si="9"/>
        <v>0.93688888888888899</v>
      </c>
      <c r="L57" s="10">
        <f t="shared" si="9"/>
        <v>0.982222222222222</v>
      </c>
      <c r="M57" s="10">
        <f t="shared" si="9"/>
        <v>1.02755555555556</v>
      </c>
      <c r="N57" s="10">
        <f t="shared" si="9"/>
        <v>1.0880000000000001</v>
      </c>
      <c r="O57" s="10">
        <f t="shared" si="9"/>
        <v>1.1484444444444399</v>
      </c>
      <c r="P57" s="10">
        <f t="shared" si="9"/>
        <v>1.20888888888889</v>
      </c>
    </row>
    <row r="58" spans="1:16">
      <c r="A58" s="26" t="s">
        <v>137</v>
      </c>
      <c r="B58" s="10">
        <f>B50*$B$52</f>
        <v>-1.20888888888889</v>
      </c>
      <c r="C58" s="10">
        <f t="shared" ref="C58:P58" si="10">C50*$B$52</f>
        <v>-1.1786666666666701</v>
      </c>
      <c r="D58" s="10">
        <f t="shared" si="10"/>
        <v>-1.13333333333333</v>
      </c>
      <c r="E58" s="10">
        <f t="shared" si="10"/>
        <v>-1.0577777777777799</v>
      </c>
      <c r="F58" s="10">
        <f t="shared" si="10"/>
        <v>-1.02755555555556</v>
      </c>
      <c r="G58" s="10">
        <f t="shared" si="10"/>
        <v>-0.96711111111111103</v>
      </c>
      <c r="H58" s="10">
        <f t="shared" si="10"/>
        <v>-0.90666666666666695</v>
      </c>
      <c r="I58" s="10">
        <f t="shared" si="10"/>
        <v>-0.81599999999999995</v>
      </c>
      <c r="J58" s="10">
        <f t="shared" si="10"/>
        <v>-0.66488888888888897</v>
      </c>
      <c r="K58" s="10">
        <f t="shared" si="10"/>
        <v>-0.33244444444444399</v>
      </c>
      <c r="L58" s="10">
        <f t="shared" si="10"/>
        <v>0.302222222222222</v>
      </c>
      <c r="M58" s="10">
        <f t="shared" si="10"/>
        <v>0.72533333333333305</v>
      </c>
      <c r="N58" s="10">
        <f t="shared" si="10"/>
        <v>0.982222222222222</v>
      </c>
      <c r="O58" s="10">
        <f t="shared" si="10"/>
        <v>1.0880000000000001</v>
      </c>
      <c r="P58" s="10">
        <f t="shared" si="10"/>
        <v>1.20888888888889</v>
      </c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25" sqref="G25"/>
    </sheetView>
  </sheetViews>
  <sheetFormatPr defaultColWidth="9" defaultRowHeight="14.25"/>
  <cols>
    <col min="5" max="5" width="9.625" customWidth="1"/>
  </cols>
  <sheetData>
    <row r="1" spans="1:12">
      <c r="A1" t="s">
        <v>141</v>
      </c>
    </row>
    <row r="2" spans="1:12">
      <c r="A2" t="s">
        <v>142</v>
      </c>
      <c r="B2">
        <v>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  <c r="I2">
        <v>350</v>
      </c>
      <c r="J2">
        <v>400</v>
      </c>
      <c r="K2">
        <v>450</v>
      </c>
      <c r="L2">
        <v>500</v>
      </c>
    </row>
    <row r="3" spans="1:12">
      <c r="A3" t="s">
        <v>143</v>
      </c>
      <c r="B3" s="1">
        <v>13</v>
      </c>
      <c r="C3" s="1">
        <v>13.324</v>
      </c>
      <c r="D3" s="1">
        <v>13.64</v>
      </c>
      <c r="E3" s="1">
        <v>13.944000000000001</v>
      </c>
      <c r="F3" s="1">
        <v>14.26</v>
      </c>
      <c r="G3" s="1">
        <v>14.585000000000001</v>
      </c>
      <c r="H3" s="1">
        <v>14.91</v>
      </c>
      <c r="I3" s="1">
        <v>15.257999999999999</v>
      </c>
      <c r="J3" s="1">
        <v>15.599</v>
      </c>
      <c r="K3" s="1">
        <v>15.92</v>
      </c>
      <c r="L3" s="1">
        <v>16.259</v>
      </c>
    </row>
    <row r="4" spans="1:12">
      <c r="A4" t="s">
        <v>144</v>
      </c>
      <c r="B4" s="1">
        <f>B3*0.05</f>
        <v>0.65</v>
      </c>
      <c r="C4" s="1">
        <f t="shared" ref="C4:L4" si="0">C3*0.05</f>
        <v>0.66620000000000001</v>
      </c>
      <c r="D4" s="1">
        <f t="shared" si="0"/>
        <v>0.68200000000000005</v>
      </c>
      <c r="E4" s="1">
        <f t="shared" si="0"/>
        <v>0.69720000000000004</v>
      </c>
      <c r="F4" s="1">
        <f t="shared" si="0"/>
        <v>0.71299999999999997</v>
      </c>
      <c r="G4" s="1">
        <f t="shared" si="0"/>
        <v>0.72924999999999995</v>
      </c>
      <c r="H4" s="1">
        <f t="shared" si="0"/>
        <v>0.74550000000000005</v>
      </c>
      <c r="I4" s="1">
        <f t="shared" si="0"/>
        <v>0.76290000000000002</v>
      </c>
      <c r="J4" s="1">
        <f t="shared" si="0"/>
        <v>0.77995000000000003</v>
      </c>
      <c r="K4" s="1">
        <f t="shared" si="0"/>
        <v>0.79600000000000004</v>
      </c>
      <c r="L4" s="1">
        <f t="shared" si="0"/>
        <v>0.81294999999999995</v>
      </c>
    </row>
    <row r="7" spans="1:12">
      <c r="J7" s="5" t="s">
        <v>145</v>
      </c>
      <c r="K7">
        <f>SLOPE(B4:L4,B2:L2)</f>
        <v>3.2576363636363601E-4</v>
      </c>
    </row>
    <row r="8" spans="1:12">
      <c r="J8" s="5" t="s">
        <v>146</v>
      </c>
      <c r="K8">
        <f>0.00064</f>
        <v>6.4000000000000005E-4</v>
      </c>
    </row>
    <row r="23" spans="1:7">
      <c r="A23" t="s">
        <v>147</v>
      </c>
    </row>
    <row r="24" spans="1:7">
      <c r="A24" t="s">
        <v>142</v>
      </c>
      <c r="B24" s="7">
        <v>19.5</v>
      </c>
      <c r="C24" s="7">
        <v>21</v>
      </c>
      <c r="D24" s="7">
        <v>20.5</v>
      </c>
      <c r="F24" t="s">
        <v>107</v>
      </c>
      <c r="G24" s="7">
        <v>80</v>
      </c>
    </row>
    <row r="25" spans="1:7">
      <c r="A25" t="s">
        <v>148</v>
      </c>
      <c r="B25" s="7">
        <v>30</v>
      </c>
      <c r="C25" s="7">
        <v>30</v>
      </c>
      <c r="D25" s="7">
        <v>30</v>
      </c>
      <c r="F25" s="5" t="s">
        <v>149</v>
      </c>
      <c r="G25" s="7">
        <v>101.325</v>
      </c>
    </row>
    <row r="26" spans="1:7">
      <c r="A26" s="5" t="s">
        <v>150</v>
      </c>
      <c r="B26">
        <f>1+B24*$K$8/(2*$G$24)*$G$25/B25</f>
        <v>1.0002634450000001</v>
      </c>
      <c r="C26">
        <f t="shared" ref="C26:D26" si="1">1+C24*$K$8/(2*$G$24)*$G$25/C25</f>
        <v>1.0002837099999999</v>
      </c>
      <c r="D26">
        <f t="shared" si="1"/>
        <v>1.0002769549999999</v>
      </c>
      <c r="E26">
        <f>AVERAGE(B26:D26)</f>
        <v>1.0002747033333299</v>
      </c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pane xSplit="1" topLeftCell="B1" activePane="topRight" state="frozen"/>
      <selection pane="topRight" activeCell="K43" sqref="K43"/>
    </sheetView>
  </sheetViews>
  <sheetFormatPr defaultColWidth="9" defaultRowHeight="14.25"/>
  <cols>
    <col min="2" max="2" width="10.375" customWidth="1"/>
    <col min="3" max="6" width="13.875" customWidth="1"/>
    <col min="7" max="7" width="8.375" customWidth="1"/>
    <col min="8" max="8" width="7.75" customWidth="1"/>
    <col min="9" max="10" width="8" customWidth="1"/>
    <col min="11" max="11" width="7.625" customWidth="1"/>
    <col min="12" max="12" width="6.875" customWidth="1"/>
    <col min="13" max="13" width="7.875" customWidth="1"/>
  </cols>
  <sheetData>
    <row r="1" spans="1:14">
      <c r="A1" s="18" t="s">
        <v>151</v>
      </c>
      <c r="H1" s="5" t="s">
        <v>152</v>
      </c>
      <c r="I1">
        <v>2.78</v>
      </c>
    </row>
    <row r="2" spans="1:14">
      <c r="B2">
        <v>1</v>
      </c>
      <c r="C2">
        <v>2</v>
      </c>
      <c r="D2">
        <v>3</v>
      </c>
      <c r="E2">
        <v>4</v>
      </c>
      <c r="F2">
        <v>5</v>
      </c>
      <c r="G2" t="s">
        <v>35</v>
      </c>
      <c r="H2" s="5" t="s">
        <v>153</v>
      </c>
      <c r="I2" s="5" t="s">
        <v>154</v>
      </c>
      <c r="K2" s="5" t="s">
        <v>32</v>
      </c>
      <c r="M2" s="5" t="s">
        <v>155</v>
      </c>
    </row>
    <row r="3" spans="1:14">
      <c r="A3" s="5" t="s">
        <v>156</v>
      </c>
      <c r="B3" s="6">
        <v>135.583333333333</v>
      </c>
      <c r="C3" s="6">
        <v>135.566666666667</v>
      </c>
      <c r="D3" s="6">
        <v>135.583333333333</v>
      </c>
      <c r="E3" s="6">
        <v>135.583333333333</v>
      </c>
      <c r="F3" s="6">
        <v>135.566666666667</v>
      </c>
      <c r="G3" s="6">
        <f>AVERAGE(B3:F3)</f>
        <v>135.57666666666699</v>
      </c>
      <c r="H3" s="5">
        <f t="shared" ref="H3:H6" si="0">SQRT(DEVSQ(B3:F3)/20)</f>
        <v>4.0824829046418798E-3</v>
      </c>
      <c r="I3">
        <f>H3*$I$1</f>
        <v>1.1349302474904399E-2</v>
      </c>
      <c r="K3">
        <f>0.25*(ABS(G5-G3)+ABS(G6-G4))</f>
        <v>59.966666666666697</v>
      </c>
      <c r="M3">
        <f>SQRT(K6*K6+L6*L6)</f>
        <v>1.0473611019022199E-2</v>
      </c>
    </row>
    <row r="4" spans="1:14">
      <c r="A4" s="5" t="s">
        <v>157</v>
      </c>
      <c r="B4" s="6">
        <v>315.566666666667</v>
      </c>
      <c r="C4" s="6">
        <v>315.55</v>
      </c>
      <c r="D4" s="6">
        <v>315.55</v>
      </c>
      <c r="E4" s="6">
        <v>315.566666666667</v>
      </c>
      <c r="F4" s="6">
        <v>315.55</v>
      </c>
      <c r="G4" s="6">
        <f t="shared" ref="G4:G13" si="1">AVERAGE(B4:F4)</f>
        <v>315.55666666666701</v>
      </c>
      <c r="H4" s="5">
        <f t="shared" si="0"/>
        <v>4.08248290463492E-3</v>
      </c>
      <c r="I4">
        <f>H4*$I$1</f>
        <v>1.13493024748851E-2</v>
      </c>
      <c r="K4">
        <f>K3/180*PI()</f>
        <v>1.0466157747792699</v>
      </c>
      <c r="L4" s="5" t="s">
        <v>158</v>
      </c>
      <c r="M4">
        <f>M3/180*PI()</f>
        <v>1.82798996855097E-4</v>
      </c>
      <c r="N4" s="5" t="s">
        <v>158</v>
      </c>
    </row>
    <row r="5" spans="1:14">
      <c r="A5" s="5" t="s">
        <v>159</v>
      </c>
      <c r="B5" s="6">
        <v>15.616666666666699</v>
      </c>
      <c r="C5" s="6">
        <v>15.6</v>
      </c>
      <c r="D5" s="6">
        <v>15.5833333333333</v>
      </c>
      <c r="E5" s="6">
        <v>15.6</v>
      </c>
      <c r="F5" s="6">
        <v>15.5833333333333</v>
      </c>
      <c r="G5" s="6">
        <f t="shared" si="1"/>
        <v>15.5966666666667</v>
      </c>
      <c r="H5" s="5">
        <f t="shared" si="0"/>
        <v>6.2360956446231696E-3</v>
      </c>
      <c r="I5">
        <f>H5*$I$1</f>
        <v>1.73363458920524E-2</v>
      </c>
      <c r="K5" s="5" t="s">
        <v>160</v>
      </c>
      <c r="L5" s="5" t="s">
        <v>161</v>
      </c>
    </row>
    <row r="6" spans="1:14">
      <c r="A6" s="5" t="s">
        <v>162</v>
      </c>
      <c r="B6" s="6">
        <v>195.683333333333</v>
      </c>
      <c r="C6" s="6">
        <v>195.666666666667</v>
      </c>
      <c r="D6" s="6">
        <v>195.666666666667</v>
      </c>
      <c r="E6" s="6">
        <v>195.666666666667</v>
      </c>
      <c r="F6" s="6">
        <v>195.666666666667</v>
      </c>
      <c r="G6" s="6">
        <f t="shared" si="1"/>
        <v>195.67</v>
      </c>
      <c r="H6" s="5">
        <f t="shared" si="0"/>
        <v>3.3333333333359898E-3</v>
      </c>
      <c r="I6">
        <f>H6*$I$1</f>
        <v>9.2666666666740404E-3</v>
      </c>
      <c r="K6">
        <f>0.25*SQRT(I3^2+I4^2+I5^2+I6^2)</f>
        <v>6.3444529577686704E-3</v>
      </c>
      <c r="L6">
        <f>0.25*SQRT(4*(1/60)^2)</f>
        <v>8.3333333333333297E-3</v>
      </c>
    </row>
    <row r="7" spans="1:14">
      <c r="G7" s="6"/>
      <c r="H7" s="5"/>
    </row>
    <row r="8" spans="1:14">
      <c r="A8" s="19" t="s">
        <v>163</v>
      </c>
      <c r="F8" s="20"/>
      <c r="G8" s="6"/>
      <c r="H8" s="5"/>
    </row>
    <row r="9" spans="1:14"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21" t="s">
        <v>164</v>
      </c>
      <c r="H9" s="5" t="s">
        <v>153</v>
      </c>
      <c r="I9" s="5" t="s">
        <v>165</v>
      </c>
      <c r="K9" s="5" t="s">
        <v>166</v>
      </c>
      <c r="M9" s="5" t="s">
        <v>167</v>
      </c>
    </row>
    <row r="10" spans="1:14">
      <c r="A10" s="5" t="s">
        <v>156</v>
      </c>
      <c r="B10" s="21">
        <v>130.82</v>
      </c>
      <c r="C10" s="21">
        <v>130.78</v>
      </c>
      <c r="D10" s="21">
        <v>130.78</v>
      </c>
      <c r="E10" s="21">
        <v>130.78</v>
      </c>
      <c r="F10" s="21">
        <v>130.78</v>
      </c>
      <c r="G10" s="6">
        <f t="shared" si="1"/>
        <v>130.78800000000001</v>
      </c>
      <c r="H10" s="5">
        <f t="shared" ref="H10:H13" si="2">SQRT(DEVSQ(B10:F10)/20)</f>
        <v>7.9999999999984094E-3</v>
      </c>
      <c r="I10">
        <f t="shared" ref="I10:I13" si="3">H10*$I$1</f>
        <v>2.22399999999956E-2</v>
      </c>
      <c r="K10">
        <f>0.25*(ABS(G12-G10)+ABS(G13-G11))</f>
        <v>51.3245</v>
      </c>
      <c r="M10">
        <f>SQRT(K13*K13+L13*L13)</f>
        <v>1.0761730550634599E-2</v>
      </c>
    </row>
    <row r="11" spans="1:14">
      <c r="A11" s="5" t="s">
        <v>157</v>
      </c>
      <c r="B11" s="21">
        <v>310.8</v>
      </c>
      <c r="C11" s="21">
        <v>310.77999999999997</v>
      </c>
      <c r="D11" s="21">
        <v>310.77999999999997</v>
      </c>
      <c r="E11" s="21">
        <v>310.77999999999997</v>
      </c>
      <c r="F11" s="21">
        <v>310.77999999999997</v>
      </c>
      <c r="G11" s="6">
        <f t="shared" si="1"/>
        <v>310.78399999999999</v>
      </c>
      <c r="H11" s="5">
        <f t="shared" si="2"/>
        <v>4.00000000000773E-3</v>
      </c>
      <c r="I11">
        <f t="shared" si="3"/>
        <v>1.11200000000215E-2</v>
      </c>
      <c r="K11">
        <f>K10/180*PI()</f>
        <v>0.89578151193983002</v>
      </c>
      <c r="L11" s="5" t="s">
        <v>158</v>
      </c>
      <c r="M11">
        <f>M10/180*PI()</f>
        <v>1.8782763132103601E-4</v>
      </c>
      <c r="N11" s="5" t="s">
        <v>158</v>
      </c>
    </row>
    <row r="12" spans="1:14">
      <c r="A12" s="5" t="s">
        <v>159</v>
      </c>
      <c r="B12" s="21">
        <v>28.1</v>
      </c>
      <c r="C12" s="21">
        <v>28.1</v>
      </c>
      <c r="D12" s="21">
        <v>28.12</v>
      </c>
      <c r="E12" s="21">
        <v>28.1</v>
      </c>
      <c r="F12" s="21">
        <v>28.1</v>
      </c>
      <c r="G12" s="6">
        <f t="shared" si="1"/>
        <v>28.103999999999999</v>
      </c>
      <c r="H12" s="5">
        <f t="shared" si="2"/>
        <v>3.9999999999999203E-3</v>
      </c>
      <c r="I12">
        <f t="shared" si="3"/>
        <v>1.11199999999998E-2</v>
      </c>
      <c r="K12" s="5" t="s">
        <v>168</v>
      </c>
      <c r="L12" s="5" t="s">
        <v>169</v>
      </c>
    </row>
    <row r="13" spans="1:14">
      <c r="A13" s="5" t="s">
        <v>162</v>
      </c>
      <c r="B13" s="21">
        <v>208.17</v>
      </c>
      <c r="C13" s="21">
        <v>208.17</v>
      </c>
      <c r="D13" s="21">
        <v>208.17</v>
      </c>
      <c r="E13" s="21">
        <v>208.17</v>
      </c>
      <c r="F13" s="21">
        <v>208.17</v>
      </c>
      <c r="G13" s="6">
        <f t="shared" si="1"/>
        <v>208.17</v>
      </c>
      <c r="H13" s="5">
        <f t="shared" si="2"/>
        <v>0</v>
      </c>
      <c r="I13">
        <f t="shared" si="3"/>
        <v>0</v>
      </c>
      <c r="K13">
        <f>0.25*SQRT(I10^2+I11^2+I12^2+I13^2)</f>
        <v>6.8095814849385003E-3</v>
      </c>
      <c r="L13">
        <f>0.25*SQRT(4*(1/60)^2)</f>
        <v>8.3333333333333297E-3</v>
      </c>
    </row>
    <row r="15" spans="1:14" ht="15" customHeight="1">
      <c r="A15" s="4" t="s">
        <v>170</v>
      </c>
    </row>
    <row r="16" spans="1:14" ht="22.5" customHeight="1">
      <c r="A16" s="5" t="s">
        <v>150</v>
      </c>
      <c r="B16">
        <f>SIN(K4/2+K11/2)/SIN(K4/2)</f>
        <v>1.6519578072557899</v>
      </c>
      <c r="D16" s="5" t="s">
        <v>171</v>
      </c>
      <c r="E16">
        <f>B16/2*SQRT((1/TAN(K4/2+K11/2)-1/TAN(K4/2))^2*M4^2+(1/TAN(K11/2+K4/2))^2*M11^2)</f>
        <v>1.9069385347400899E-4</v>
      </c>
    </row>
    <row r="18" spans="1:11">
      <c r="A18" s="4" t="s">
        <v>172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 s="5" t="s">
        <v>164</v>
      </c>
      <c r="I18" s="22" t="s">
        <v>173</v>
      </c>
      <c r="J18" s="5" t="s">
        <v>174</v>
      </c>
      <c r="K18" s="5" t="s">
        <v>175</v>
      </c>
    </row>
    <row r="19" spans="1:11">
      <c r="A19" t="s">
        <v>176</v>
      </c>
      <c r="J19">
        <v>546.1</v>
      </c>
      <c r="K19">
        <f>0.5*(K21+K26)</f>
        <v>3333.1039605983401</v>
      </c>
    </row>
    <row r="20" spans="1:11">
      <c r="A20" s="5" t="s">
        <v>177</v>
      </c>
      <c r="B20" s="21">
        <v>70</v>
      </c>
      <c r="C20" s="21">
        <v>70.02</v>
      </c>
      <c r="D20" s="21">
        <v>70.02</v>
      </c>
      <c r="E20" s="21">
        <v>70</v>
      </c>
      <c r="F20" s="21">
        <v>70</v>
      </c>
      <c r="G20" s="21">
        <v>70.02</v>
      </c>
      <c r="H20" s="6">
        <f>AVERAGE(B20:G20)</f>
        <v>70.010000000000005</v>
      </c>
      <c r="I20">
        <f>0.25*(ABS(H22-H20)+ABS(H23-H21))</f>
        <v>9.4312500000000092</v>
      </c>
    </row>
    <row r="21" spans="1:11">
      <c r="A21" s="5" t="s">
        <v>178</v>
      </c>
      <c r="B21" s="21">
        <v>250.07</v>
      </c>
      <c r="C21" s="21">
        <v>250.08</v>
      </c>
      <c r="D21" s="21">
        <v>250.05</v>
      </c>
      <c r="E21" s="21">
        <v>250.07</v>
      </c>
      <c r="F21" s="21">
        <v>250.05</v>
      </c>
      <c r="G21" s="21">
        <v>250.07</v>
      </c>
      <c r="H21" s="6">
        <f t="shared" ref="H21:H39" si="4">AVERAGE(B21:G21)</f>
        <v>250.065</v>
      </c>
      <c r="I21">
        <f>I20/180*PI()</f>
        <v>0.16460636507871501</v>
      </c>
      <c r="K21" s="7">
        <f>$J$19/SIN(I21)</f>
        <v>3332.64110161706</v>
      </c>
    </row>
    <row r="22" spans="1:11">
      <c r="A22" s="5" t="s">
        <v>179</v>
      </c>
      <c r="B22" s="21">
        <v>88.88</v>
      </c>
      <c r="C22" s="21">
        <v>88.88</v>
      </c>
      <c r="D22" s="21">
        <v>88.88</v>
      </c>
      <c r="E22" s="21">
        <v>88.88</v>
      </c>
      <c r="F22" s="21">
        <v>88.88</v>
      </c>
      <c r="G22" s="21">
        <v>88.88</v>
      </c>
      <c r="H22" s="6">
        <f t="shared" si="4"/>
        <v>88.88</v>
      </c>
    </row>
    <row r="23" spans="1:11">
      <c r="A23" s="5" t="s">
        <v>180</v>
      </c>
      <c r="B23" s="21">
        <v>268.92</v>
      </c>
      <c r="C23" s="21">
        <v>268.92</v>
      </c>
      <c r="D23" s="21">
        <v>268.92</v>
      </c>
      <c r="E23" s="21">
        <v>268.92</v>
      </c>
      <c r="F23" s="21">
        <v>268.92</v>
      </c>
      <c r="G23" s="21">
        <v>268.92</v>
      </c>
      <c r="H23" s="6">
        <f t="shared" si="4"/>
        <v>268.92</v>
      </c>
    </row>
    <row r="24" spans="1:11">
      <c r="H24" s="6"/>
      <c r="K24" s="5"/>
    </row>
    <row r="25" spans="1:11">
      <c r="A25" s="5" t="s">
        <v>181</v>
      </c>
      <c r="B25" s="21">
        <v>60.3</v>
      </c>
      <c r="C25" s="21">
        <v>60.3</v>
      </c>
      <c r="D25" s="21">
        <v>60.3</v>
      </c>
      <c r="E25" s="21">
        <v>60.32</v>
      </c>
      <c r="F25" s="21">
        <v>60.33</v>
      </c>
      <c r="G25" s="21">
        <v>60.3</v>
      </c>
      <c r="H25" s="6">
        <f t="shared" si="4"/>
        <v>60.308333333333302</v>
      </c>
      <c r="I25">
        <f>0.25*(ABS(H27-H25)+ABS(H28-H26))</f>
        <v>19.125416666666698</v>
      </c>
    </row>
    <row r="26" spans="1:11">
      <c r="A26" s="5" t="s">
        <v>182</v>
      </c>
      <c r="B26" s="21">
        <v>240.37</v>
      </c>
      <c r="C26" s="21">
        <v>240.37</v>
      </c>
      <c r="D26" s="21">
        <v>240.37</v>
      </c>
      <c r="E26" s="21">
        <v>240.37</v>
      </c>
      <c r="F26" s="21">
        <v>240.37</v>
      </c>
      <c r="G26" s="21">
        <v>240.37</v>
      </c>
      <c r="H26" s="6">
        <f t="shared" si="4"/>
        <v>240.37</v>
      </c>
      <c r="I26">
        <f>I25/180*PI()</f>
        <v>0.33380149164913198</v>
      </c>
      <c r="K26" s="7">
        <f>2*$J$19/SIN(I26)</f>
        <v>3333.5668195796102</v>
      </c>
    </row>
    <row r="27" spans="1:11">
      <c r="A27" s="5" t="s">
        <v>183</v>
      </c>
      <c r="B27" s="21">
        <v>98.58</v>
      </c>
      <c r="C27" s="21">
        <v>98.58</v>
      </c>
      <c r="D27" s="21">
        <v>98.58</v>
      </c>
      <c r="E27" s="21">
        <v>98.58</v>
      </c>
      <c r="F27" s="21">
        <v>98.58</v>
      </c>
      <c r="G27" s="21">
        <v>98.58</v>
      </c>
      <c r="H27" s="6">
        <f t="shared" si="4"/>
        <v>98.58</v>
      </c>
    </row>
    <row r="28" spans="1:11">
      <c r="A28" s="5" t="s">
        <v>184</v>
      </c>
      <c r="B28" s="21">
        <v>278.62</v>
      </c>
      <c r="C28" s="21">
        <v>278.60000000000002</v>
      </c>
      <c r="D28" s="21">
        <v>278.58</v>
      </c>
      <c r="E28" s="21">
        <v>278.60000000000002</v>
      </c>
      <c r="F28" s="21">
        <v>278.60000000000002</v>
      </c>
      <c r="G28" s="21">
        <v>278.60000000000002</v>
      </c>
      <c r="H28" s="6">
        <f t="shared" si="4"/>
        <v>278.60000000000002</v>
      </c>
    </row>
    <row r="29" spans="1:11">
      <c r="H29" s="6"/>
    </row>
    <row r="30" spans="1:11">
      <c r="A30" s="5" t="s">
        <v>185</v>
      </c>
      <c r="H30" s="6"/>
      <c r="J30">
        <v>435.8</v>
      </c>
      <c r="K30">
        <v>3333.1039605983401</v>
      </c>
    </row>
    <row r="31" spans="1:11">
      <c r="A31" s="5" t="s">
        <v>177</v>
      </c>
      <c r="B31" s="21">
        <v>71.930000000000007</v>
      </c>
      <c r="C31" s="21">
        <v>71.930000000000007</v>
      </c>
      <c r="D31" s="21">
        <v>71.930000000000007</v>
      </c>
      <c r="E31" s="21">
        <v>71.92</v>
      </c>
      <c r="F31" s="21">
        <v>71.930000000000007</v>
      </c>
      <c r="G31" s="21">
        <v>71.92</v>
      </c>
      <c r="H31" s="6">
        <f t="shared" si="4"/>
        <v>71.926666666666705</v>
      </c>
      <c r="I31">
        <f>0.25*(ABS(H33-H31)+ABS(H34-H32))</f>
        <v>7.5108333333333297</v>
      </c>
    </row>
    <row r="32" spans="1:11">
      <c r="A32" s="5" t="s">
        <v>178</v>
      </c>
      <c r="B32" s="21">
        <v>252</v>
      </c>
      <c r="C32" s="21">
        <v>252</v>
      </c>
      <c r="D32" s="21">
        <v>252</v>
      </c>
      <c r="E32" s="21">
        <v>251.97</v>
      </c>
      <c r="F32" s="21">
        <v>251.97</v>
      </c>
      <c r="G32" s="21">
        <v>251.95</v>
      </c>
      <c r="H32" s="6">
        <f t="shared" si="4"/>
        <v>251.981666666667</v>
      </c>
      <c r="I32">
        <f>I31/180*PI()</f>
        <v>0.13108877123520701</v>
      </c>
      <c r="J32">
        <f>K32*SIN(I32)</f>
        <v>435.62168132789901</v>
      </c>
      <c r="K32">
        <v>3332.64110161706</v>
      </c>
    </row>
    <row r="33" spans="1:11">
      <c r="A33" s="5" t="s">
        <v>179</v>
      </c>
      <c r="B33" s="21">
        <v>86.98</v>
      </c>
      <c r="C33" s="21">
        <v>86.95</v>
      </c>
      <c r="D33" s="21">
        <v>86.95</v>
      </c>
      <c r="E33" s="21">
        <v>86.95</v>
      </c>
      <c r="F33" s="21">
        <v>86.95</v>
      </c>
      <c r="G33" s="21">
        <v>86.95</v>
      </c>
      <c r="H33" s="6">
        <f t="shared" si="4"/>
        <v>86.954999999999998</v>
      </c>
    </row>
    <row r="34" spans="1:11">
      <c r="A34" s="5" t="s">
        <v>180</v>
      </c>
      <c r="B34" s="21">
        <v>267</v>
      </c>
      <c r="C34" s="21">
        <v>266.98</v>
      </c>
      <c r="D34" s="21">
        <v>267</v>
      </c>
      <c r="E34" s="21">
        <v>267</v>
      </c>
      <c r="F34" s="21">
        <v>267</v>
      </c>
      <c r="G34" s="21">
        <v>267</v>
      </c>
      <c r="H34" s="6">
        <f t="shared" si="4"/>
        <v>266.99666666666701</v>
      </c>
    </row>
    <row r="35" spans="1:11">
      <c r="H35" s="6"/>
    </row>
    <row r="36" spans="1:11">
      <c r="A36" s="5" t="s">
        <v>181</v>
      </c>
      <c r="B36" s="21">
        <v>64.25</v>
      </c>
      <c r="C36" s="21">
        <v>64.27</v>
      </c>
      <c r="D36" s="21">
        <v>64.27</v>
      </c>
      <c r="E36" s="21">
        <v>64.25</v>
      </c>
      <c r="F36" s="21">
        <v>64.27</v>
      </c>
      <c r="G36" s="21">
        <v>64.27</v>
      </c>
      <c r="H36" s="6">
        <f t="shared" si="4"/>
        <v>64.263333333333307</v>
      </c>
      <c r="I36">
        <f>0.25*(ABS(H38-H36)+ABS(H39-H37))</f>
        <v>15.155833333333399</v>
      </c>
    </row>
    <row r="37" spans="1:11">
      <c r="A37" s="5" t="s">
        <v>182</v>
      </c>
      <c r="B37" s="21">
        <v>244.33</v>
      </c>
      <c r="C37" s="21">
        <v>244.33</v>
      </c>
      <c r="D37" s="21">
        <v>244.33</v>
      </c>
      <c r="E37" s="21">
        <v>244.3</v>
      </c>
      <c r="F37" s="21">
        <v>244.32</v>
      </c>
      <c r="G37" s="21">
        <v>244.33</v>
      </c>
      <c r="H37" s="6">
        <f t="shared" si="4"/>
        <v>244.32333333333301</v>
      </c>
      <c r="I37">
        <f>I36/180*PI()</f>
        <v>0.26451919255017398</v>
      </c>
      <c r="J37">
        <f>0.5*K37*SIN(I37)</f>
        <v>435.77254564694903</v>
      </c>
      <c r="K37">
        <v>3333.5668195796102</v>
      </c>
    </row>
    <row r="38" spans="1:11">
      <c r="A38" s="5" t="s">
        <v>183</v>
      </c>
      <c r="B38" s="21">
        <v>94.6</v>
      </c>
      <c r="C38" s="21">
        <v>94.58</v>
      </c>
      <c r="D38" s="21">
        <v>94.58</v>
      </c>
      <c r="E38" s="21">
        <v>94.58</v>
      </c>
      <c r="F38" s="21">
        <v>94.58</v>
      </c>
      <c r="G38" s="21">
        <v>94.58</v>
      </c>
      <c r="H38" s="6">
        <f t="shared" si="4"/>
        <v>94.5833333333333</v>
      </c>
    </row>
    <row r="39" spans="1:11">
      <c r="A39" s="5" t="s">
        <v>184</v>
      </c>
      <c r="B39" s="21">
        <v>274.63</v>
      </c>
      <c r="C39" s="21">
        <v>274.62</v>
      </c>
      <c r="D39" s="21">
        <v>274.63</v>
      </c>
      <c r="E39" s="21">
        <v>274.62</v>
      </c>
      <c r="F39" s="21">
        <v>274.63</v>
      </c>
      <c r="G39" s="21">
        <v>274.63</v>
      </c>
      <c r="H39" s="6">
        <f t="shared" si="4"/>
        <v>274.62666666666701</v>
      </c>
    </row>
    <row r="40" spans="1:11">
      <c r="J40">
        <f>0.5*(J32+J37)</f>
        <v>435.69711348742402</v>
      </c>
    </row>
    <row r="41" spans="1:11">
      <c r="J41" s="5" t="s">
        <v>186</v>
      </c>
      <c r="K41" s="5" t="s">
        <v>187</v>
      </c>
    </row>
    <row r="42" spans="1:11">
      <c r="J42" s="23">
        <f>ABS(J40-J30)/J30</f>
        <v>2.3608653642940601E-4</v>
      </c>
      <c r="K42">
        <f>(I21-I32)/(J19-J40)</f>
        <v>3.0359345577155798E-4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弹性模量</vt:lpstr>
      <vt:lpstr>水的表面张力</vt:lpstr>
      <vt:lpstr>液体旋光率</vt:lpstr>
      <vt:lpstr>巨磁电阻</vt:lpstr>
      <vt:lpstr>PN结</vt:lpstr>
      <vt:lpstr>光的等厚干涉</vt:lpstr>
      <vt:lpstr>磁滞回线</vt:lpstr>
      <vt:lpstr>迈克尔逊干涉</vt:lpstr>
      <vt:lpstr>分光计</vt:lpstr>
      <vt:lpstr>超声光栅测声速</vt:lpstr>
      <vt:lpstr>光电效应</vt:lpstr>
      <vt:lpstr>多普勒</vt:lpstr>
      <vt:lpstr>弗兰克赫兹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杨晓欧</dc:creator>
  <cp:lastModifiedBy>Windows 用户</cp:lastModifiedBy>
  <dcterms:created xsi:type="dcterms:W3CDTF">2015-10-06T02:28:00Z</dcterms:created>
  <dcterms:modified xsi:type="dcterms:W3CDTF">2016-04-29T15:16:26Z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