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cker Face Mudak\Desktop\Информационные технологии\"/>
    </mc:Choice>
  </mc:AlternateContent>
  <xr:revisionPtr revIDLastSave="0" documentId="8_{71B66782-8FF9-4DE2-B392-16AEEECAF84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2" r:id="rId1"/>
    <sheet name="Учёт товаров " sheetId="1" r:id="rId2"/>
    <sheet name="Касса" sheetId="3" r:id="rId3"/>
    <sheet name="Эл.журнал" sheetId="8" r:id="rId4"/>
    <sheet name="Лист3" sheetId="9" r:id="rId5"/>
    <sheet name="Сенсорный" sheetId="4" r:id="rId6"/>
    <sheet name="Кнопочный " sheetId="5" r:id="rId7"/>
    <sheet name="Складной" sheetId="6" r:id="rId8"/>
    <sheet name="Полукнопочный" sheetId="7" r:id="rId9"/>
    <sheet name="h" sheetId="10" r:id="rId10"/>
  </sheets>
  <definedNames>
    <definedName name="_xlnm._FilterDatabase" localSheetId="1" hidden="1">'Учёт товаров '!$B$2:$L$21</definedName>
    <definedName name="_xlnm.Print_Area" localSheetId="1">'Учёт товаров '!$A$1:$L$21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8" l="1"/>
  <c r="Z4" i="8"/>
  <c r="AI4" i="8"/>
  <c r="Z20" i="1"/>
  <c r="Y20" i="1"/>
  <c r="AA20" i="1" s="1"/>
  <c r="W20" i="1"/>
  <c r="Z19" i="1"/>
  <c r="Y19" i="1"/>
  <c r="AA19" i="1" s="1"/>
  <c r="W19" i="1"/>
  <c r="AA18" i="1"/>
  <c r="Z18" i="1"/>
  <c r="Y18" i="1"/>
  <c r="W18" i="1"/>
  <c r="AA17" i="1"/>
  <c r="Z17" i="1"/>
  <c r="Y17" i="1"/>
  <c r="W17" i="1"/>
  <c r="Z16" i="1"/>
  <c r="Y16" i="1"/>
  <c r="AA16" i="1" s="1"/>
  <c r="W16" i="1"/>
  <c r="Z15" i="1"/>
  <c r="Y15" i="1"/>
  <c r="AA15" i="1" s="1"/>
  <c r="W15" i="1"/>
  <c r="AA14" i="1"/>
  <c r="Z14" i="1"/>
  <c r="Y14" i="1"/>
  <c r="W14" i="1"/>
  <c r="AA13" i="1"/>
  <c r="Z13" i="1"/>
  <c r="Y13" i="1"/>
  <c r="W13" i="1"/>
  <c r="Z12" i="1"/>
  <c r="Y12" i="1"/>
  <c r="AA12" i="1" s="1"/>
  <c r="W12" i="1"/>
  <c r="Z11" i="1"/>
  <c r="Y11" i="1"/>
  <c r="AA11" i="1" s="1"/>
  <c r="W11" i="1"/>
  <c r="AA10" i="1"/>
  <c r="Z10" i="1"/>
  <c r="Y10" i="1"/>
  <c r="W10" i="1"/>
  <c r="AA9" i="1"/>
  <c r="Z9" i="1"/>
  <c r="Y9" i="1"/>
  <c r="W9" i="1"/>
  <c r="Z8" i="1"/>
  <c r="Y8" i="1"/>
  <c r="AA8" i="1" s="1"/>
  <c r="W8" i="1"/>
  <c r="Z7" i="1"/>
  <c r="Y7" i="1"/>
  <c r="AA7" i="1" s="1"/>
  <c r="W7" i="1"/>
  <c r="AA6" i="1"/>
  <c r="Z6" i="1"/>
  <c r="Y6" i="1"/>
  <c r="W6" i="1"/>
  <c r="AA5" i="1"/>
  <c r="Z5" i="1"/>
  <c r="Y5" i="1"/>
  <c r="W5" i="1"/>
  <c r="Z4" i="1"/>
  <c r="Y4" i="1"/>
  <c r="AA4" i="1" s="1"/>
  <c r="W4" i="1"/>
  <c r="Z3" i="1"/>
  <c r="Z21" i="1" s="1"/>
  <c r="Y3" i="1"/>
  <c r="AA3" i="1" s="1"/>
  <c r="W3" i="1"/>
  <c r="V4" i="9"/>
  <c r="U4" i="9"/>
  <c r="I4" i="9"/>
  <c r="I5" i="9"/>
  <c r="M5" i="9" s="1"/>
  <c r="Q5" i="9" s="1"/>
  <c r="I6" i="9"/>
  <c r="I7" i="9"/>
  <c r="M7" i="9" s="1"/>
  <c r="I8" i="9"/>
  <c r="I9" i="9"/>
  <c r="M9" i="9" s="1"/>
  <c r="I10" i="9"/>
  <c r="I11" i="9"/>
  <c r="M11" i="9" s="1"/>
  <c r="Q11" i="9" s="1"/>
  <c r="I12" i="9"/>
  <c r="M12" i="9" s="1"/>
  <c r="I13" i="9"/>
  <c r="M13" i="9" s="1"/>
  <c r="I14" i="9"/>
  <c r="I15" i="9"/>
  <c r="I16" i="9"/>
  <c r="I17" i="9"/>
  <c r="M17" i="9" s="1"/>
  <c r="Q17" i="9" s="1"/>
  <c r="I18" i="9"/>
  <c r="M18" i="9" s="1"/>
  <c r="I19" i="9"/>
  <c r="I20" i="9"/>
  <c r="I21" i="9"/>
  <c r="I22" i="9"/>
  <c r="I23" i="9"/>
  <c r="M23" i="9" s="1"/>
  <c r="Q23" i="9" s="1"/>
  <c r="I24" i="9"/>
  <c r="M24" i="9" s="1"/>
  <c r="I25" i="9"/>
  <c r="I26" i="9"/>
  <c r="I27" i="9"/>
  <c r="I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3" i="9"/>
  <c r="V27" i="9"/>
  <c r="U27" i="9"/>
  <c r="T27" i="9"/>
  <c r="P27" i="9" s="1"/>
  <c r="S27" i="9"/>
  <c r="M27" i="9"/>
  <c r="N27" i="9" s="1"/>
  <c r="V26" i="9"/>
  <c r="U26" i="9"/>
  <c r="T26" i="9"/>
  <c r="P26" i="9" s="1"/>
  <c r="S26" i="9"/>
  <c r="M26" i="9"/>
  <c r="N26" i="9" s="1"/>
  <c r="V25" i="9"/>
  <c r="U25" i="9"/>
  <c r="T25" i="9"/>
  <c r="P25" i="9" s="1"/>
  <c r="S25" i="9"/>
  <c r="M25" i="9"/>
  <c r="O25" i="9" s="1"/>
  <c r="V24" i="9"/>
  <c r="U24" i="9"/>
  <c r="T24" i="9"/>
  <c r="P24" i="9" s="1"/>
  <c r="S24" i="9"/>
  <c r="V23" i="9"/>
  <c r="U23" i="9"/>
  <c r="T23" i="9"/>
  <c r="P23" i="9" s="1"/>
  <c r="S23" i="9"/>
  <c r="V22" i="9"/>
  <c r="U22" i="9"/>
  <c r="T22" i="9"/>
  <c r="P22" i="9" s="1"/>
  <c r="S22" i="9"/>
  <c r="M22" i="9"/>
  <c r="Q22" i="9" s="1"/>
  <c r="V21" i="9"/>
  <c r="U21" i="9"/>
  <c r="T21" i="9"/>
  <c r="P21" i="9" s="1"/>
  <c r="S21" i="9"/>
  <c r="M21" i="9"/>
  <c r="N21" i="9" s="1"/>
  <c r="V20" i="9"/>
  <c r="U20" i="9"/>
  <c r="T20" i="9"/>
  <c r="P20" i="9" s="1"/>
  <c r="S20" i="9"/>
  <c r="M20" i="9"/>
  <c r="N20" i="9" s="1"/>
  <c r="V19" i="9"/>
  <c r="U19" i="9"/>
  <c r="T19" i="9"/>
  <c r="P19" i="9" s="1"/>
  <c r="S19" i="9"/>
  <c r="M19" i="9"/>
  <c r="O19" i="9" s="1"/>
  <c r="V18" i="9"/>
  <c r="U18" i="9"/>
  <c r="T18" i="9"/>
  <c r="P18" i="9" s="1"/>
  <c r="S18" i="9"/>
  <c r="V17" i="9"/>
  <c r="U17" i="9"/>
  <c r="T17" i="9"/>
  <c r="P17" i="9" s="1"/>
  <c r="S17" i="9"/>
  <c r="V16" i="9"/>
  <c r="U16" i="9"/>
  <c r="T16" i="9"/>
  <c r="P16" i="9" s="1"/>
  <c r="S16" i="9"/>
  <c r="M16" i="9"/>
  <c r="Q16" i="9" s="1"/>
  <c r="V15" i="9"/>
  <c r="U15" i="9"/>
  <c r="T15" i="9"/>
  <c r="P15" i="9" s="1"/>
  <c r="S15" i="9"/>
  <c r="M15" i="9"/>
  <c r="N15" i="9" s="1"/>
  <c r="V14" i="9"/>
  <c r="U14" i="9"/>
  <c r="T14" i="9"/>
  <c r="P14" i="9" s="1"/>
  <c r="S14" i="9"/>
  <c r="M14" i="9"/>
  <c r="N14" i="9" s="1"/>
  <c r="V13" i="9"/>
  <c r="U13" i="9"/>
  <c r="T13" i="9"/>
  <c r="P13" i="9" s="1"/>
  <c r="S13" i="9"/>
  <c r="V12" i="9"/>
  <c r="U12" i="9"/>
  <c r="T12" i="9"/>
  <c r="P12" i="9" s="1"/>
  <c r="S12" i="9"/>
  <c r="V11" i="9"/>
  <c r="U11" i="9"/>
  <c r="T11" i="9"/>
  <c r="P11" i="9" s="1"/>
  <c r="S11" i="9"/>
  <c r="V10" i="9"/>
  <c r="U10" i="9"/>
  <c r="T10" i="9"/>
  <c r="P10" i="9" s="1"/>
  <c r="S10" i="9"/>
  <c r="M10" i="9"/>
  <c r="R10" i="9" s="1"/>
  <c r="V9" i="9"/>
  <c r="U9" i="9"/>
  <c r="T9" i="9"/>
  <c r="P9" i="9" s="1"/>
  <c r="S9" i="9"/>
  <c r="V8" i="9"/>
  <c r="U8" i="9"/>
  <c r="T8" i="9"/>
  <c r="P8" i="9" s="1"/>
  <c r="S8" i="9"/>
  <c r="R8" i="9"/>
  <c r="M8" i="9"/>
  <c r="N8" i="9" s="1"/>
  <c r="V7" i="9"/>
  <c r="U7" i="9"/>
  <c r="T7" i="9"/>
  <c r="P7" i="9" s="1"/>
  <c r="S7" i="9"/>
  <c r="V6" i="9"/>
  <c r="U6" i="9"/>
  <c r="T6" i="9"/>
  <c r="P6" i="9" s="1"/>
  <c r="S6" i="9"/>
  <c r="M6" i="9"/>
  <c r="Q6" i="9" s="1"/>
  <c r="V5" i="9"/>
  <c r="U5" i="9"/>
  <c r="T5" i="9"/>
  <c r="P5" i="9" s="1"/>
  <c r="S5" i="9"/>
  <c r="T4" i="9"/>
  <c r="P4" i="9" s="1"/>
  <c r="S4" i="9"/>
  <c r="M4" i="9"/>
  <c r="R4" i="9" s="1"/>
  <c r="V3" i="9"/>
  <c r="U3" i="9"/>
  <c r="T3" i="9"/>
  <c r="P3" i="9" s="1"/>
  <c r="S3" i="9"/>
  <c r="M3" i="9"/>
  <c r="R3" i="9" s="1"/>
  <c r="AA21" i="1" l="1"/>
  <c r="R16" i="9"/>
  <c r="N5" i="9"/>
  <c r="R6" i="9"/>
  <c r="R22" i="9"/>
  <c r="R14" i="9"/>
  <c r="O13" i="9"/>
  <c r="Q13" i="9"/>
  <c r="O7" i="9"/>
  <c r="Q7" i="9"/>
  <c r="Q24" i="9"/>
  <c r="O24" i="9"/>
  <c r="N24" i="9"/>
  <c r="W24" i="9" s="1"/>
  <c r="R24" i="9"/>
  <c r="Q18" i="9"/>
  <c r="O18" i="9"/>
  <c r="N18" i="9"/>
  <c r="W18" i="9" s="1"/>
  <c r="R18" i="9"/>
  <c r="Q12" i="9"/>
  <c r="O12" i="9"/>
  <c r="N12" i="9"/>
  <c r="R12" i="9"/>
  <c r="N9" i="9"/>
  <c r="Q9" i="9"/>
  <c r="R9" i="9"/>
  <c r="O9" i="9"/>
  <c r="O15" i="9"/>
  <c r="Q19" i="9"/>
  <c r="R20" i="9"/>
  <c r="O21" i="9"/>
  <c r="W21" i="9" s="1"/>
  <c r="Q25" i="9"/>
  <c r="R26" i="9"/>
  <c r="Q21" i="9"/>
  <c r="N4" i="9"/>
  <c r="N6" i="9"/>
  <c r="N10" i="9"/>
  <c r="N16" i="9"/>
  <c r="R21" i="9"/>
  <c r="N22" i="9"/>
  <c r="R27" i="9"/>
  <c r="Q4" i="9"/>
  <c r="O6" i="9"/>
  <c r="O10" i="9"/>
  <c r="O16" i="9"/>
  <c r="O22" i="9"/>
  <c r="Q10" i="9"/>
  <c r="O27" i="9"/>
  <c r="W27" i="9" s="1"/>
  <c r="X27" i="9" s="1"/>
  <c r="Q15" i="9"/>
  <c r="Q27" i="9"/>
  <c r="R15" i="9"/>
  <c r="N3" i="9"/>
  <c r="O3" i="9"/>
  <c r="Q3" i="9"/>
  <c r="W15" i="9"/>
  <c r="X15" i="9" s="1"/>
  <c r="Y15" i="9" s="1"/>
  <c r="N7" i="9"/>
  <c r="R5" i="9"/>
  <c r="O8" i="9"/>
  <c r="W8" i="9" s="1"/>
  <c r="R11" i="9"/>
  <c r="O14" i="9"/>
  <c r="W14" i="9" s="1"/>
  <c r="R17" i="9"/>
  <c r="O20" i="9"/>
  <c r="W20" i="9" s="1"/>
  <c r="R23" i="9"/>
  <c r="O26" i="9"/>
  <c r="W26" i="9" s="1"/>
  <c r="O4" i="9"/>
  <c r="R7" i="9"/>
  <c r="Q8" i="9"/>
  <c r="N11" i="9"/>
  <c r="R13" i="9"/>
  <c r="Q14" i="9"/>
  <c r="N17" i="9"/>
  <c r="R19" i="9"/>
  <c r="Q20" i="9"/>
  <c r="N23" i="9"/>
  <c r="R25" i="9"/>
  <c r="Q26" i="9"/>
  <c r="O17" i="9"/>
  <c r="O23" i="9"/>
  <c r="O5" i="9"/>
  <c r="O11" i="9"/>
  <c r="N13" i="9"/>
  <c r="N19" i="9"/>
  <c r="W19" i="9" s="1"/>
  <c r="N25" i="9"/>
  <c r="W25" i="9" s="1"/>
  <c r="C2" i="10"/>
  <c r="C3" i="10"/>
  <c r="C5" i="10"/>
  <c r="C21" i="10"/>
  <c r="L26" i="10"/>
  <c r="N26" i="10" s="1"/>
  <c r="H26" i="10"/>
  <c r="C26" i="10"/>
  <c r="L25" i="10"/>
  <c r="N25" i="10" s="1"/>
  <c r="H25" i="10"/>
  <c r="C25" i="10"/>
  <c r="L24" i="10"/>
  <c r="N24" i="10" s="1"/>
  <c r="H24" i="10"/>
  <c r="C24" i="10"/>
  <c r="L23" i="10"/>
  <c r="M23" i="10" s="1"/>
  <c r="H23" i="10"/>
  <c r="C23" i="10"/>
  <c r="L22" i="10"/>
  <c r="N22" i="10" s="1"/>
  <c r="H22" i="10"/>
  <c r="C22" i="10"/>
  <c r="L21" i="10"/>
  <c r="M21" i="10" s="1"/>
  <c r="H21" i="10"/>
  <c r="L20" i="10"/>
  <c r="N20" i="10" s="1"/>
  <c r="H20" i="10"/>
  <c r="C20" i="10"/>
  <c r="L19" i="10"/>
  <c r="N19" i="10" s="1"/>
  <c r="H19" i="10"/>
  <c r="C19" i="10"/>
  <c r="L18" i="10"/>
  <c r="N18" i="10" s="1"/>
  <c r="H18" i="10"/>
  <c r="C18" i="10"/>
  <c r="N17" i="10"/>
  <c r="L17" i="10"/>
  <c r="M17" i="10" s="1"/>
  <c r="H17" i="10"/>
  <c r="C17" i="10"/>
  <c r="N16" i="10"/>
  <c r="L16" i="10"/>
  <c r="M16" i="10" s="1"/>
  <c r="H16" i="10"/>
  <c r="C16" i="10"/>
  <c r="L15" i="10"/>
  <c r="M15" i="10" s="1"/>
  <c r="H15" i="10"/>
  <c r="C15" i="10"/>
  <c r="L14" i="10"/>
  <c r="N14" i="10" s="1"/>
  <c r="H14" i="10"/>
  <c r="C14" i="10"/>
  <c r="L13" i="10"/>
  <c r="N13" i="10" s="1"/>
  <c r="H13" i="10"/>
  <c r="C13" i="10"/>
  <c r="L12" i="10"/>
  <c r="N12" i="10" s="1"/>
  <c r="H12" i="10"/>
  <c r="C12" i="10"/>
  <c r="L11" i="10"/>
  <c r="M11" i="10" s="1"/>
  <c r="H11" i="10"/>
  <c r="C11" i="10"/>
  <c r="L10" i="10"/>
  <c r="M10" i="10" s="1"/>
  <c r="H10" i="10"/>
  <c r="C10" i="10"/>
  <c r="L9" i="10"/>
  <c r="M9" i="10" s="1"/>
  <c r="H9" i="10"/>
  <c r="C9" i="10"/>
  <c r="L8" i="10"/>
  <c r="N8" i="10" s="1"/>
  <c r="H8" i="10"/>
  <c r="C8" i="10"/>
  <c r="L7" i="10"/>
  <c r="N7" i="10" s="1"/>
  <c r="H7" i="10"/>
  <c r="C7" i="10"/>
  <c r="L6" i="10"/>
  <c r="N6" i="10" s="1"/>
  <c r="H6" i="10"/>
  <c r="C6" i="10"/>
  <c r="L5" i="10"/>
  <c r="M5" i="10" s="1"/>
  <c r="H5" i="10"/>
  <c r="N4" i="10"/>
  <c r="M4" i="10"/>
  <c r="L4" i="10"/>
  <c r="H4" i="10"/>
  <c r="C4" i="10"/>
  <c r="L3" i="10"/>
  <c r="M3" i="10" s="1"/>
  <c r="H3" i="10"/>
  <c r="L2" i="10"/>
  <c r="M2" i="10" s="1"/>
  <c r="H2" i="10"/>
  <c r="N11" i="10" l="1"/>
  <c r="W10" i="9"/>
  <c r="N10" i="10"/>
  <c r="N5" i="10"/>
  <c r="W7" i="9"/>
  <c r="N2" i="10"/>
  <c r="W3" i="9"/>
  <c r="M22" i="10"/>
  <c r="X3" i="9"/>
  <c r="Y3" i="9" s="1"/>
  <c r="N23" i="10"/>
  <c r="W4" i="9"/>
  <c r="X4" i="9" s="1"/>
  <c r="Y4" i="9" s="1"/>
  <c r="W16" i="9"/>
  <c r="X16" i="9" s="1"/>
  <c r="Y16" i="9" s="1"/>
  <c r="W9" i="9"/>
  <c r="X9" i="9" s="1"/>
  <c r="Y9" i="9" s="1"/>
  <c r="W13" i="9"/>
  <c r="X13" i="9" s="1"/>
  <c r="Y13" i="9" s="1"/>
  <c r="W22" i="9"/>
  <c r="W12" i="9"/>
  <c r="X12" i="9" s="1"/>
  <c r="Y12" i="9" s="1"/>
  <c r="W6" i="9"/>
  <c r="Y27" i="9"/>
  <c r="X21" i="9"/>
  <c r="Y21" i="9" s="1"/>
  <c r="X24" i="9"/>
  <c r="Y24" i="9" s="1"/>
  <c r="X8" i="9"/>
  <c r="Y8" i="9" s="1"/>
  <c r="X25" i="9"/>
  <c r="Y25" i="9" s="1"/>
  <c r="W17" i="9"/>
  <c r="W5" i="9"/>
  <c r="X5" i="9" s="1"/>
  <c r="X26" i="9"/>
  <c r="Y26" i="9" s="1"/>
  <c r="X20" i="9"/>
  <c r="Y20" i="9" s="1"/>
  <c r="X10" i="9"/>
  <c r="Y10" i="9"/>
  <c r="W23" i="9"/>
  <c r="W11" i="9"/>
  <c r="X22" i="9"/>
  <c r="Y22" i="9" s="1"/>
  <c r="X7" i="9"/>
  <c r="Y7" i="9" s="1"/>
  <c r="X18" i="9"/>
  <c r="Y18" i="9" s="1"/>
  <c r="X19" i="9"/>
  <c r="Y19" i="9" s="1"/>
  <c r="X14" i="9"/>
  <c r="Y14" i="9" s="1"/>
  <c r="N3" i="10"/>
  <c r="M8" i="10"/>
  <c r="N9" i="10"/>
  <c r="M14" i="10"/>
  <c r="N15" i="10"/>
  <c r="M20" i="10"/>
  <c r="N21" i="10"/>
  <c r="M26" i="10"/>
  <c r="M7" i="10"/>
  <c r="M13" i="10"/>
  <c r="M19" i="10"/>
  <c r="M25" i="10"/>
  <c r="M6" i="10"/>
  <c r="M12" i="10"/>
  <c r="M18" i="10"/>
  <c r="M24" i="10"/>
  <c r="X6" i="9" l="1"/>
  <c r="Y6" i="9"/>
  <c r="X23" i="9"/>
  <c r="Y23" i="9" s="1"/>
  <c r="Y5" i="9"/>
  <c r="X17" i="9"/>
  <c r="Y17" i="9" s="1"/>
  <c r="X11" i="9"/>
  <c r="Y11" i="9" s="1"/>
  <c r="AI5" i="8"/>
  <c r="AI6" i="8"/>
  <c r="AI7" i="8"/>
  <c r="AI8" i="8"/>
  <c r="AI9" i="8"/>
  <c r="AI10" i="8"/>
  <c r="AI11" i="8"/>
  <c r="AI12" i="8"/>
  <c r="AI13" i="8"/>
  <c r="AH5" i="8"/>
  <c r="AH6" i="8"/>
  <c r="AH7" i="8"/>
  <c r="AH8" i="8"/>
  <c r="AH9" i="8"/>
  <c r="AH10" i="8"/>
  <c r="AH11" i="8"/>
  <c r="AH12" i="8"/>
  <c r="AH13" i="8"/>
  <c r="AH4" i="8"/>
  <c r="AG5" i="8"/>
  <c r="AG6" i="8"/>
  <c r="AG7" i="8"/>
  <c r="AG8" i="8"/>
  <c r="AG9" i="8"/>
  <c r="AG10" i="8"/>
  <c r="AG11" i="8"/>
  <c r="AG12" i="8"/>
  <c r="AG13" i="8"/>
  <c r="AG4" i="8"/>
  <c r="AF5" i="8"/>
  <c r="AF6" i="8"/>
  <c r="AF7" i="8"/>
  <c r="AF8" i="8"/>
  <c r="AF9" i="8"/>
  <c r="AF10" i="8"/>
  <c r="AF11" i="8"/>
  <c r="AF12" i="8"/>
  <c r="AF13" i="8"/>
  <c r="AF4" i="8"/>
  <c r="AE5" i="8"/>
  <c r="AE6" i="8"/>
  <c r="AE7" i="8"/>
  <c r="AE8" i="8"/>
  <c r="AE9" i="8"/>
  <c r="AE10" i="8"/>
  <c r="AE11" i="8"/>
  <c r="AE12" i="8"/>
  <c r="AE13" i="8"/>
  <c r="AE4" i="8"/>
  <c r="AD5" i="8"/>
  <c r="AD6" i="8"/>
  <c r="AD7" i="8"/>
  <c r="AD8" i="8"/>
  <c r="AD9" i="8"/>
  <c r="AD10" i="8"/>
  <c r="AD11" i="8"/>
  <c r="AD12" i="8"/>
  <c r="AD13" i="8"/>
  <c r="Y4" i="8"/>
  <c r="AJ4" i="8" s="1"/>
  <c r="AJ13" i="8"/>
  <c r="AC5" i="8"/>
  <c r="AC6" i="8"/>
  <c r="AC7" i="8"/>
  <c r="AC8" i="8"/>
  <c r="AC9" i="8"/>
  <c r="AC10" i="8"/>
  <c r="AC11" i="8"/>
  <c r="AC12" i="8"/>
  <c r="AC13" i="8"/>
  <c r="AC4" i="8"/>
  <c r="AB5" i="8"/>
  <c r="AB6" i="8"/>
  <c r="AB7" i="8"/>
  <c r="AB8" i="8"/>
  <c r="AB9" i="8"/>
  <c r="AB10" i="8"/>
  <c r="AB11" i="8"/>
  <c r="AB12" i="8"/>
  <c r="AB13" i="8"/>
  <c r="AB4" i="8"/>
  <c r="AA5" i="8"/>
  <c r="AA6" i="8"/>
  <c r="AA7" i="8"/>
  <c r="AA8" i="8"/>
  <c r="AA9" i="8"/>
  <c r="AA10" i="8"/>
  <c r="AA11" i="8"/>
  <c r="AA12" i="8"/>
  <c r="AA13" i="8"/>
  <c r="AA4" i="8"/>
  <c r="Y5" i="8"/>
  <c r="AJ5" i="8" s="1"/>
  <c r="Y6" i="8"/>
  <c r="AJ6" i="8" s="1"/>
  <c r="Y7" i="8"/>
  <c r="AJ7" i="8" s="1"/>
  <c r="Y8" i="8"/>
  <c r="AJ8" i="8" s="1"/>
  <c r="Y9" i="8"/>
  <c r="AJ9" i="8" s="1"/>
  <c r="Y10" i="8"/>
  <c r="AJ10" i="8" s="1"/>
  <c r="Y11" i="8"/>
  <c r="AJ11" i="8" s="1"/>
  <c r="Y12" i="8"/>
  <c r="AJ12" i="8" s="1"/>
  <c r="Y13" i="8"/>
  <c r="Z7" i="8"/>
  <c r="Z8" i="8"/>
  <c r="Z9" i="8"/>
  <c r="Z10" i="8"/>
  <c r="Z11" i="8"/>
  <c r="Z12" i="8"/>
  <c r="Z13" i="8"/>
  <c r="Z5" i="8"/>
  <c r="Z6" i="8"/>
  <c r="E6" i="3" l="1"/>
  <c r="G6" i="3" s="1"/>
  <c r="E12" i="3"/>
  <c r="G12" i="3" s="1"/>
  <c r="E10" i="3"/>
  <c r="E8" i="3"/>
  <c r="G8" i="3" s="1"/>
  <c r="B2" i="3"/>
  <c r="K16" i="1"/>
  <c r="K7" i="1"/>
  <c r="K11" i="1"/>
  <c r="K18" i="1"/>
  <c r="K20" i="1"/>
  <c r="K9" i="1"/>
  <c r="K15" i="1"/>
  <c r="K10" i="1"/>
  <c r="K19" i="1"/>
  <c r="K14" i="1"/>
  <c r="K17" i="1"/>
  <c r="K5" i="1"/>
  <c r="K6" i="1"/>
  <c r="K8" i="1"/>
  <c r="K3" i="1"/>
  <c r="K12" i="1"/>
  <c r="K4" i="1"/>
  <c r="K13" i="1"/>
  <c r="J16" i="1"/>
  <c r="L16" i="1" s="1"/>
  <c r="J7" i="1"/>
  <c r="L7" i="1" s="1"/>
  <c r="J11" i="1"/>
  <c r="L11" i="1" s="1"/>
  <c r="J18" i="1"/>
  <c r="L18" i="1" s="1"/>
  <c r="J20" i="1"/>
  <c r="L20" i="1" s="1"/>
  <c r="J9" i="1"/>
  <c r="L9" i="1" s="1"/>
  <c r="J15" i="1"/>
  <c r="L15" i="1" s="1"/>
  <c r="J10" i="1"/>
  <c r="L10" i="1" s="1"/>
  <c r="J19" i="1"/>
  <c r="L19" i="1" s="1"/>
  <c r="J14" i="1"/>
  <c r="L14" i="1" s="1"/>
  <c r="J17" i="1"/>
  <c r="L17" i="1" s="1"/>
  <c r="J5" i="1"/>
  <c r="L5" i="1" s="1"/>
  <c r="J6" i="1"/>
  <c r="L6" i="1" s="1"/>
  <c r="J8" i="1"/>
  <c r="L8" i="1" s="1"/>
  <c r="J3" i="1"/>
  <c r="L3" i="1" s="1"/>
  <c r="J12" i="1"/>
  <c r="L12" i="1" s="1"/>
  <c r="J4" i="1"/>
  <c r="L4" i="1" s="1"/>
  <c r="J13" i="1"/>
  <c r="L13" i="1" s="1"/>
  <c r="H16" i="1"/>
  <c r="H7" i="1"/>
  <c r="H11" i="1"/>
  <c r="H18" i="1"/>
  <c r="H20" i="1"/>
  <c r="H9" i="1"/>
  <c r="H15" i="1"/>
  <c r="H10" i="1"/>
  <c r="H19" i="1"/>
  <c r="H14" i="1"/>
  <c r="H17" i="1"/>
  <c r="H5" i="1"/>
  <c r="H6" i="1"/>
  <c r="H8" i="1"/>
  <c r="H3" i="1"/>
  <c r="H12" i="1"/>
  <c r="H4" i="1"/>
  <c r="H13" i="1"/>
  <c r="G10" i="3" l="1"/>
  <c r="G14" i="3" s="1"/>
  <c r="E14" i="3"/>
  <c r="K21" i="1"/>
  <c r="L21" i="1"/>
  <c r="E21" i="3" l="1"/>
  <c r="G21" i="3" s="1"/>
  <c r="E19" i="3"/>
  <c r="G19" i="3" s="1"/>
  <c r="E17" i="3"/>
  <c r="G17" i="3" l="1"/>
  <c r="E23" i="3"/>
  <c r="G23" i="3" s="1"/>
</calcChain>
</file>

<file path=xl/sharedStrings.xml><?xml version="1.0" encoding="utf-8"?>
<sst xmlns="http://schemas.openxmlformats.org/spreadsheetml/2006/main" count="568" uniqueCount="240">
  <si>
    <t>№</t>
  </si>
  <si>
    <t>Наименование товара</t>
  </si>
  <si>
    <t>Бренд</t>
  </si>
  <si>
    <t>Дата поставки</t>
  </si>
  <si>
    <t>Кол-во проданного товара</t>
  </si>
  <si>
    <t>Остаток</t>
  </si>
  <si>
    <t>Стоимость товара в рублях за 1 шт.</t>
  </si>
  <si>
    <t>Общая сумма в рублях</t>
  </si>
  <si>
    <t>Общая сумма в евро</t>
  </si>
  <si>
    <t>Кол-во поступившего товара</t>
  </si>
  <si>
    <t>Учёт товаров</t>
  </si>
  <si>
    <t>Шорты</t>
  </si>
  <si>
    <t>Шарф</t>
  </si>
  <si>
    <t>Gucci</t>
  </si>
  <si>
    <t>Стоимость товара в евро за 1 шт.</t>
  </si>
  <si>
    <t>Итог</t>
  </si>
  <si>
    <t>Excel-магазин</t>
  </si>
  <si>
    <t>Магазин "Смартафон"</t>
  </si>
  <si>
    <t>Дата:</t>
  </si>
  <si>
    <t>Наименование</t>
  </si>
  <si>
    <t>Тип</t>
  </si>
  <si>
    <t>Цена в руб.</t>
  </si>
  <si>
    <t>Цена в евро</t>
  </si>
  <si>
    <t>Сенсорный</t>
  </si>
  <si>
    <t>Кнопочный</t>
  </si>
  <si>
    <t>Складной</t>
  </si>
  <si>
    <t xml:space="preserve">Полукнопочный </t>
  </si>
  <si>
    <t>Iphone</t>
  </si>
  <si>
    <t>Samsung Galaxy</t>
  </si>
  <si>
    <t>Google Pixel</t>
  </si>
  <si>
    <t>OnePlus</t>
  </si>
  <si>
    <t>Xiaomi Mi</t>
  </si>
  <si>
    <t>Nokia 3310</t>
  </si>
  <si>
    <t>Samsung Guru</t>
  </si>
  <si>
    <t>Alcatel 3025X</t>
  </si>
  <si>
    <t>Doro 5516</t>
  </si>
  <si>
    <t>Nokia 105</t>
  </si>
  <si>
    <t>Ценв руб.</t>
  </si>
  <si>
    <t>Samsung Galaxy Z Fold 3</t>
  </si>
  <si>
    <t>Samsung Galaxy Z Flip 3</t>
  </si>
  <si>
    <t>Motorola Razr 5G</t>
  </si>
  <si>
    <t>Huawei Mate X2</t>
  </si>
  <si>
    <t>Royole FlexPai</t>
  </si>
  <si>
    <t>Nokia 8110 4G</t>
  </si>
  <si>
    <t>Samsung Galaxy Folder</t>
  </si>
  <si>
    <t>LG Gentle</t>
  </si>
  <si>
    <t xml:space="preserve"> Alcatel Go Flip</t>
  </si>
  <si>
    <t xml:space="preserve"> Kyocera DuraXV Extreme</t>
  </si>
  <si>
    <t>Курс евро</t>
  </si>
  <si>
    <t>Сумма:</t>
  </si>
  <si>
    <t>Гарантия</t>
  </si>
  <si>
    <t>Доставка</t>
  </si>
  <si>
    <t>Скидка</t>
  </si>
  <si>
    <t>Полная стоимость заказа</t>
  </si>
  <si>
    <t>Месяц</t>
  </si>
  <si>
    <t xml:space="preserve">Фамилия </t>
  </si>
  <si>
    <t>Имя</t>
  </si>
  <si>
    <t>Отчество</t>
  </si>
  <si>
    <t>Февраль</t>
  </si>
  <si>
    <t>нб</t>
  </si>
  <si>
    <t>НБ</t>
  </si>
  <si>
    <t>"5"</t>
  </si>
  <si>
    <t>"4"</t>
  </si>
  <si>
    <t>"3"</t>
  </si>
  <si>
    <t>"2"</t>
  </si>
  <si>
    <t>Иванова</t>
  </si>
  <si>
    <t>Анна</t>
  </si>
  <si>
    <t>Петровна</t>
  </si>
  <si>
    <t>Игоревич</t>
  </si>
  <si>
    <t>Сергеевна</t>
  </si>
  <si>
    <t>Александрович</t>
  </si>
  <si>
    <t>Анатольевна</t>
  </si>
  <si>
    <t>Викторович</t>
  </si>
  <si>
    <t>Васильевна</t>
  </si>
  <si>
    <t>Денисович</t>
  </si>
  <si>
    <t>Алексеевна</t>
  </si>
  <si>
    <t>Степанович</t>
  </si>
  <si>
    <t>Владимир</t>
  </si>
  <si>
    <t>Екатерина</t>
  </si>
  <si>
    <t>Дмитрий</t>
  </si>
  <si>
    <t>Ольга</t>
  </si>
  <si>
    <t>Андрей</t>
  </si>
  <si>
    <t>Мария</t>
  </si>
  <si>
    <t>Павел</t>
  </si>
  <si>
    <t>Елена</t>
  </si>
  <si>
    <t>Артем</t>
  </si>
  <si>
    <t>Козлова</t>
  </si>
  <si>
    <t>Попов</t>
  </si>
  <si>
    <t>Соколова</t>
  </si>
  <si>
    <t>Морозов</t>
  </si>
  <si>
    <t>Никитина</t>
  </si>
  <si>
    <t>Лебедев</t>
  </si>
  <si>
    <t>Кузнецова</t>
  </si>
  <si>
    <t>Смирнов</t>
  </si>
  <si>
    <t>Белов</t>
  </si>
  <si>
    <t>Примечание</t>
  </si>
  <si>
    <t>Март</t>
  </si>
  <si>
    <t>Оценки за февраль</t>
  </si>
  <si>
    <t>Оценки за март</t>
  </si>
  <si>
    <t>Должность</t>
  </si>
  <si>
    <t>Принадлежность к штату</t>
  </si>
  <si>
    <t>Образование</t>
  </si>
  <si>
    <t>Пол</t>
  </si>
  <si>
    <t>Год рождения</t>
  </si>
  <si>
    <t>Возраст</t>
  </si>
  <si>
    <t>Год приёма на работу</t>
  </si>
  <si>
    <t>Оклад в рублях</t>
  </si>
  <si>
    <t>Стаж</t>
  </si>
  <si>
    <t>Надбавка 1 (За стаж)</t>
  </si>
  <si>
    <t>Надбавка 2 (за пол)</t>
  </si>
  <si>
    <t>Штат</t>
  </si>
  <si>
    <t>Высш.</t>
  </si>
  <si>
    <t>Ж</t>
  </si>
  <si>
    <t>Совм</t>
  </si>
  <si>
    <t>Сред. Проф.</t>
  </si>
  <si>
    <t>М</t>
  </si>
  <si>
    <t>HR-специалист</t>
  </si>
  <si>
    <t>Маркетолог</t>
  </si>
  <si>
    <t>Бухгалтер</t>
  </si>
  <si>
    <t>Дизайнер</t>
  </si>
  <si>
    <t>Архитектор</t>
  </si>
  <si>
    <t>Системный администратор</t>
  </si>
  <si>
    <t>Тестировщик</t>
  </si>
  <si>
    <t>Логист</t>
  </si>
  <si>
    <t>Юрист</t>
  </si>
  <si>
    <t>Специалист по закупкам</t>
  </si>
  <si>
    <t>Инженер-конструктор</t>
  </si>
  <si>
    <t>№ Отдела</t>
  </si>
  <si>
    <t>ФИО Сотрудников</t>
  </si>
  <si>
    <t> Иванова Елена Александровна</t>
  </si>
  <si>
    <t>Петров Сергей Владимирович</t>
  </si>
  <si>
    <t>Смирнова Ольга Анатольевна</t>
  </si>
  <si>
    <t>Кузнецов Андрей Дмитриевич</t>
  </si>
  <si>
    <t>Васильева Наталья Ивановна</t>
  </si>
  <si>
    <t>Никитин Денис Алексеевич</t>
  </si>
  <si>
    <t>Козлова Татьяна Петровна</t>
  </si>
  <si>
    <t>Морозов Игорь Сергеевич</t>
  </si>
  <si>
    <t>Павлова Екатерина Викторовна</t>
  </si>
  <si>
    <t>Соколов Александр Павлович</t>
  </si>
  <si>
    <t>Лебедева Марина Алексеевна</t>
  </si>
  <si>
    <t>Козлов Илья Васильевич</t>
  </si>
  <si>
    <t>Попова Евгения Дмитриевна</t>
  </si>
  <si>
    <t>Семенов Артем Николаевич</t>
  </si>
  <si>
    <t>Кузьмина Анна Степановна</t>
  </si>
  <si>
    <t>Ильин Михаил Валерьевич</t>
  </si>
  <si>
    <t>Григорьева Светлана Александровна</t>
  </si>
  <si>
    <t>Титов Дмитрий Игоревич</t>
  </si>
  <si>
    <t>Макарова Оксана Андреевна</t>
  </si>
  <si>
    <t>Зайцев Алексей Юрьевич</t>
  </si>
  <si>
    <t>Белова Елена Владимировна</t>
  </si>
  <si>
    <t>Романов Артур Станиславович</t>
  </si>
  <si>
    <t>Жукова Людмила Ивановна</t>
  </si>
  <si>
    <t>Федоров Иван Анатольевич</t>
  </si>
  <si>
    <t>Дмитриева Ольга Николаевна</t>
  </si>
  <si>
    <t>Директор</t>
  </si>
  <si>
    <t>Менеджер по персоналу</t>
  </si>
  <si>
    <t>Финансовый директор</t>
  </si>
  <si>
    <t>Продажи</t>
  </si>
  <si>
    <t>Аналитик</t>
  </si>
  <si>
    <t>Программист</t>
  </si>
  <si>
    <t>Копирайтер</t>
  </si>
  <si>
    <t>Специалист по качеству</t>
  </si>
  <si>
    <t>Администратор</t>
  </si>
  <si>
    <t>Технический директор</t>
  </si>
  <si>
    <t>Веб-разработчик</t>
  </si>
  <si>
    <t>PR-менеджер</t>
  </si>
  <si>
    <t>Специалист по маркетингу</t>
  </si>
  <si>
    <t>Консультант по обучению</t>
  </si>
  <si>
    <t>ФИО сотрудника</t>
  </si>
  <si>
    <t>№ отдела</t>
  </si>
  <si>
    <t xml:space="preserve">Год рождения </t>
  </si>
  <si>
    <t>Год приема на работу</t>
  </si>
  <si>
    <t>Надбавка 1 (за стаж)</t>
  </si>
  <si>
    <t>Надбавка 3 (пенсионеры)</t>
  </si>
  <si>
    <t>Признак 1 (ветеран труда)</t>
  </si>
  <si>
    <t>Признак 2 (молодой специалист)</t>
  </si>
  <si>
    <t>Признак 3 (призывник)</t>
  </si>
  <si>
    <t>Признак 4 (пенсионер)</t>
  </si>
  <si>
    <t>Примия к 8 марта</t>
  </si>
  <si>
    <t>Премия к 23 февраля</t>
  </si>
  <si>
    <t>Доход</t>
  </si>
  <si>
    <t>Налог с общей суммой дохода</t>
  </si>
  <si>
    <t>Итоговая сумма зп</t>
  </si>
  <si>
    <t>шт</t>
  </si>
  <si>
    <t>совм</t>
  </si>
  <si>
    <t>премия</t>
  </si>
  <si>
    <t>Средние значение для каждого отдела</t>
  </si>
  <si>
    <t>Оклад</t>
  </si>
  <si>
    <t xml:space="preserve">Пижама </t>
  </si>
  <si>
    <t xml:space="preserve">Диффузор </t>
  </si>
  <si>
    <t xml:space="preserve">Чайник </t>
  </si>
  <si>
    <t>Скраб для тела</t>
  </si>
  <si>
    <t>Косметичка</t>
  </si>
  <si>
    <t xml:space="preserve">Подставки для книг </t>
  </si>
  <si>
    <t>Свеча</t>
  </si>
  <si>
    <t>Одеяло</t>
  </si>
  <si>
    <t>Подушка</t>
  </si>
  <si>
    <t>Ваза</t>
  </si>
  <si>
    <t>Мыло</t>
  </si>
  <si>
    <t>Фоторамка</t>
  </si>
  <si>
    <t>Чайный набор</t>
  </si>
  <si>
    <t>Шкатулка</t>
  </si>
  <si>
    <t xml:space="preserve"> Плед</t>
  </si>
  <si>
    <t xml:space="preserve">Кружка </t>
  </si>
  <si>
    <t>12 мая 2024</t>
  </si>
  <si>
    <t>27 сентября 2024</t>
  </si>
  <si>
    <t>5 июля 2024</t>
  </si>
  <si>
    <t>18 ноября 2024</t>
  </si>
  <si>
    <t>9 апреля 2024</t>
  </si>
  <si>
    <t>22 августа 2024</t>
  </si>
  <si>
    <t>3 октября 2024</t>
  </si>
  <si>
    <t>14 декабря 2024</t>
  </si>
  <si>
    <t>8 июня 2024</t>
  </si>
  <si>
    <t>19 февраля 2024</t>
  </si>
  <si>
    <t>7 марта 2024</t>
  </si>
  <si>
    <t>25 июля 2024</t>
  </si>
  <si>
    <t>11 апреля 2024</t>
  </si>
  <si>
    <t>30 сентября 2024</t>
  </si>
  <si>
    <t>2 января 2024</t>
  </si>
  <si>
    <t>20 марта 2024</t>
  </si>
  <si>
    <t>6 ноября 2024</t>
  </si>
  <si>
    <t>15 августа 2024</t>
  </si>
  <si>
    <t>Coca-Cola</t>
  </si>
  <si>
    <t>Apple</t>
  </si>
  <si>
    <t>Nike</t>
  </si>
  <si>
    <t>McDonald's</t>
  </si>
  <si>
    <t>Google</t>
  </si>
  <si>
    <t>Amazon</t>
  </si>
  <si>
    <t>Microsoft</t>
  </si>
  <si>
    <t>Disney</t>
  </si>
  <si>
    <t>Samsung</t>
  </si>
  <si>
    <t>Toyota</t>
  </si>
  <si>
    <t>Adidas</t>
  </si>
  <si>
    <t>BMW</t>
  </si>
  <si>
    <t>Louis Vuitton</t>
  </si>
  <si>
    <t>Chanel</t>
  </si>
  <si>
    <t>Mercedes-Benz</t>
  </si>
  <si>
    <t>Sony</t>
  </si>
  <si>
    <t>Starbucks</t>
  </si>
  <si>
    <t>переоформление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</si>
</sst>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* #,##0.00\ [$₽-419]_-;\-* #,##0.00\ [$₽-419]_-;_-* &quot;-&quot;??\ [$₽-419]_-;_-@_-"/>
    <numFmt numFmtId="166" formatCode="[$-F800]dddd\,\ mmmm\ dd\,\ yyyy"/>
    <numFmt numFmtId="167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Segoe UI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3" borderId="7">
      <alignment horizontal="center" vertical="center" wrapText="1"/>
    </xf>
    <xf numFmtId="0" fontId="1" fillId="6" borderId="0" applyNumberFormat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5" fontId="0" fillId="0" borderId="2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/>
    <xf numFmtId="0" fontId="0" fillId="4" borderId="15" xfId="0" applyFill="1" applyBorder="1"/>
    <xf numFmtId="0" fontId="0" fillId="4" borderId="14" xfId="0" applyFill="1" applyBorder="1"/>
    <xf numFmtId="0" fontId="0" fillId="4" borderId="4" xfId="0" applyFill="1" applyBorder="1"/>
    <xf numFmtId="44" fontId="0" fillId="4" borderId="0" xfId="1" applyFont="1" applyFill="1" applyBorder="1"/>
    <xf numFmtId="164" fontId="0" fillId="4" borderId="15" xfId="0" applyNumberForma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3" xfId="0" applyFill="1" applyBorder="1"/>
    <xf numFmtId="0" fontId="0" fillId="5" borderId="13" xfId="0" applyFill="1" applyBorder="1"/>
    <xf numFmtId="44" fontId="0" fillId="5" borderId="13" xfId="1" applyFont="1" applyFill="1" applyBorder="1"/>
    <xf numFmtId="164" fontId="0" fillId="5" borderId="13" xfId="0" applyNumberFormat="1" applyFill="1" applyBorder="1"/>
    <xf numFmtId="0" fontId="0" fillId="5" borderId="19" xfId="0" applyFill="1" applyBorder="1"/>
    <xf numFmtId="0" fontId="0" fillId="5" borderId="4" xfId="0" applyFill="1" applyBorder="1"/>
    <xf numFmtId="14" fontId="0" fillId="5" borderId="19" xfId="0" applyNumberFormat="1" applyFill="1" applyBorder="1"/>
    <xf numFmtId="165" fontId="0" fillId="5" borderId="0" xfId="0" applyNumberFormat="1" applyFill="1"/>
    <xf numFmtId="164" fontId="0" fillId="5" borderId="15" xfId="0" applyNumberFormat="1" applyFill="1" applyBorder="1"/>
    <xf numFmtId="44" fontId="0" fillId="5" borderId="17" xfId="0" applyNumberFormat="1" applyFill="1" applyBorder="1"/>
    <xf numFmtId="164" fontId="0" fillId="4" borderId="18" xfId="0" applyNumberFormat="1" applyFill="1" applyBorder="1"/>
    <xf numFmtId="0" fontId="4" fillId="0" borderId="0" xfId="0" applyFont="1"/>
    <xf numFmtId="0" fontId="4" fillId="0" borderId="7" xfId="0" applyFont="1" applyBorder="1"/>
    <xf numFmtId="0" fontId="5" fillId="0" borderId="7" xfId="0" applyFont="1" applyBorder="1"/>
    <xf numFmtId="0" fontId="4" fillId="0" borderId="27" xfId="0" applyFont="1" applyBorder="1"/>
    <xf numFmtId="0" fontId="4" fillId="0" borderId="22" xfId="0" applyFont="1" applyBorder="1"/>
    <xf numFmtId="0" fontId="5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0" xfId="0" applyFont="1" applyBorder="1"/>
    <xf numFmtId="0" fontId="4" fillId="0" borderId="31" xfId="0" applyFont="1" applyBorder="1"/>
    <xf numFmtId="0" fontId="5" fillId="0" borderId="22" xfId="0" applyFont="1" applyBorder="1"/>
    <xf numFmtId="0" fontId="4" fillId="0" borderId="23" xfId="0" applyFont="1" applyBorder="1"/>
    <xf numFmtId="0" fontId="4" fillId="0" borderId="26" xfId="0" applyFont="1" applyBorder="1"/>
    <xf numFmtId="0" fontId="4" fillId="0" borderId="21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12" xfId="0" applyFont="1" applyBorder="1"/>
    <xf numFmtId="0" fontId="4" fillId="0" borderId="33" xfId="0" applyFont="1" applyBorder="1"/>
    <xf numFmtId="0" fontId="4" fillId="0" borderId="36" xfId="0" applyFont="1" applyBorder="1"/>
    <xf numFmtId="0" fontId="4" fillId="0" borderId="8" xfId="0" applyFont="1" applyBorder="1"/>
    <xf numFmtId="0" fontId="4" fillId="0" borderId="37" xfId="0" applyFont="1" applyBorder="1"/>
    <xf numFmtId="0" fontId="4" fillId="0" borderId="2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4" fontId="7" fillId="0" borderId="0" xfId="0" applyNumberFormat="1" applyFont="1"/>
    <xf numFmtId="167" fontId="6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0" fillId="0" borderId="7" xfId="0" applyBorder="1"/>
    <xf numFmtId="44" fontId="0" fillId="0" borderId="7" xfId="0" applyNumberFormat="1" applyBorder="1"/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7" xfId="0" applyBorder="1" applyAlignment="1">
      <alignment horizontal="center"/>
    </xf>
    <xf numFmtId="44" fontId="9" fillId="0" borderId="7" xfId="0" applyNumberFormat="1" applyFont="1" applyBorder="1"/>
    <xf numFmtId="44" fontId="0" fillId="0" borderId="7" xfId="1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165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5" fontId="0" fillId="0" borderId="23" xfId="0" applyNumberFormat="1" applyBorder="1"/>
    <xf numFmtId="0" fontId="0" fillId="0" borderId="24" xfId="0" applyBorder="1"/>
    <xf numFmtId="0" fontId="0" fillId="0" borderId="25" xfId="0" applyBorder="1"/>
    <xf numFmtId="44" fontId="0" fillId="0" borderId="25" xfId="0" applyNumberFormat="1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9" fillId="0" borderId="25" xfId="0" applyFont="1" applyBorder="1"/>
    <xf numFmtId="0" fontId="0" fillId="0" borderId="25" xfId="0" applyBorder="1" applyAlignment="1">
      <alignment horizontal="center"/>
    </xf>
    <xf numFmtId="44" fontId="9" fillId="0" borderId="25" xfId="0" applyNumberFormat="1" applyFont="1" applyBorder="1"/>
    <xf numFmtId="44" fontId="0" fillId="0" borderId="25" xfId="1" applyFon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165" fontId="0" fillId="0" borderId="25" xfId="0" applyNumberFormat="1" applyBorder="1"/>
    <xf numFmtId="165" fontId="0" fillId="0" borderId="26" xfId="0" applyNumberFormat="1" applyBorder="1"/>
    <xf numFmtId="44" fontId="0" fillId="0" borderId="26" xfId="0" applyNumberForma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7" xfId="2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vertical="center"/>
    </xf>
    <xf numFmtId="0" fontId="1" fillId="6" borderId="0" xfId="3"/>
    <xf numFmtId="0" fontId="1" fillId="6" borderId="3" xfId="3" applyBorder="1" applyAlignment="1">
      <alignment horizontal="center"/>
    </xf>
    <xf numFmtId="0" fontId="1" fillId="6" borderId="4" xfId="3" applyBorder="1" applyAlignment="1">
      <alignment horizontal="center"/>
    </xf>
    <xf numFmtId="0" fontId="1" fillId="6" borderId="5" xfId="3" applyBorder="1" applyAlignment="1">
      <alignment horizontal="center"/>
    </xf>
    <xf numFmtId="0" fontId="1" fillId="6" borderId="10" xfId="3" applyBorder="1" applyAlignment="1">
      <alignment horizontal="center" vertical="center" wrapText="1"/>
    </xf>
    <xf numFmtId="0" fontId="1" fillId="6" borderId="2" xfId="3" applyBorder="1" applyAlignment="1">
      <alignment horizontal="center" vertical="center" wrapText="1"/>
    </xf>
    <xf numFmtId="165" fontId="1" fillId="6" borderId="2" xfId="3" applyNumberFormat="1" applyBorder="1" applyAlignment="1">
      <alignment horizontal="center" vertical="center" wrapText="1"/>
    </xf>
    <xf numFmtId="0" fontId="1" fillId="6" borderId="6" xfId="3" applyBorder="1" applyAlignment="1">
      <alignment horizontal="center" vertical="center" wrapText="1"/>
    </xf>
    <xf numFmtId="0" fontId="1" fillId="6" borderId="11" xfId="3" applyBorder="1" applyAlignment="1">
      <alignment horizontal="center" vertical="center"/>
    </xf>
    <xf numFmtId="0" fontId="1" fillId="6" borderId="8" xfId="3" applyBorder="1" applyAlignment="1">
      <alignment horizontal="center" vertical="center"/>
    </xf>
    <xf numFmtId="166" fontId="1" fillId="6" borderId="8" xfId="3" applyNumberFormat="1" applyBorder="1" applyAlignment="1">
      <alignment horizontal="center" vertical="center"/>
    </xf>
    <xf numFmtId="165" fontId="1" fillId="6" borderId="8" xfId="3" applyNumberFormat="1" applyBorder="1" applyAlignment="1">
      <alignment horizontal="center" vertical="center"/>
    </xf>
    <xf numFmtId="164" fontId="1" fillId="6" borderId="8" xfId="3" applyNumberFormat="1" applyBorder="1" applyAlignment="1">
      <alignment vertical="center"/>
    </xf>
    <xf numFmtId="165" fontId="1" fillId="6" borderId="8" xfId="3" applyNumberFormat="1" applyBorder="1" applyAlignment="1">
      <alignment vertical="center"/>
    </xf>
    <xf numFmtId="0" fontId="1" fillId="6" borderId="12" xfId="3" applyBorder="1" applyAlignment="1">
      <alignment horizontal="center" vertical="center"/>
    </xf>
    <xf numFmtId="0" fontId="1" fillId="6" borderId="7" xfId="3" applyBorder="1" applyAlignment="1">
      <alignment horizontal="center" vertical="center"/>
    </xf>
    <xf numFmtId="166" fontId="1" fillId="6" borderId="7" xfId="3" applyNumberFormat="1" applyBorder="1" applyAlignment="1">
      <alignment horizontal="center" vertical="center"/>
    </xf>
    <xf numFmtId="165" fontId="1" fillId="6" borderId="7" xfId="3" applyNumberFormat="1" applyBorder="1" applyAlignment="1">
      <alignment horizontal="center" vertical="center"/>
    </xf>
    <xf numFmtId="164" fontId="1" fillId="6" borderId="7" xfId="3" applyNumberFormat="1" applyBorder="1" applyAlignment="1">
      <alignment vertical="center"/>
    </xf>
    <xf numFmtId="165" fontId="1" fillId="6" borderId="7" xfId="3" applyNumberFormat="1" applyBorder="1" applyAlignment="1">
      <alignment vertical="center"/>
    </xf>
    <xf numFmtId="164" fontId="1" fillId="6" borderId="9" xfId="3" applyNumberFormat="1" applyBorder="1" applyAlignment="1">
      <alignment vertical="center"/>
    </xf>
    <xf numFmtId="165" fontId="1" fillId="6" borderId="9" xfId="3" applyNumberFormat="1" applyBorder="1" applyAlignment="1">
      <alignment vertical="center"/>
    </xf>
    <xf numFmtId="0" fontId="1" fillId="6" borderId="0" xfId="3" applyAlignment="1">
      <alignment horizontal="center" vertical="center"/>
    </xf>
    <xf numFmtId="165" fontId="1" fillId="6" borderId="0" xfId="3" applyNumberFormat="1" applyAlignment="1">
      <alignment vertical="center"/>
    </xf>
    <xf numFmtId="0" fontId="1" fillId="6" borderId="1" xfId="3" applyBorder="1" applyAlignment="1">
      <alignment vertical="center"/>
    </xf>
    <xf numFmtId="165" fontId="1" fillId="6" borderId="2" xfId="3" applyNumberFormat="1" applyBorder="1" applyAlignment="1">
      <alignment vertical="center"/>
    </xf>
    <xf numFmtId="164" fontId="1" fillId="6" borderId="6" xfId="3" applyNumberFormat="1" applyBorder="1" applyAlignment="1">
      <alignment vertical="center"/>
    </xf>
    <xf numFmtId="0" fontId="1" fillId="6" borderId="12" xfId="3" applyBorder="1" applyAlignment="1">
      <alignment horizontal="center" vertical="center" wrapText="1"/>
    </xf>
  </cellXfs>
  <cellStyles count="4">
    <cellStyle name="40% — акцент1" xfId="3" builtinId="31"/>
    <cellStyle name="Денежный" xfId="1" builtinId="4"/>
    <cellStyle name="Обычный" xfId="0" builtinId="0"/>
    <cellStyle name="Стиль 1" xfId="2" xr:uid="{00000000-0005-0000-0000-000002000000}"/>
  </cellStyles>
  <dxfs count="19"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₽-419]_-;\-* #,##0.00\ [$₽-419]_-;_-* &quot;-&quot;??\ [$₽-419]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₽-419]_-;\-* #,##0.00\ [$₽-419]_-;_-* &quot;-&quot;??\ [$₽-419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-F800]dddd\,\ mmmm\ dd\,\ 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77151919329051"/>
          <c:y val="4.5816832960124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'Учёт товаров '!$G$2</c:f>
              <c:strCache>
                <c:ptCount val="1"/>
                <c:pt idx="0">
                  <c:v>Кол-во проданного товара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'Учёт товаров '!$C$3:$C$20</c:f>
              <c:strCache>
                <c:ptCount val="18"/>
                <c:pt idx="0">
                  <c:v>Пижама </c:v>
                </c:pt>
                <c:pt idx="1">
                  <c:v>Диффузор </c:v>
                </c:pt>
                <c:pt idx="2">
                  <c:v>Чайник </c:v>
                </c:pt>
                <c:pt idx="3">
                  <c:v>Скраб для тела</c:v>
                </c:pt>
                <c:pt idx="4">
                  <c:v>Шарф</c:v>
                </c:pt>
                <c:pt idx="5">
                  <c:v>Косметичка</c:v>
                </c:pt>
                <c:pt idx="6">
                  <c:v>Подставки для книг </c:v>
                </c:pt>
                <c:pt idx="7">
                  <c:v>Свеча</c:v>
                </c:pt>
                <c:pt idx="8">
                  <c:v>Одеяло</c:v>
                </c:pt>
                <c:pt idx="9">
                  <c:v>Подушка</c:v>
                </c:pt>
                <c:pt idx="10">
                  <c:v>Ваза</c:v>
                </c:pt>
                <c:pt idx="11">
                  <c:v>Мыло</c:v>
                </c:pt>
                <c:pt idx="12">
                  <c:v>Фоторамка</c:v>
                </c:pt>
                <c:pt idx="13">
                  <c:v>Чайный набор</c:v>
                </c:pt>
                <c:pt idx="14">
                  <c:v>Шкатулка</c:v>
                </c:pt>
                <c:pt idx="15">
                  <c:v> Плед</c:v>
                </c:pt>
                <c:pt idx="16">
                  <c:v>Кружка </c:v>
                </c:pt>
                <c:pt idx="17">
                  <c:v>Шорты</c:v>
                </c:pt>
              </c:strCache>
            </c:strRef>
          </c:cat>
          <c:val>
            <c:numRef>
              <c:f>'Учёт товаров '!$G$3:$G$20</c:f>
              <c:numCache>
                <c:formatCode>General</c:formatCode>
                <c:ptCount val="18"/>
                <c:pt idx="0">
                  <c:v>367</c:v>
                </c:pt>
                <c:pt idx="1">
                  <c:v>321</c:v>
                </c:pt>
                <c:pt idx="2">
                  <c:v>187</c:v>
                </c:pt>
                <c:pt idx="3">
                  <c:v>233</c:v>
                </c:pt>
                <c:pt idx="4">
                  <c:v>280</c:v>
                </c:pt>
                <c:pt idx="5">
                  <c:v>252</c:v>
                </c:pt>
                <c:pt idx="6">
                  <c:v>235</c:v>
                </c:pt>
                <c:pt idx="7">
                  <c:v>198</c:v>
                </c:pt>
                <c:pt idx="8">
                  <c:v>296</c:v>
                </c:pt>
                <c:pt idx="9">
                  <c:v>261</c:v>
                </c:pt>
                <c:pt idx="10">
                  <c:v>120</c:v>
                </c:pt>
                <c:pt idx="11">
                  <c:v>223</c:v>
                </c:pt>
                <c:pt idx="12">
                  <c:v>154</c:v>
                </c:pt>
                <c:pt idx="13">
                  <c:v>245</c:v>
                </c:pt>
                <c:pt idx="14">
                  <c:v>254</c:v>
                </c:pt>
                <c:pt idx="15">
                  <c:v>250</c:v>
                </c:pt>
                <c:pt idx="16">
                  <c:v>267</c:v>
                </c:pt>
                <c:pt idx="17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0-4378-B790-0691F759A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973552"/>
        <c:axId val="512933592"/>
      </c:barChart>
      <c:catAx>
        <c:axId val="6319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933592"/>
        <c:crosses val="autoZero"/>
        <c:auto val="1"/>
        <c:lblAlgn val="ctr"/>
        <c:lblOffset val="100"/>
        <c:noMultiLvlLbl val="0"/>
      </c:catAx>
      <c:valAx>
        <c:axId val="51293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9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35311053054645"/>
          <c:y val="0.90572806546772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49259143137878"/>
          <c:y val="0.17423829299831076"/>
          <c:w val="0.82584714801264092"/>
          <c:h val="0.63933358066224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'Учёт товаров '!$I$2</c:f>
              <c:strCache>
                <c:ptCount val="1"/>
                <c:pt idx="0">
                  <c:v> Стоимость товара в рублях за 1 шт.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86157625354334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D-4B0A-A456-476679D518C9}"/>
                </c:ext>
              </c:extLst>
            </c:dLbl>
            <c:dLbl>
              <c:idx val="1"/>
              <c:layout>
                <c:manualLayout>
                  <c:x val="-1.943697064864387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D-4B0A-A456-476679D518C9}"/>
                </c:ext>
              </c:extLst>
            </c:dLbl>
            <c:dLbl>
              <c:idx val="5"/>
              <c:layout>
                <c:manualLayout>
                  <c:x val="0"/>
                  <c:y val="-6.40413783664046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D-4B0A-A456-476679D518C9}"/>
                </c:ext>
              </c:extLst>
            </c:dLbl>
            <c:dLbl>
              <c:idx val="6"/>
              <c:layout>
                <c:manualLayout>
                  <c:x val="0"/>
                  <c:y val="9.14876833805779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D-4B0A-A456-476679D518C9}"/>
                </c:ext>
              </c:extLst>
            </c:dLbl>
            <c:dLbl>
              <c:idx val="7"/>
              <c:layout>
                <c:manualLayout>
                  <c:x val="0"/>
                  <c:y val="-6.40413783664045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D-4B0A-A456-476679D51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'Учёт товаров '!$C$3:$C$20</c15:sqref>
                  </c15:fullRef>
                </c:ext>
              </c:extLst>
              <c:f>('Учёт товаров '!$C$4:$C$5,'Учёт товаров '!$C$9:$C$11,'Учёт товаров '!$C$13:$C$14,'Учёт товаров '!$C$17,'Учёт товаров '!$C$19)</c:f>
              <c:strCache>
                <c:ptCount val="9"/>
                <c:pt idx="0">
                  <c:v>Диффузор </c:v>
                </c:pt>
                <c:pt idx="1">
                  <c:v>Чайник </c:v>
                </c:pt>
                <c:pt idx="2">
                  <c:v>Подставки для книг </c:v>
                </c:pt>
                <c:pt idx="3">
                  <c:v>Свеча</c:v>
                </c:pt>
                <c:pt idx="4">
                  <c:v>Одеяло</c:v>
                </c:pt>
                <c:pt idx="5">
                  <c:v>Ваза</c:v>
                </c:pt>
                <c:pt idx="6">
                  <c:v>Мыло</c:v>
                </c:pt>
                <c:pt idx="7">
                  <c:v>Шкатулка</c:v>
                </c:pt>
                <c:pt idx="8">
                  <c:v>Кружка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'Учёт товаров '!$I$3:$I$20</c15:sqref>
                  </c15:fullRef>
                </c:ext>
              </c:extLst>
              <c:f>('Учёт товаров '!$I$4:$I$5,'Учёт товаров '!$I$9:$I$11,'Учёт товаров '!$I$13:$I$14,'Учёт товаров '!$I$17,'Учёт товаров '!$I$19)</c:f>
              <c:numCache>
                <c:formatCode>_-* #\ ##0.00\ [$₽-419]_-;\-* #\ ##0.00\ [$₽-419]_-;_-* "-"??\ [$₽-419]_-;_-@_-</c:formatCode>
                <c:ptCount val="9"/>
                <c:pt idx="0">
                  <c:v>8763</c:v>
                </c:pt>
                <c:pt idx="1">
                  <c:v>11345</c:v>
                </c:pt>
                <c:pt idx="2">
                  <c:v>9782</c:v>
                </c:pt>
                <c:pt idx="3">
                  <c:v>12456</c:v>
                </c:pt>
                <c:pt idx="4">
                  <c:v>16789</c:v>
                </c:pt>
                <c:pt idx="5">
                  <c:v>18765</c:v>
                </c:pt>
                <c:pt idx="6">
                  <c:v>14567</c:v>
                </c:pt>
                <c:pt idx="7">
                  <c:v>13456</c:v>
                </c:pt>
                <c:pt idx="8">
                  <c:v>16789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D-4B0A-A456-476679D51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895648"/>
        <c:axId val="678890968"/>
      </c:barChart>
      <c:catAx>
        <c:axId val="6788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890968"/>
        <c:crosses val="autoZero"/>
        <c:auto val="1"/>
        <c:lblAlgn val="ctr"/>
        <c:lblOffset val="100"/>
        <c:noMultiLvlLbl val="0"/>
      </c:catAx>
      <c:valAx>
        <c:axId val="6788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8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Оценки</a:t>
            </a:r>
            <a:r>
              <a:rPr lang="ru-RU" baseline="0"/>
              <a:t> за март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Эл.журнал!$AE$3</c:f>
              <c:strCache>
                <c:ptCount val="1"/>
                <c:pt idx="0">
                  <c:v>"5"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Эл.журнал!$AE$4:$AE$13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4-4DCD-A9DE-8927B32B48AB}"/>
            </c:ext>
          </c:extLst>
        </c:ser>
        <c:ser>
          <c:idx val="1"/>
          <c:order val="1"/>
          <c:tx>
            <c:strRef>
              <c:f>Эл.журнал!$AF$3</c:f>
              <c:strCache>
                <c:ptCount val="1"/>
                <c:pt idx="0">
                  <c:v>"4"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Эл.журнал!$AF$4:$AF$13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4-4DCD-A9DE-8927B32B48AB}"/>
            </c:ext>
          </c:extLst>
        </c:ser>
        <c:ser>
          <c:idx val="2"/>
          <c:order val="2"/>
          <c:tx>
            <c:strRef>
              <c:f>Эл.журнал!$AG$3</c:f>
              <c:strCache>
                <c:ptCount val="1"/>
                <c:pt idx="0">
                  <c:v>"3"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Эл.журнал!$AG$4:$AG$13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4-4DCD-A9DE-8927B32B48AB}"/>
            </c:ext>
          </c:extLst>
        </c:ser>
        <c:ser>
          <c:idx val="3"/>
          <c:order val="3"/>
          <c:tx>
            <c:strRef>
              <c:f>Эл.журнал!$AH$3</c:f>
              <c:strCache>
                <c:ptCount val="1"/>
                <c:pt idx="0">
                  <c:v>"2"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Эл.журнал!$AH$4:$AH$13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4-4DCD-A9DE-8927B32B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50504"/>
        <c:axId val="729449064"/>
      </c:barChart>
      <c:catAx>
        <c:axId val="7294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449064"/>
        <c:crosses val="autoZero"/>
        <c:auto val="1"/>
        <c:lblAlgn val="ctr"/>
        <c:lblOffset val="100"/>
        <c:noMultiLvlLbl val="0"/>
      </c:catAx>
      <c:valAx>
        <c:axId val="7294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45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Посещяемость</a:t>
            </a:r>
            <a:r>
              <a:rPr lang="ru-RU" baseline="0"/>
              <a:t> за февраль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Эл.журнал!$Y$3</c:f>
              <c:strCache>
                <c:ptCount val="1"/>
                <c:pt idx="0">
                  <c:v>НБ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Эл.журнал!$Y$4:$Y$13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6-4E6B-9796-13C0D2C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50568"/>
        <c:axId val="732848768"/>
      </c:barChart>
      <c:catAx>
        <c:axId val="7328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48768"/>
        <c:crosses val="autoZero"/>
        <c:auto val="1"/>
        <c:lblAlgn val="ctr"/>
        <c:lblOffset val="100"/>
        <c:noMultiLvlLbl val="0"/>
      </c:catAx>
      <c:valAx>
        <c:axId val="732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Эл.журнал!$AI$2:$AI$4</c:f>
              <c:strCache>
                <c:ptCount val="3"/>
                <c:pt idx="0">
                  <c:v>Итог</c:v>
                </c:pt>
                <c:pt idx="2">
                  <c:v>н/а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Эл.журнал!$B$4:$B$13</c:f>
              <c:strCache>
                <c:ptCount val="10"/>
                <c:pt idx="0">
                  <c:v>Иванова</c:v>
                </c:pt>
                <c:pt idx="1">
                  <c:v>Смирнов</c:v>
                </c:pt>
                <c:pt idx="2">
                  <c:v>Козлова</c:v>
                </c:pt>
                <c:pt idx="3">
                  <c:v>Попов</c:v>
                </c:pt>
                <c:pt idx="4">
                  <c:v>Соколова</c:v>
                </c:pt>
                <c:pt idx="5">
                  <c:v>Морозов</c:v>
                </c:pt>
                <c:pt idx="6">
                  <c:v>Никитина</c:v>
                </c:pt>
                <c:pt idx="7">
                  <c:v>Лебедев</c:v>
                </c:pt>
                <c:pt idx="8">
                  <c:v>Кузнецова</c:v>
                </c:pt>
                <c:pt idx="9">
                  <c:v>Белов</c:v>
                </c:pt>
              </c:strCache>
            </c:strRef>
          </c:cat>
          <c:val>
            <c:numRef>
              <c:f>Эл.журнал!$AI$5:$AI$13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F-41D1-BEF1-6D317033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56760"/>
        <c:axId val="514053880"/>
      </c:barChart>
      <c:catAx>
        <c:axId val="5140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53880"/>
        <c:crosses val="autoZero"/>
        <c:auto val="1"/>
        <c:lblAlgn val="ctr"/>
        <c:lblOffset val="100"/>
        <c:noMultiLvlLbl val="0"/>
      </c:catAx>
      <c:valAx>
        <c:axId val="5140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Сенсорный!$C$3" fmlaRange="Сенсорный!$A$2:$A$6" noThreeD="1" sel="1" val="0"/>
</file>

<file path=xl/ctrlProps/ctrlProp2.xml><?xml version="1.0" encoding="utf-8"?>
<formControlPr xmlns="http://schemas.microsoft.com/office/spreadsheetml/2009/9/main" objectType="Drop" dropStyle="combo" dx="22" fmlaLink="'Кнопочный '!$C$3" fmlaRange="'Кнопочный '!$A$2:$A$6" noThreeD="1" sel="4" val="0"/>
</file>

<file path=xl/ctrlProps/ctrlProp3.xml><?xml version="1.0" encoding="utf-8"?>
<formControlPr xmlns="http://schemas.microsoft.com/office/spreadsheetml/2009/9/main" objectType="Drop" dropStyle="combo" dx="22" fmlaLink="Складной!$C$3" fmlaRange="Складной!$A$2:$A$6" noThreeD="1" sel="1" val="0"/>
</file>

<file path=xl/ctrlProps/ctrlProp4.xml><?xml version="1.0" encoding="utf-8"?>
<formControlPr xmlns="http://schemas.microsoft.com/office/spreadsheetml/2009/9/main" objectType="Drop" dropStyle="combo" dx="22" fmlaLink="Полукнопочный!$C$3" fmlaRange="Полукнопочный!$A$2:$A$6" noThreeD="1" sel="2" val="0"/>
</file>

<file path=xl/ctrlProps/ctrlProp5.xml><?xml version="1.0" encoding="utf-8"?>
<formControlPr xmlns="http://schemas.microsoft.com/office/spreadsheetml/2009/9/main" objectType="Radio" checked="Checked" firstButton="1" fmlaLink="$I$15" lockText="1" noThreeD="1"/>
</file>

<file path=xl/ctrlProps/ctrlProp6.xml><?xml version="1.0" encoding="utf-8"?>
<formControlPr xmlns="http://schemas.microsoft.com/office/spreadsheetml/2009/9/main" objectType="CheckBox" checked="Checked" fmlaLink="$I$19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1140366</xdr:colOff>
      <xdr:row>22</xdr:row>
      <xdr:rowOff>91882</xdr:rowOff>
    </xdr:from>
    <xdr:to>
      <xdr:col>7</xdr:col>
      <xdr:colOff>247163</xdr:colOff>
      <xdr:row>36</xdr:row>
      <xdr:rowOff>136176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504202</xdr:colOff>
      <xdr:row>22</xdr:row>
      <xdr:rowOff>97414</xdr:rowOff>
    </xdr:from>
    <xdr:to>
      <xdr:col>12</xdr:col>
      <xdr:colOff>578840</xdr:colOff>
      <xdr:row>36</xdr:row>
      <xdr:rowOff>146131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1076325</xdr:colOff>
          <xdr:row>4</xdr:row>
          <xdr:rowOff>190500</xdr:rowOff>
        </xdr:from>
        <xdr:to>
          <xdr:col>4</xdr:col>
          <xdr:colOff>9525</xdr:colOff>
          <xdr:row>6</xdr:row>
          <xdr:rowOff>9525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9525</xdr:rowOff>
        </xdr:from>
        <xdr:to>
          <xdr:col>4</xdr:col>
          <xdr:colOff>9525</xdr:colOff>
          <xdr:row>8</xdr:row>
          <xdr:rowOff>19050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1076325</xdr:colOff>
          <xdr:row>9</xdr:row>
          <xdr:rowOff>9525</xdr:rowOff>
        </xdr:from>
        <xdr:to>
          <xdr:col>4</xdr:col>
          <xdr:colOff>9525</xdr:colOff>
          <xdr:row>10</xdr:row>
          <xdr:rowOff>19050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1085850</xdr:colOff>
          <xdr:row>11</xdr:row>
          <xdr:rowOff>9525</xdr:rowOff>
        </xdr:from>
        <xdr:to>
          <xdr:col>4</xdr:col>
          <xdr:colOff>19050</xdr:colOff>
          <xdr:row>12</xdr:row>
          <xdr:rowOff>19050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161925</xdr:rowOff>
        </xdr:from>
        <xdr:to>
          <xdr:col>1</xdr:col>
          <xdr:colOff>676275</xdr:colOff>
          <xdr:row>17</xdr:row>
          <xdr:rowOff>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 мес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0</xdr:rowOff>
        </xdr:from>
        <xdr:to>
          <xdr:col>1</xdr:col>
          <xdr:colOff>619125</xdr:colOff>
          <xdr:row>18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Нужна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714375</xdr:colOff>
          <xdr:row>16</xdr:row>
          <xdr:rowOff>0</xdr:rowOff>
        </xdr:from>
        <xdr:to>
          <xdr:col>3</xdr:col>
          <xdr:colOff>38100</xdr:colOff>
          <xdr:row>17</xdr:row>
          <xdr:rowOff>19050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 мес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158969</xdr:rowOff>
    </xdr:from>
    <xdr:to>
      <xdr:col>9</xdr:col>
      <xdr:colOff>0</xdr:colOff>
      <xdr:row>27</xdr:row>
      <xdr:rowOff>143204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0A5D44-22AB-398B-3709-053171211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114957</xdr:colOff>
      <xdr:row>13</xdr:row>
      <xdr:rowOff>139261</xdr:rowOff>
    </xdr:from>
    <xdr:to>
      <xdr:col>35</xdr:col>
      <xdr:colOff>745577</xdr:colOff>
      <xdr:row>27</xdr:row>
      <xdr:rowOff>123496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0B81A5-0A6A-787C-659A-F5AF06173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75543</xdr:colOff>
      <xdr:row>3</xdr:row>
      <xdr:rowOff>80142</xdr:rowOff>
    </xdr:from>
    <xdr:to>
      <xdr:col>31</xdr:col>
      <xdr:colOff>200353</xdr:colOff>
      <xdr:row>14</xdr:row>
      <xdr:rowOff>208894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34B262-49E6-36B8-7F1B-AC7B750D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B2013-F885-4A01-BB2C-0A2318BE89AF}" name="Таблица1" displayName="Таблица1" ref="P2:AA20" totalsRowShown="0" headerRowDxfId="1" dataDxfId="2" tableBorderDxfId="14" headerRowCellStyle="40% — акцент1" dataCellStyle="40% — акцент1">
  <autoFilter ref="P2:AA20" xr:uid="{52DB2013-F885-4A01-BB2C-0A2318BE89AF}"/>
  <tableColumns count="12">
    <tableColumn id="1" xr3:uid="{FE33166F-C554-469B-8908-A90EBFBAFB8D}" name="Excel-магазин" dataDxfId="0" dataCellStyle="40% — акцент1"/>
    <tableColumn id="2" xr3:uid="{3F5B1BF2-5FFA-4D2F-8648-B35A165C9491}" name="№" dataDxfId="13" dataCellStyle="40% — акцент1"/>
    <tableColumn id="3" xr3:uid="{336B4726-A1F4-41FD-90C6-8EAFFF0B67E7}" name="Наименование товара" dataDxfId="12" dataCellStyle="40% — акцент1"/>
    <tableColumn id="4" xr3:uid="{5AA66B9D-566E-4B09-A43E-BB0B12B7AAE5}" name="Бренд" dataDxfId="11" dataCellStyle="40% — акцент1"/>
    <tableColumn id="5" xr3:uid="{5F16FBCB-414E-48BF-8A2A-C58CB23F550A}" name="Дата поставки" dataDxfId="10" dataCellStyle="40% — акцент1"/>
    <tableColumn id="6" xr3:uid="{A8AA7C0B-750C-43D5-B390-A134808DFD74}" name="Кол-во поступившего товара" dataDxfId="9" dataCellStyle="40% — акцент1"/>
    <tableColumn id="7" xr3:uid="{2D3B570C-128E-4BF8-8CA0-28C456BADB8D}" name="Кол-во проданного товара" dataDxfId="8" dataCellStyle="40% — акцент1"/>
    <tableColumn id="8" xr3:uid="{771D2042-B046-4F83-AFB3-E2CD4C034B7A}" name="Остаток" dataDxfId="7" dataCellStyle="40% — акцент1">
      <calculatedColumnFormula>U3-V3</calculatedColumnFormula>
    </tableColumn>
    <tableColumn id="9" xr3:uid="{9138780F-FA02-4185-BDDB-16453AC7EF62}" name="Стоимость товара в рублях за 1 шт." dataDxfId="6" dataCellStyle="40% — акцент1"/>
    <tableColumn id="10" xr3:uid="{B3DBC297-EF38-4ADF-9030-165756482FEA}" name="Стоимость товара в евро за 1 шт." dataDxfId="5" dataCellStyle="40% — акцент1">
      <calculatedColumnFormula>X3/$N$2</calculatedColumnFormula>
    </tableColumn>
    <tableColumn id="11" xr3:uid="{A05027AC-129B-4AB2-944E-F3067A8BED7C}" name="Общая сумма в рублях" dataDxfId="4" dataCellStyle="40% — акцент1">
      <calculatedColumnFormula>X3*V3</calculatedColumnFormula>
    </tableColumn>
    <tableColumn id="12" xr3:uid="{391E21BE-7D6E-40F8-87FD-C998B7534651}" name="Общая сумма в евро" dataDxfId="3" dataCellStyle="40% — акцент1">
      <calculatedColumnFormula>Y3*V3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zoomScaleNormal="100" workbookViewId="0">
      <selection activeCell="A2" sqref="A2"/>
    </sheetView>
  </sheetViews>
  <sheetFormatPr defaultRowHeight="15" x14ac:dyDescent="0.25"/>
  <sheetData>
    <row r="2" spans="1:1" x14ac:dyDescent="0.25">
      <c r="A2" t="s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7"/>
  <sheetViews>
    <sheetView zoomScale="85" zoomScaleNormal="85" workbookViewId="0">
      <selection activeCell="L2" sqref="L2:L26"/>
    </sheetView>
  </sheetViews>
  <sheetFormatPr defaultRowHeight="15" x14ac:dyDescent="0.25"/>
  <cols>
    <col min="1" max="1" width="4.28515625" bestFit="1" customWidth="1"/>
    <col min="2" max="2" width="42.5703125" bestFit="1" customWidth="1"/>
    <col min="3" max="3" width="13.140625" bestFit="1" customWidth="1"/>
    <col min="4" max="4" width="41.5703125" bestFit="1" customWidth="1"/>
    <col min="5" max="5" width="10" bestFit="1" customWidth="1"/>
    <col min="6" max="6" width="15.42578125" bestFit="1" customWidth="1"/>
    <col min="7" max="7" width="5.85546875" bestFit="1" customWidth="1"/>
    <col min="8" max="8" width="17.5703125" bestFit="1" customWidth="1"/>
    <col min="9" max="9" width="10.140625" bestFit="1" customWidth="1"/>
    <col min="10" max="10" width="12.28515625" bestFit="1" customWidth="1"/>
    <col min="11" max="11" width="20" bestFit="1" customWidth="1"/>
    <col min="12" max="12" width="7.140625" bestFit="1" customWidth="1"/>
    <col min="13" max="13" width="14.7109375" bestFit="1" customWidth="1"/>
    <col min="14" max="14" width="18.85546875" bestFit="1" customWidth="1"/>
  </cols>
  <sheetData>
    <row r="1" spans="1:14" ht="75" x14ac:dyDescent="0.25">
      <c r="A1" s="72" t="s">
        <v>0</v>
      </c>
      <c r="B1" s="72" t="s">
        <v>128</v>
      </c>
      <c r="C1" s="72" t="s">
        <v>127</v>
      </c>
      <c r="D1" s="72" t="s">
        <v>99</v>
      </c>
      <c r="E1" s="72" t="s">
        <v>100</v>
      </c>
      <c r="F1" s="72" t="s">
        <v>101</v>
      </c>
      <c r="G1" s="72" t="s">
        <v>102</v>
      </c>
      <c r="H1" s="72" t="s">
        <v>103</v>
      </c>
      <c r="I1" s="72" t="s">
        <v>104</v>
      </c>
      <c r="J1" s="72" t="s">
        <v>105</v>
      </c>
      <c r="K1" s="72" t="s">
        <v>106</v>
      </c>
      <c r="L1" s="72" t="s">
        <v>107</v>
      </c>
      <c r="M1" s="72" t="s">
        <v>108</v>
      </c>
      <c r="N1" s="72" t="s">
        <v>109</v>
      </c>
    </row>
    <row r="2" spans="1:14" ht="18.75" x14ac:dyDescent="0.3">
      <c r="A2" s="73">
        <v>1</v>
      </c>
      <c r="B2" s="78" t="s">
        <v>129</v>
      </c>
      <c r="C2" s="73">
        <f ca="1">RANDBETWEEN(1,8)</f>
        <v>8</v>
      </c>
      <c r="D2" s="77" t="s">
        <v>154</v>
      </c>
      <c r="E2" s="73" t="s">
        <v>110</v>
      </c>
      <c r="F2" s="73" t="s">
        <v>111</v>
      </c>
      <c r="G2" s="73" t="s">
        <v>112</v>
      </c>
      <c r="H2" s="74">
        <f>2024-I2</f>
        <v>1994</v>
      </c>
      <c r="I2" s="74">
        <v>30</v>
      </c>
      <c r="J2" s="74">
        <v>2000</v>
      </c>
      <c r="K2" s="75">
        <v>300000</v>
      </c>
      <c r="L2" s="74">
        <f>2024-J2</f>
        <v>24</v>
      </c>
      <c r="M2" s="76">
        <f>IF(L2&gt;=15,K2*25%,IF(AND(L2&gt;=10,L2&lt;15),K2*10%,0))</f>
        <v>75000</v>
      </c>
      <c r="N2" s="79">
        <f>IF(G2="Ж",IF(L2&gt;=0,K2*200%,0),IF(G2="М",IF(L2&gt;=10,K2*100%,0),0))</f>
        <v>600000</v>
      </c>
    </row>
    <row r="3" spans="1:14" ht="18.75" x14ac:dyDescent="0.3">
      <c r="A3" s="73">
        <v>2</v>
      </c>
      <c r="B3" s="78" t="s">
        <v>130</v>
      </c>
      <c r="C3" s="73">
        <f t="shared" ref="C3:C26" ca="1" si="0">RANDBETWEEN(1,8)</f>
        <v>6</v>
      </c>
      <c r="D3" s="77" t="s">
        <v>155</v>
      </c>
      <c r="E3" s="73" t="s">
        <v>113</v>
      </c>
      <c r="F3" s="73" t="s">
        <v>114</v>
      </c>
      <c r="G3" s="73" t="s">
        <v>115</v>
      </c>
      <c r="H3" s="74">
        <f t="shared" ref="H3:H26" si="1">2024-I3</f>
        <v>2001</v>
      </c>
      <c r="I3" s="74">
        <v>23</v>
      </c>
      <c r="J3" s="74">
        <v>2017</v>
      </c>
      <c r="K3" s="75">
        <v>100382</v>
      </c>
      <c r="L3" s="74">
        <f t="shared" ref="L3:L26" si="2">2024-J3</f>
        <v>7</v>
      </c>
      <c r="M3" s="76">
        <f t="shared" ref="M3:M26" si="3">IF(L3&gt;=15,K3*25%,IF(AND(L3&gt;=10,L3&lt;15),K3*10%,0))</f>
        <v>0</v>
      </c>
      <c r="N3" s="79">
        <f t="shared" ref="N3:N26" si="4">IF(G3="Ж",IF(L3&gt;=0,K3*200%,0),IF(G3="М",IF(L3&gt;=10,K3*100%,0),0))</f>
        <v>0</v>
      </c>
    </row>
    <row r="4" spans="1:14" ht="18.75" x14ac:dyDescent="0.3">
      <c r="A4" s="73">
        <v>3</v>
      </c>
      <c r="B4" s="78" t="s">
        <v>131</v>
      </c>
      <c r="C4" s="73">
        <f t="shared" ca="1" si="0"/>
        <v>4</v>
      </c>
      <c r="D4" s="77" t="s">
        <v>156</v>
      </c>
      <c r="E4" s="73" t="s">
        <v>110</v>
      </c>
      <c r="F4" s="73" t="s">
        <v>111</v>
      </c>
      <c r="G4" s="73" t="s">
        <v>112</v>
      </c>
      <c r="H4" s="74">
        <f t="shared" si="1"/>
        <v>1989</v>
      </c>
      <c r="I4" s="74">
        <v>35</v>
      </c>
      <c r="J4" s="74">
        <v>2002</v>
      </c>
      <c r="K4" s="75">
        <v>200500</v>
      </c>
      <c r="L4" s="74">
        <f t="shared" si="2"/>
        <v>22</v>
      </c>
      <c r="M4" s="76">
        <f t="shared" si="3"/>
        <v>50125</v>
      </c>
      <c r="N4" s="79">
        <f t="shared" si="4"/>
        <v>401000</v>
      </c>
    </row>
    <row r="5" spans="1:14" ht="18.75" x14ac:dyDescent="0.3">
      <c r="A5" s="73">
        <v>4</v>
      </c>
      <c r="B5" s="78" t="s">
        <v>132</v>
      </c>
      <c r="C5" s="73">
        <f t="shared" ca="1" si="0"/>
        <v>5</v>
      </c>
      <c r="D5" s="77" t="s">
        <v>118</v>
      </c>
      <c r="E5" s="73" t="s">
        <v>113</v>
      </c>
      <c r="F5" s="73" t="s">
        <v>111</v>
      </c>
      <c r="G5" s="73" t="s">
        <v>115</v>
      </c>
      <c r="H5" s="74">
        <f t="shared" si="1"/>
        <v>1987</v>
      </c>
      <c r="I5" s="74">
        <v>37</v>
      </c>
      <c r="J5" s="74">
        <v>2005</v>
      </c>
      <c r="K5" s="75">
        <v>201960</v>
      </c>
      <c r="L5" s="74">
        <f t="shared" si="2"/>
        <v>19</v>
      </c>
      <c r="M5" s="76">
        <f t="shared" si="3"/>
        <v>50490</v>
      </c>
      <c r="N5" s="79">
        <f t="shared" si="4"/>
        <v>201960</v>
      </c>
    </row>
    <row r="6" spans="1:14" ht="18.75" x14ac:dyDescent="0.3">
      <c r="A6" s="73">
        <v>5</v>
      </c>
      <c r="B6" s="78" t="s">
        <v>133</v>
      </c>
      <c r="C6" s="73">
        <f t="shared" ca="1" si="0"/>
        <v>3</v>
      </c>
      <c r="D6" s="77" t="s">
        <v>124</v>
      </c>
      <c r="E6" s="73" t="s">
        <v>113</v>
      </c>
      <c r="F6" s="73" t="s">
        <v>114</v>
      </c>
      <c r="G6" s="73" t="s">
        <v>112</v>
      </c>
      <c r="H6" s="74">
        <f t="shared" si="1"/>
        <v>1959</v>
      </c>
      <c r="I6" s="74">
        <v>65</v>
      </c>
      <c r="J6" s="74">
        <v>2017</v>
      </c>
      <c r="K6" s="75">
        <v>105700</v>
      </c>
      <c r="L6" s="74">
        <f t="shared" si="2"/>
        <v>7</v>
      </c>
      <c r="M6" s="76">
        <f t="shared" si="3"/>
        <v>0</v>
      </c>
      <c r="N6" s="79">
        <f t="shared" si="4"/>
        <v>211400</v>
      </c>
    </row>
    <row r="7" spans="1:14" ht="18.75" x14ac:dyDescent="0.3">
      <c r="A7" s="73">
        <v>6</v>
      </c>
      <c r="B7" s="78" t="s">
        <v>134</v>
      </c>
      <c r="C7" s="73">
        <f t="shared" ca="1" si="0"/>
        <v>2</v>
      </c>
      <c r="D7" s="77" t="s">
        <v>117</v>
      </c>
      <c r="E7" s="73" t="s">
        <v>113</v>
      </c>
      <c r="F7" s="73" t="s">
        <v>114</v>
      </c>
      <c r="G7" s="73" t="s">
        <v>115</v>
      </c>
      <c r="H7" s="74">
        <f t="shared" si="1"/>
        <v>2005</v>
      </c>
      <c r="I7" s="74">
        <v>19</v>
      </c>
      <c r="J7" s="74">
        <v>2023</v>
      </c>
      <c r="K7" s="75">
        <v>85500</v>
      </c>
      <c r="L7" s="74">
        <f t="shared" si="2"/>
        <v>1</v>
      </c>
      <c r="M7" s="76">
        <f t="shared" si="3"/>
        <v>0</v>
      </c>
      <c r="N7" s="79">
        <f t="shared" si="4"/>
        <v>0</v>
      </c>
    </row>
    <row r="8" spans="1:14" ht="18.75" x14ac:dyDescent="0.3">
      <c r="A8" s="73">
        <v>7</v>
      </c>
      <c r="B8" s="78" t="s">
        <v>135</v>
      </c>
      <c r="C8" s="73">
        <f t="shared" ca="1" si="0"/>
        <v>2</v>
      </c>
      <c r="D8" s="77" t="s">
        <v>157</v>
      </c>
      <c r="E8" s="73" t="s">
        <v>110</v>
      </c>
      <c r="F8" s="73" t="s">
        <v>114</v>
      </c>
      <c r="G8" s="73" t="s">
        <v>112</v>
      </c>
      <c r="H8" s="74">
        <f t="shared" si="1"/>
        <v>2001</v>
      </c>
      <c r="I8" s="74">
        <v>23</v>
      </c>
      <c r="J8" s="74">
        <v>2001</v>
      </c>
      <c r="K8" s="75">
        <v>155555</v>
      </c>
      <c r="L8" s="74">
        <f t="shared" si="2"/>
        <v>23</v>
      </c>
      <c r="M8" s="76">
        <f t="shared" si="3"/>
        <v>38888.75</v>
      </c>
      <c r="N8" s="79">
        <f t="shared" si="4"/>
        <v>311110</v>
      </c>
    </row>
    <row r="9" spans="1:14" ht="18.75" x14ac:dyDescent="0.3">
      <c r="A9" s="73">
        <v>8</v>
      </c>
      <c r="B9" s="78" t="s">
        <v>136</v>
      </c>
      <c r="C9" s="73">
        <f t="shared" ca="1" si="0"/>
        <v>1</v>
      </c>
      <c r="D9" s="77" t="s">
        <v>158</v>
      </c>
      <c r="E9" s="73" t="s">
        <v>113</v>
      </c>
      <c r="F9" s="73" t="s">
        <v>111</v>
      </c>
      <c r="G9" s="73" t="s">
        <v>115</v>
      </c>
      <c r="H9" s="74">
        <f t="shared" si="1"/>
        <v>1992</v>
      </c>
      <c r="I9" s="74">
        <v>32</v>
      </c>
      <c r="J9" s="74">
        <v>2018</v>
      </c>
      <c r="K9" s="75">
        <v>180600</v>
      </c>
      <c r="L9" s="74">
        <f t="shared" si="2"/>
        <v>6</v>
      </c>
      <c r="M9" s="76">
        <f t="shared" si="3"/>
        <v>0</v>
      </c>
      <c r="N9" s="79">
        <f t="shared" si="4"/>
        <v>0</v>
      </c>
    </row>
    <row r="10" spans="1:14" ht="18.75" x14ac:dyDescent="0.3">
      <c r="A10" s="73">
        <v>9</v>
      </c>
      <c r="B10" s="78" t="s">
        <v>137</v>
      </c>
      <c r="C10" s="73">
        <f t="shared" ca="1" si="0"/>
        <v>5</v>
      </c>
      <c r="D10" s="77" t="s">
        <v>126</v>
      </c>
      <c r="E10" s="73" t="s">
        <v>110</v>
      </c>
      <c r="F10" s="73" t="s">
        <v>111</v>
      </c>
      <c r="G10" s="73" t="s">
        <v>112</v>
      </c>
      <c r="H10" s="74">
        <f t="shared" si="1"/>
        <v>1986</v>
      </c>
      <c r="I10" s="74">
        <v>38</v>
      </c>
      <c r="J10" s="74">
        <v>2004</v>
      </c>
      <c r="K10" s="75">
        <v>190000</v>
      </c>
      <c r="L10" s="74">
        <f t="shared" si="2"/>
        <v>20</v>
      </c>
      <c r="M10" s="76">
        <f t="shared" si="3"/>
        <v>47500</v>
      </c>
      <c r="N10" s="79">
        <f t="shared" si="4"/>
        <v>380000</v>
      </c>
    </row>
    <row r="11" spans="1:14" ht="18.75" x14ac:dyDescent="0.3">
      <c r="A11" s="73">
        <v>10</v>
      </c>
      <c r="B11" s="78" t="s">
        <v>138</v>
      </c>
      <c r="C11" s="73">
        <f t="shared" ca="1" si="0"/>
        <v>1</v>
      </c>
      <c r="D11" s="77" t="s">
        <v>159</v>
      </c>
      <c r="E11" s="73" t="s">
        <v>110</v>
      </c>
      <c r="F11" s="73" t="s">
        <v>111</v>
      </c>
      <c r="G11" s="73" t="s">
        <v>115</v>
      </c>
      <c r="H11" s="74">
        <f t="shared" si="1"/>
        <v>1999</v>
      </c>
      <c r="I11" s="74">
        <v>25</v>
      </c>
      <c r="J11" s="74">
        <v>2017</v>
      </c>
      <c r="K11" s="75">
        <v>278900</v>
      </c>
      <c r="L11" s="74">
        <f t="shared" si="2"/>
        <v>7</v>
      </c>
      <c r="M11" s="76">
        <f t="shared" si="3"/>
        <v>0</v>
      </c>
      <c r="N11" s="79">
        <f t="shared" si="4"/>
        <v>0</v>
      </c>
    </row>
    <row r="12" spans="1:14" ht="18.75" x14ac:dyDescent="0.3">
      <c r="A12" s="73">
        <v>11</v>
      </c>
      <c r="B12" s="78" t="s">
        <v>139</v>
      </c>
      <c r="C12" s="73">
        <f t="shared" ca="1" si="0"/>
        <v>3</v>
      </c>
      <c r="D12" s="77" t="s">
        <v>119</v>
      </c>
      <c r="E12" s="73" t="s">
        <v>113</v>
      </c>
      <c r="F12" s="73" t="s">
        <v>114</v>
      </c>
      <c r="G12" s="73" t="s">
        <v>112</v>
      </c>
      <c r="H12" s="74">
        <f t="shared" si="1"/>
        <v>1987</v>
      </c>
      <c r="I12" s="74">
        <v>37</v>
      </c>
      <c r="J12" s="74">
        <v>2003</v>
      </c>
      <c r="K12" s="75">
        <v>125666</v>
      </c>
      <c r="L12" s="74">
        <f t="shared" si="2"/>
        <v>21</v>
      </c>
      <c r="M12" s="76">
        <f t="shared" si="3"/>
        <v>31416.5</v>
      </c>
      <c r="N12" s="79">
        <f t="shared" si="4"/>
        <v>251332</v>
      </c>
    </row>
    <row r="13" spans="1:14" ht="18.75" x14ac:dyDescent="0.3">
      <c r="A13" s="73">
        <v>12</v>
      </c>
      <c r="B13" s="78" t="s">
        <v>140</v>
      </c>
      <c r="C13" s="73">
        <f t="shared" ca="1" si="0"/>
        <v>3</v>
      </c>
      <c r="D13" s="77" t="s">
        <v>160</v>
      </c>
      <c r="E13" s="73" t="s">
        <v>113</v>
      </c>
      <c r="F13" s="73" t="s">
        <v>114</v>
      </c>
      <c r="G13" s="73" t="s">
        <v>115</v>
      </c>
      <c r="H13" s="74">
        <f t="shared" si="1"/>
        <v>1995</v>
      </c>
      <c r="I13" s="74">
        <v>29</v>
      </c>
      <c r="J13" s="74">
        <v>2016</v>
      </c>
      <c r="K13" s="75">
        <v>100000</v>
      </c>
      <c r="L13" s="74">
        <f t="shared" si="2"/>
        <v>8</v>
      </c>
      <c r="M13" s="76">
        <f t="shared" si="3"/>
        <v>0</v>
      </c>
      <c r="N13" s="79">
        <f t="shared" si="4"/>
        <v>0</v>
      </c>
    </row>
    <row r="14" spans="1:14" ht="18.75" x14ac:dyDescent="0.3">
      <c r="A14" s="73">
        <v>13</v>
      </c>
      <c r="B14" s="78" t="s">
        <v>141</v>
      </c>
      <c r="C14" s="73">
        <f t="shared" ca="1" si="0"/>
        <v>1</v>
      </c>
      <c r="D14" s="77" t="s">
        <v>161</v>
      </c>
      <c r="E14" s="73" t="s">
        <v>110</v>
      </c>
      <c r="F14" s="73" t="s">
        <v>111</v>
      </c>
      <c r="G14" s="73" t="s">
        <v>112</v>
      </c>
      <c r="H14" s="74">
        <f t="shared" si="1"/>
        <v>1978</v>
      </c>
      <c r="I14" s="74">
        <v>46</v>
      </c>
      <c r="J14" s="74">
        <v>2004</v>
      </c>
      <c r="K14" s="75">
        <v>187936</v>
      </c>
      <c r="L14" s="74">
        <f t="shared" si="2"/>
        <v>20</v>
      </c>
      <c r="M14" s="76">
        <f t="shared" si="3"/>
        <v>46984</v>
      </c>
      <c r="N14" s="79">
        <f t="shared" si="4"/>
        <v>375872</v>
      </c>
    </row>
    <row r="15" spans="1:14" ht="18.75" x14ac:dyDescent="0.3">
      <c r="A15" s="73">
        <v>14</v>
      </c>
      <c r="B15" s="78" t="s">
        <v>142</v>
      </c>
      <c r="C15" s="73">
        <f t="shared" ca="1" si="0"/>
        <v>1</v>
      </c>
      <c r="D15" s="77" t="s">
        <v>123</v>
      </c>
      <c r="E15" s="73" t="s">
        <v>113</v>
      </c>
      <c r="F15" s="73" t="s">
        <v>111</v>
      </c>
      <c r="G15" s="73" t="s">
        <v>115</v>
      </c>
      <c r="H15" s="74">
        <f t="shared" si="1"/>
        <v>2002</v>
      </c>
      <c r="I15" s="74">
        <v>22</v>
      </c>
      <c r="J15" s="74">
        <v>2019</v>
      </c>
      <c r="K15" s="75">
        <v>167890</v>
      </c>
      <c r="L15" s="74">
        <f t="shared" si="2"/>
        <v>5</v>
      </c>
      <c r="M15" s="76">
        <f t="shared" si="3"/>
        <v>0</v>
      </c>
      <c r="N15" s="79">
        <f t="shared" si="4"/>
        <v>0</v>
      </c>
    </row>
    <row r="16" spans="1:14" ht="18.75" x14ac:dyDescent="0.3">
      <c r="A16" s="73">
        <v>15</v>
      </c>
      <c r="B16" s="78" t="s">
        <v>143</v>
      </c>
      <c r="C16" s="73">
        <f t="shared" ca="1" si="0"/>
        <v>5</v>
      </c>
      <c r="D16" s="77" t="s">
        <v>162</v>
      </c>
      <c r="E16" s="73" t="s">
        <v>113</v>
      </c>
      <c r="F16" s="73" t="s">
        <v>114</v>
      </c>
      <c r="G16" s="73" t="s">
        <v>112</v>
      </c>
      <c r="H16" s="74">
        <f t="shared" si="1"/>
        <v>2006</v>
      </c>
      <c r="I16" s="74">
        <v>18</v>
      </c>
      <c r="J16" s="74">
        <v>2024</v>
      </c>
      <c r="K16" s="75">
        <v>140300</v>
      </c>
      <c r="L16" s="74">
        <f t="shared" si="2"/>
        <v>0</v>
      </c>
      <c r="M16" s="76">
        <f t="shared" si="3"/>
        <v>0</v>
      </c>
      <c r="N16" s="79">
        <f t="shared" si="4"/>
        <v>280600</v>
      </c>
    </row>
    <row r="17" spans="1:14" ht="18.75" x14ac:dyDescent="0.3">
      <c r="A17" s="73">
        <v>16</v>
      </c>
      <c r="B17" s="78" t="s">
        <v>144</v>
      </c>
      <c r="C17" s="73">
        <f t="shared" ca="1" si="0"/>
        <v>1</v>
      </c>
      <c r="D17" s="77" t="s">
        <v>116</v>
      </c>
      <c r="E17" s="73" t="s">
        <v>110</v>
      </c>
      <c r="F17" s="73" t="s">
        <v>114</v>
      </c>
      <c r="G17" s="73" t="s">
        <v>115</v>
      </c>
      <c r="H17" s="74">
        <f t="shared" si="1"/>
        <v>2003</v>
      </c>
      <c r="I17" s="74">
        <v>21</v>
      </c>
      <c r="J17" s="74">
        <v>2015</v>
      </c>
      <c r="K17" s="75">
        <v>187399</v>
      </c>
      <c r="L17" s="74">
        <f t="shared" si="2"/>
        <v>9</v>
      </c>
      <c r="M17" s="76">
        <f t="shared" si="3"/>
        <v>0</v>
      </c>
      <c r="N17" s="79">
        <f t="shared" si="4"/>
        <v>0</v>
      </c>
    </row>
    <row r="18" spans="1:14" ht="18.75" x14ac:dyDescent="0.3">
      <c r="A18" s="73">
        <v>17</v>
      </c>
      <c r="B18" s="78" t="s">
        <v>145</v>
      </c>
      <c r="C18" s="73">
        <f t="shared" ca="1" si="0"/>
        <v>1</v>
      </c>
      <c r="D18" s="77" t="s">
        <v>163</v>
      </c>
      <c r="E18" s="73" t="s">
        <v>110</v>
      </c>
      <c r="F18" s="73" t="s">
        <v>111</v>
      </c>
      <c r="G18" s="73" t="s">
        <v>112</v>
      </c>
      <c r="H18" s="74">
        <f t="shared" si="1"/>
        <v>1974</v>
      </c>
      <c r="I18" s="74">
        <v>50</v>
      </c>
      <c r="J18" s="74">
        <v>1995</v>
      </c>
      <c r="K18" s="75">
        <v>137900</v>
      </c>
      <c r="L18" s="74">
        <f t="shared" si="2"/>
        <v>29</v>
      </c>
      <c r="M18" s="76">
        <f t="shared" si="3"/>
        <v>34475</v>
      </c>
      <c r="N18" s="79">
        <f t="shared" si="4"/>
        <v>275800</v>
      </c>
    </row>
    <row r="19" spans="1:14" ht="18.75" x14ac:dyDescent="0.3">
      <c r="A19" s="73">
        <v>18</v>
      </c>
      <c r="B19" s="78" t="s">
        <v>146</v>
      </c>
      <c r="C19" s="73">
        <f t="shared" ca="1" si="0"/>
        <v>5</v>
      </c>
      <c r="D19" s="77" t="s">
        <v>125</v>
      </c>
      <c r="E19" s="73" t="s">
        <v>110</v>
      </c>
      <c r="F19" s="73" t="s">
        <v>111</v>
      </c>
      <c r="G19" s="73" t="s">
        <v>115</v>
      </c>
      <c r="H19" s="74">
        <f t="shared" si="1"/>
        <v>2004</v>
      </c>
      <c r="I19" s="74">
        <v>20</v>
      </c>
      <c r="J19" s="74">
        <v>2015</v>
      </c>
      <c r="K19" s="75">
        <v>100050</v>
      </c>
      <c r="L19" s="74">
        <f t="shared" si="2"/>
        <v>9</v>
      </c>
      <c r="M19" s="76">
        <f t="shared" si="3"/>
        <v>0</v>
      </c>
      <c r="N19" s="79">
        <f t="shared" si="4"/>
        <v>0</v>
      </c>
    </row>
    <row r="20" spans="1:14" ht="18.75" x14ac:dyDescent="0.3">
      <c r="A20" s="73">
        <v>19</v>
      </c>
      <c r="B20" s="78" t="s">
        <v>147</v>
      </c>
      <c r="C20" s="73">
        <f t="shared" ca="1" si="0"/>
        <v>4</v>
      </c>
      <c r="D20" s="77" t="s">
        <v>120</v>
      </c>
      <c r="E20" s="73" t="s">
        <v>113</v>
      </c>
      <c r="F20" s="73" t="s">
        <v>111</v>
      </c>
      <c r="G20" s="73" t="s">
        <v>112</v>
      </c>
      <c r="H20" s="74">
        <f t="shared" si="1"/>
        <v>1989</v>
      </c>
      <c r="I20" s="74">
        <v>35</v>
      </c>
      <c r="J20" s="74">
        <v>2018</v>
      </c>
      <c r="K20" s="75">
        <v>187754</v>
      </c>
      <c r="L20" s="74">
        <f t="shared" si="2"/>
        <v>6</v>
      </c>
      <c r="M20" s="76">
        <f t="shared" si="3"/>
        <v>0</v>
      </c>
      <c r="N20" s="79">
        <f t="shared" si="4"/>
        <v>375508</v>
      </c>
    </row>
    <row r="21" spans="1:14" ht="18.75" x14ac:dyDescent="0.3">
      <c r="A21" s="73">
        <v>20</v>
      </c>
      <c r="B21" s="78" t="s">
        <v>148</v>
      </c>
      <c r="C21" s="73">
        <f t="shared" ca="1" si="0"/>
        <v>4</v>
      </c>
      <c r="D21" s="77" t="s">
        <v>121</v>
      </c>
      <c r="E21" s="73" t="s">
        <v>113</v>
      </c>
      <c r="F21" s="73" t="s">
        <v>111</v>
      </c>
      <c r="G21" s="73" t="s">
        <v>115</v>
      </c>
      <c r="H21" s="74">
        <f t="shared" si="1"/>
        <v>1985</v>
      </c>
      <c r="I21" s="74">
        <v>39</v>
      </c>
      <c r="J21" s="74">
        <v>2005</v>
      </c>
      <c r="K21" s="75">
        <v>189500</v>
      </c>
      <c r="L21" s="74">
        <f t="shared" si="2"/>
        <v>19</v>
      </c>
      <c r="M21" s="76">
        <f t="shared" si="3"/>
        <v>47375</v>
      </c>
      <c r="N21" s="79">
        <f t="shared" si="4"/>
        <v>189500</v>
      </c>
    </row>
    <row r="22" spans="1:14" ht="18.75" x14ac:dyDescent="0.3">
      <c r="A22" s="73">
        <v>21</v>
      </c>
      <c r="B22" s="78" t="s">
        <v>149</v>
      </c>
      <c r="C22" s="73">
        <f t="shared" ca="1" si="0"/>
        <v>3</v>
      </c>
      <c r="D22" s="77" t="s">
        <v>164</v>
      </c>
      <c r="E22" s="73" t="s">
        <v>110</v>
      </c>
      <c r="F22" s="73" t="s">
        <v>111</v>
      </c>
      <c r="G22" s="73" t="s">
        <v>112</v>
      </c>
      <c r="H22" s="74">
        <f t="shared" si="1"/>
        <v>2006</v>
      </c>
      <c r="I22" s="74">
        <v>18</v>
      </c>
      <c r="J22" s="74">
        <v>2016</v>
      </c>
      <c r="K22" s="75">
        <v>191463</v>
      </c>
      <c r="L22" s="74">
        <f t="shared" si="2"/>
        <v>8</v>
      </c>
      <c r="M22" s="76">
        <f t="shared" si="3"/>
        <v>0</v>
      </c>
      <c r="N22" s="79">
        <f t="shared" si="4"/>
        <v>382926</v>
      </c>
    </row>
    <row r="23" spans="1:14" ht="18.75" x14ac:dyDescent="0.3">
      <c r="A23" s="73">
        <v>22</v>
      </c>
      <c r="B23" s="78" t="s">
        <v>150</v>
      </c>
      <c r="C23" s="73">
        <f t="shared" ca="1" si="0"/>
        <v>1</v>
      </c>
      <c r="D23" s="77" t="s">
        <v>165</v>
      </c>
      <c r="E23" s="73" t="s">
        <v>113</v>
      </c>
      <c r="F23" s="73" t="s">
        <v>111</v>
      </c>
      <c r="G23" s="73" t="s">
        <v>115</v>
      </c>
      <c r="H23" s="74">
        <f t="shared" si="1"/>
        <v>1977</v>
      </c>
      <c r="I23" s="74">
        <v>47</v>
      </c>
      <c r="J23" s="74">
        <v>1995</v>
      </c>
      <c r="K23" s="75">
        <v>173764</v>
      </c>
      <c r="L23" s="74">
        <f t="shared" si="2"/>
        <v>29</v>
      </c>
      <c r="M23" s="76">
        <f t="shared" si="3"/>
        <v>43441</v>
      </c>
      <c r="N23" s="79">
        <f t="shared" si="4"/>
        <v>173764</v>
      </c>
    </row>
    <row r="24" spans="1:14" ht="18.75" x14ac:dyDescent="0.3">
      <c r="A24" s="73">
        <v>23</v>
      </c>
      <c r="B24" s="78" t="s">
        <v>151</v>
      </c>
      <c r="C24" s="73">
        <f t="shared" ca="1" si="0"/>
        <v>3</v>
      </c>
      <c r="D24" s="77" t="s">
        <v>122</v>
      </c>
      <c r="E24" s="73" t="s">
        <v>110</v>
      </c>
      <c r="F24" s="73" t="s">
        <v>114</v>
      </c>
      <c r="G24" s="73" t="s">
        <v>112</v>
      </c>
      <c r="H24" s="74">
        <f t="shared" si="1"/>
        <v>2000</v>
      </c>
      <c r="I24" s="74">
        <v>24</v>
      </c>
      <c r="J24" s="74">
        <v>2023</v>
      </c>
      <c r="K24" s="75">
        <v>127000</v>
      </c>
      <c r="L24" s="74">
        <f t="shared" si="2"/>
        <v>1</v>
      </c>
      <c r="M24" s="76">
        <f t="shared" si="3"/>
        <v>0</v>
      </c>
      <c r="N24" s="79">
        <f t="shared" si="4"/>
        <v>254000</v>
      </c>
    </row>
    <row r="25" spans="1:14" ht="18.75" x14ac:dyDescent="0.3">
      <c r="A25" s="73">
        <v>24</v>
      </c>
      <c r="B25" s="78" t="s">
        <v>152</v>
      </c>
      <c r="C25" s="73">
        <f t="shared" ca="1" si="0"/>
        <v>8</v>
      </c>
      <c r="D25" s="77" t="s">
        <v>166</v>
      </c>
      <c r="E25" s="73" t="s">
        <v>113</v>
      </c>
      <c r="F25" s="73" t="s">
        <v>114</v>
      </c>
      <c r="G25" s="73" t="s">
        <v>115</v>
      </c>
      <c r="H25" s="74">
        <f t="shared" si="1"/>
        <v>1996</v>
      </c>
      <c r="I25" s="74">
        <v>28</v>
      </c>
      <c r="J25" s="74">
        <v>2014</v>
      </c>
      <c r="K25" s="75">
        <v>167216</v>
      </c>
      <c r="L25" s="74">
        <f t="shared" si="2"/>
        <v>10</v>
      </c>
      <c r="M25" s="76">
        <f t="shared" si="3"/>
        <v>16721.600000000002</v>
      </c>
      <c r="N25" s="79">
        <f t="shared" si="4"/>
        <v>167216</v>
      </c>
    </row>
    <row r="26" spans="1:14" ht="18.75" x14ac:dyDescent="0.3">
      <c r="A26" s="73">
        <v>25</v>
      </c>
      <c r="B26" s="78" t="s">
        <v>153</v>
      </c>
      <c r="C26" s="73">
        <f t="shared" ca="1" si="0"/>
        <v>2</v>
      </c>
      <c r="D26" s="77" t="s">
        <v>167</v>
      </c>
      <c r="E26" s="73" t="s">
        <v>110</v>
      </c>
      <c r="F26" s="73" t="s">
        <v>114</v>
      </c>
      <c r="G26" s="73" t="s">
        <v>112</v>
      </c>
      <c r="H26" s="74">
        <f t="shared" si="1"/>
        <v>1994</v>
      </c>
      <c r="I26" s="74">
        <v>30</v>
      </c>
      <c r="J26" s="74">
        <v>2013</v>
      </c>
      <c r="K26" s="75">
        <v>140000</v>
      </c>
      <c r="L26" s="74">
        <f t="shared" si="2"/>
        <v>11</v>
      </c>
      <c r="M26" s="76">
        <f t="shared" si="3"/>
        <v>14000</v>
      </c>
      <c r="N26" s="79">
        <f t="shared" si="4"/>
        <v>280000</v>
      </c>
    </row>
    <row r="27" spans="1:14" x14ac:dyDescent="0.25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25"/>
  <sheetViews>
    <sheetView zoomScale="112" zoomScaleNormal="115" workbookViewId="0">
      <selection activeCell="N15" sqref="N15"/>
    </sheetView>
  </sheetViews>
  <sheetFormatPr defaultRowHeight="15" x14ac:dyDescent="0.25"/>
  <cols>
    <col min="1" max="1" width="7.85546875" bestFit="1" customWidth="1"/>
    <col min="2" max="2" width="3.140625" style="2" bestFit="1" customWidth="1"/>
    <col min="3" max="3" width="21" style="2" bestFit="1" customWidth="1"/>
    <col min="4" max="4" width="14.85546875" style="2" bestFit="1" customWidth="1"/>
    <col min="5" max="5" width="16.28515625" style="2" bestFit="1" customWidth="1"/>
    <col min="6" max="6" width="13" style="2" bestFit="1" customWidth="1"/>
    <col min="7" max="7" width="11.85546875" style="2" bestFit="1" customWidth="1"/>
    <col min="8" max="8" width="8.140625" style="2" bestFit="1" customWidth="1"/>
    <col min="9" max="9" width="12" style="3" bestFit="1" customWidth="1"/>
    <col min="10" max="10" width="12.85546875" bestFit="1" customWidth="1"/>
    <col min="11" max="11" width="15.5703125" bestFit="1" customWidth="1"/>
    <col min="12" max="12" width="14.85546875" bestFit="1" customWidth="1"/>
    <col min="14" max="14" width="5.5703125" bestFit="1" customWidth="1"/>
    <col min="16" max="16" width="18.42578125" bestFit="1" customWidth="1"/>
    <col min="17" max="17" width="7.85546875" bestFit="1" customWidth="1"/>
    <col min="18" max="18" width="26.42578125" bestFit="1" customWidth="1"/>
    <col min="19" max="19" width="14.85546875" bestFit="1" customWidth="1"/>
    <col min="20" max="20" width="18.5703125" bestFit="1" customWidth="1"/>
    <col min="21" max="21" width="32.28515625" bestFit="1" customWidth="1"/>
    <col min="22" max="22" width="30.42578125" bestFit="1" customWidth="1"/>
    <col min="23" max="23" width="12.7109375" bestFit="1" customWidth="1"/>
    <col min="24" max="24" width="38.5703125" bestFit="1" customWidth="1"/>
    <col min="25" max="25" width="36" bestFit="1" customWidth="1"/>
    <col min="26" max="26" width="27" bestFit="1" customWidth="1"/>
    <col min="27" max="27" width="24.85546875" bestFit="1" customWidth="1"/>
    <col min="28" max="28" width="14" bestFit="1" customWidth="1"/>
  </cols>
  <sheetData>
    <row r="1" spans="1:32" ht="15.75" thickBot="1" x14ac:dyDescent="0.3">
      <c r="B1" s="115" t="s">
        <v>10</v>
      </c>
      <c r="C1" s="116"/>
      <c r="D1" s="116"/>
      <c r="E1" s="116"/>
      <c r="F1" s="116"/>
      <c r="G1" s="116"/>
      <c r="H1" s="116"/>
      <c r="I1" s="116"/>
      <c r="J1" s="116"/>
      <c r="K1" s="116"/>
      <c r="L1" s="117"/>
      <c r="O1" s="133"/>
      <c r="P1" s="137"/>
      <c r="Q1" s="138" t="s">
        <v>10</v>
      </c>
      <c r="R1" s="139"/>
      <c r="S1" s="139"/>
      <c r="T1" s="139"/>
      <c r="U1" s="139"/>
      <c r="V1" s="139"/>
      <c r="W1" s="139"/>
      <c r="X1" s="139"/>
      <c r="Y1" s="139"/>
      <c r="Z1" s="139"/>
      <c r="AA1" s="140"/>
      <c r="AB1" s="134"/>
      <c r="AC1" s="133"/>
      <c r="AD1" s="133"/>
      <c r="AE1" s="133"/>
      <c r="AF1" s="133"/>
    </row>
    <row r="2" spans="1:32" s="1" customFormat="1" ht="63" customHeight="1" thickBot="1" x14ac:dyDescent="0.3">
      <c r="A2" s="118" t="s">
        <v>16</v>
      </c>
      <c r="B2" s="27" t="s">
        <v>0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4</v>
      </c>
      <c r="H2" s="4" t="s">
        <v>5</v>
      </c>
      <c r="I2" s="5" t="s">
        <v>6</v>
      </c>
      <c r="J2" s="4" t="s">
        <v>14</v>
      </c>
      <c r="K2" s="4" t="s">
        <v>7</v>
      </c>
      <c r="L2" s="6" t="s">
        <v>8</v>
      </c>
      <c r="N2" s="1">
        <v>96.05</v>
      </c>
      <c r="O2" s="135"/>
      <c r="P2" s="164" t="s">
        <v>16</v>
      </c>
      <c r="Q2" s="141" t="s">
        <v>0</v>
      </c>
      <c r="R2" s="142" t="s">
        <v>1</v>
      </c>
      <c r="S2" s="142" t="s">
        <v>2</v>
      </c>
      <c r="T2" s="142" t="s">
        <v>3</v>
      </c>
      <c r="U2" s="142" t="s">
        <v>9</v>
      </c>
      <c r="V2" s="142" t="s">
        <v>4</v>
      </c>
      <c r="W2" s="142" t="s">
        <v>5</v>
      </c>
      <c r="X2" s="143" t="s">
        <v>6</v>
      </c>
      <c r="Y2" s="142" t="s">
        <v>14</v>
      </c>
      <c r="Z2" s="142" t="s">
        <v>7</v>
      </c>
      <c r="AA2" s="144" t="s">
        <v>8</v>
      </c>
      <c r="AB2" s="135"/>
      <c r="AC2" s="135"/>
      <c r="AD2" s="135"/>
      <c r="AE2" s="135"/>
      <c r="AF2" s="135"/>
    </row>
    <row r="3" spans="1:32" x14ac:dyDescent="0.25">
      <c r="A3" s="118"/>
      <c r="B3" s="28">
        <v>2</v>
      </c>
      <c r="C3" s="131" t="s">
        <v>188</v>
      </c>
      <c r="D3" s="7" t="s">
        <v>222</v>
      </c>
      <c r="E3" s="8" t="s">
        <v>204</v>
      </c>
      <c r="F3" s="7">
        <v>548</v>
      </c>
      <c r="G3" s="7">
        <v>367</v>
      </c>
      <c r="H3" s="7">
        <f t="shared" ref="H3:H20" si="0">F3-G3</f>
        <v>181</v>
      </c>
      <c r="I3" s="9">
        <v>14257</v>
      </c>
      <c r="J3" s="10">
        <f t="shared" ref="J3:J20" si="1">I3/$N$2</f>
        <v>148.4331077563769</v>
      </c>
      <c r="K3" s="11">
        <f t="shared" ref="K3:K20" si="2">I3*G3</f>
        <v>5232319</v>
      </c>
      <c r="L3" s="12">
        <f t="shared" ref="L3:L20" si="3">J3*G3</f>
        <v>54474.95054659032</v>
      </c>
      <c r="O3" s="133"/>
      <c r="P3" s="164"/>
      <c r="Q3" s="145">
        <v>2</v>
      </c>
      <c r="R3" s="146" t="s">
        <v>188</v>
      </c>
      <c r="S3" s="146" t="s">
        <v>222</v>
      </c>
      <c r="T3" s="147" t="s">
        <v>204</v>
      </c>
      <c r="U3" s="146">
        <v>548</v>
      </c>
      <c r="V3" s="146">
        <v>367</v>
      </c>
      <c r="W3" s="146">
        <f t="shared" ref="W3:W20" si="4">U3-V3</f>
        <v>181</v>
      </c>
      <c r="X3" s="148">
        <v>14257</v>
      </c>
      <c r="Y3" s="149">
        <f t="shared" ref="Y3:Y20" si="5">X3/$N$2</f>
        <v>148.4331077563769</v>
      </c>
      <c r="Z3" s="150">
        <f t="shared" ref="Z3:Z20" si="6">X3*V3</f>
        <v>5232319</v>
      </c>
      <c r="AA3" s="149">
        <f t="shared" ref="AA3:AA20" si="7">Y3*V3</f>
        <v>54474.95054659032</v>
      </c>
      <c r="AB3" s="136"/>
      <c r="AC3" s="133"/>
      <c r="AD3" s="133"/>
      <c r="AE3" s="133"/>
      <c r="AF3" s="133"/>
    </row>
    <row r="4" spans="1:32" x14ac:dyDescent="0.25">
      <c r="A4" s="118"/>
      <c r="B4" s="29">
        <v>3</v>
      </c>
      <c r="C4" s="132" t="s">
        <v>189</v>
      </c>
      <c r="D4" s="13" t="s">
        <v>223</v>
      </c>
      <c r="E4" s="14" t="s">
        <v>205</v>
      </c>
      <c r="F4" s="13">
        <v>723</v>
      </c>
      <c r="G4" s="13">
        <v>321</v>
      </c>
      <c r="H4" s="13">
        <f t="shared" si="0"/>
        <v>402</v>
      </c>
      <c r="I4" s="15">
        <v>8763</v>
      </c>
      <c r="J4" s="16">
        <f t="shared" si="1"/>
        <v>91.233732431025516</v>
      </c>
      <c r="K4" s="17">
        <f t="shared" si="2"/>
        <v>2812923</v>
      </c>
      <c r="L4" s="18">
        <f t="shared" si="3"/>
        <v>29286.028110359191</v>
      </c>
      <c r="O4" s="133"/>
      <c r="P4" s="164"/>
      <c r="Q4" s="151">
        <v>3</v>
      </c>
      <c r="R4" s="152" t="s">
        <v>189</v>
      </c>
      <c r="S4" s="152" t="s">
        <v>223</v>
      </c>
      <c r="T4" s="153" t="s">
        <v>205</v>
      </c>
      <c r="U4" s="152">
        <v>723</v>
      </c>
      <c r="V4" s="152">
        <v>321</v>
      </c>
      <c r="W4" s="152">
        <f t="shared" si="4"/>
        <v>402</v>
      </c>
      <c r="X4" s="154">
        <v>8763</v>
      </c>
      <c r="Y4" s="155">
        <f t="shared" si="5"/>
        <v>91.233732431025516</v>
      </c>
      <c r="Z4" s="156">
        <f t="shared" si="6"/>
        <v>2812923</v>
      </c>
      <c r="AA4" s="155">
        <f t="shared" si="7"/>
        <v>29286.028110359191</v>
      </c>
      <c r="AB4" s="136"/>
      <c r="AC4" s="133"/>
      <c r="AD4" s="133"/>
      <c r="AE4" s="133"/>
      <c r="AF4" s="133"/>
    </row>
    <row r="5" spans="1:32" x14ac:dyDescent="0.25">
      <c r="A5" s="118"/>
      <c r="B5" s="29">
        <v>4</v>
      </c>
      <c r="C5" s="132" t="s">
        <v>190</v>
      </c>
      <c r="D5" s="13" t="s">
        <v>224</v>
      </c>
      <c r="E5" s="14" t="s">
        <v>206</v>
      </c>
      <c r="F5" s="13">
        <v>365</v>
      </c>
      <c r="G5" s="13">
        <v>187</v>
      </c>
      <c r="H5" s="13">
        <f t="shared" si="0"/>
        <v>178</v>
      </c>
      <c r="I5" s="15">
        <v>11345</v>
      </c>
      <c r="J5" s="16">
        <f t="shared" si="1"/>
        <v>118.11556480999479</v>
      </c>
      <c r="K5" s="17">
        <f t="shared" si="2"/>
        <v>2121515</v>
      </c>
      <c r="L5" s="18">
        <f t="shared" si="3"/>
        <v>22087.610619469026</v>
      </c>
      <c r="O5" s="133"/>
      <c r="P5" s="164"/>
      <c r="Q5" s="151">
        <v>4</v>
      </c>
      <c r="R5" s="152" t="s">
        <v>190</v>
      </c>
      <c r="S5" s="152" t="s">
        <v>224</v>
      </c>
      <c r="T5" s="153" t="s">
        <v>206</v>
      </c>
      <c r="U5" s="152">
        <v>365</v>
      </c>
      <c r="V5" s="152">
        <v>187</v>
      </c>
      <c r="W5" s="152">
        <f t="shared" si="4"/>
        <v>178</v>
      </c>
      <c r="X5" s="154">
        <v>11345</v>
      </c>
      <c r="Y5" s="155">
        <f t="shared" si="5"/>
        <v>118.11556480999479</v>
      </c>
      <c r="Z5" s="156">
        <f t="shared" si="6"/>
        <v>2121515</v>
      </c>
      <c r="AA5" s="155">
        <f t="shared" si="7"/>
        <v>22087.610619469026</v>
      </c>
      <c r="AB5" s="136"/>
      <c r="AC5" s="133"/>
      <c r="AD5" s="133"/>
      <c r="AE5" s="133"/>
      <c r="AF5" s="133"/>
    </row>
    <row r="6" spans="1:32" x14ac:dyDescent="0.25">
      <c r="A6" s="118"/>
      <c r="B6" s="29">
        <v>5</v>
      </c>
      <c r="C6" s="132" t="s">
        <v>191</v>
      </c>
      <c r="D6" s="13" t="s">
        <v>225</v>
      </c>
      <c r="E6" s="14" t="s">
        <v>207</v>
      </c>
      <c r="F6" s="13">
        <v>811</v>
      </c>
      <c r="G6" s="13">
        <v>233</v>
      </c>
      <c r="H6" s="13">
        <f t="shared" si="0"/>
        <v>578</v>
      </c>
      <c r="I6" s="15">
        <v>19008</v>
      </c>
      <c r="J6" s="16">
        <f t="shared" si="1"/>
        <v>197.89692868297763</v>
      </c>
      <c r="K6" s="17">
        <f t="shared" si="2"/>
        <v>4428864</v>
      </c>
      <c r="L6" s="18">
        <f t="shared" si="3"/>
        <v>46109.984383133786</v>
      </c>
      <c r="O6" s="133"/>
      <c r="P6" s="164"/>
      <c r="Q6" s="151">
        <v>5</v>
      </c>
      <c r="R6" s="152" t="s">
        <v>191</v>
      </c>
      <c r="S6" s="152" t="s">
        <v>225</v>
      </c>
      <c r="T6" s="153" t="s">
        <v>207</v>
      </c>
      <c r="U6" s="152">
        <v>811</v>
      </c>
      <c r="V6" s="152">
        <v>233</v>
      </c>
      <c r="W6" s="152">
        <f t="shared" si="4"/>
        <v>578</v>
      </c>
      <c r="X6" s="154">
        <v>19008</v>
      </c>
      <c r="Y6" s="155">
        <f t="shared" si="5"/>
        <v>197.89692868297763</v>
      </c>
      <c r="Z6" s="156">
        <f t="shared" si="6"/>
        <v>4428864</v>
      </c>
      <c r="AA6" s="155">
        <f t="shared" si="7"/>
        <v>46109.984383133786</v>
      </c>
      <c r="AB6" s="136"/>
      <c r="AC6" s="133"/>
      <c r="AD6" s="133"/>
      <c r="AE6" s="133"/>
      <c r="AF6" s="133"/>
    </row>
    <row r="7" spans="1:32" x14ac:dyDescent="0.25">
      <c r="A7" s="118"/>
      <c r="B7" s="29">
        <v>6</v>
      </c>
      <c r="C7" s="132" t="s">
        <v>12</v>
      </c>
      <c r="D7" s="13" t="s">
        <v>226</v>
      </c>
      <c r="E7" s="14" t="s">
        <v>208</v>
      </c>
      <c r="F7" s="13">
        <v>476</v>
      </c>
      <c r="G7" s="13">
        <v>280</v>
      </c>
      <c r="H7" s="13">
        <f t="shared" si="0"/>
        <v>196</v>
      </c>
      <c r="I7" s="15">
        <v>5267</v>
      </c>
      <c r="J7" s="16">
        <f t="shared" si="1"/>
        <v>54.836022904737121</v>
      </c>
      <c r="K7" s="17">
        <f t="shared" si="2"/>
        <v>1474760</v>
      </c>
      <c r="L7" s="18">
        <f t="shared" si="3"/>
        <v>15354.086413326393</v>
      </c>
      <c r="O7" s="133"/>
      <c r="P7" s="164"/>
      <c r="Q7" s="151">
        <v>6</v>
      </c>
      <c r="R7" s="152" t="s">
        <v>12</v>
      </c>
      <c r="S7" s="152" t="s">
        <v>226</v>
      </c>
      <c r="T7" s="153" t="s">
        <v>208</v>
      </c>
      <c r="U7" s="152">
        <v>476</v>
      </c>
      <c r="V7" s="152">
        <v>280</v>
      </c>
      <c r="W7" s="152">
        <f t="shared" si="4"/>
        <v>196</v>
      </c>
      <c r="X7" s="154">
        <v>5267</v>
      </c>
      <c r="Y7" s="155">
        <f t="shared" si="5"/>
        <v>54.836022904737121</v>
      </c>
      <c r="Z7" s="156">
        <f t="shared" si="6"/>
        <v>1474760</v>
      </c>
      <c r="AA7" s="155">
        <f t="shared" si="7"/>
        <v>15354.086413326393</v>
      </c>
      <c r="AB7" s="136"/>
      <c r="AC7" s="133"/>
      <c r="AD7" s="133"/>
      <c r="AE7" s="133"/>
      <c r="AF7" s="133"/>
    </row>
    <row r="8" spans="1:32" x14ac:dyDescent="0.25">
      <c r="A8" s="118"/>
      <c r="B8" s="29">
        <v>7</v>
      </c>
      <c r="C8" s="132" t="s">
        <v>192</v>
      </c>
      <c r="D8" s="13" t="s">
        <v>227</v>
      </c>
      <c r="E8" s="14" t="s">
        <v>209</v>
      </c>
      <c r="F8" s="13">
        <v>632</v>
      </c>
      <c r="G8" s="13">
        <v>252</v>
      </c>
      <c r="H8" s="13">
        <f t="shared" si="0"/>
        <v>380</v>
      </c>
      <c r="I8" s="15">
        <v>13567</v>
      </c>
      <c r="J8" s="16">
        <f t="shared" si="1"/>
        <v>141.24934929724103</v>
      </c>
      <c r="K8" s="17">
        <f t="shared" si="2"/>
        <v>3418884</v>
      </c>
      <c r="L8" s="18">
        <f t="shared" si="3"/>
        <v>35594.836022904739</v>
      </c>
      <c r="O8" s="133"/>
      <c r="P8" s="164"/>
      <c r="Q8" s="151">
        <v>7</v>
      </c>
      <c r="R8" s="152" t="s">
        <v>192</v>
      </c>
      <c r="S8" s="152" t="s">
        <v>227</v>
      </c>
      <c r="T8" s="153" t="s">
        <v>209</v>
      </c>
      <c r="U8" s="152">
        <v>632</v>
      </c>
      <c r="V8" s="152">
        <v>252</v>
      </c>
      <c r="W8" s="152">
        <f t="shared" si="4"/>
        <v>380</v>
      </c>
      <c r="X8" s="154">
        <v>13567</v>
      </c>
      <c r="Y8" s="155">
        <f t="shared" si="5"/>
        <v>141.24934929724103</v>
      </c>
      <c r="Z8" s="156">
        <f t="shared" si="6"/>
        <v>3418884</v>
      </c>
      <c r="AA8" s="155">
        <f t="shared" si="7"/>
        <v>35594.836022904739</v>
      </c>
      <c r="AB8" s="136"/>
      <c r="AC8" s="133"/>
      <c r="AD8" s="133"/>
      <c r="AE8" s="133"/>
      <c r="AF8" s="133"/>
    </row>
    <row r="9" spans="1:32" x14ac:dyDescent="0.25">
      <c r="A9" s="118"/>
      <c r="B9" s="29">
        <v>8</v>
      </c>
      <c r="C9" s="132" t="s">
        <v>193</v>
      </c>
      <c r="D9" s="13" t="s">
        <v>228</v>
      </c>
      <c r="E9" s="14" t="s">
        <v>210</v>
      </c>
      <c r="F9" s="13">
        <v>198</v>
      </c>
      <c r="G9" s="13">
        <v>235</v>
      </c>
      <c r="H9" s="13">
        <f t="shared" si="0"/>
        <v>-37</v>
      </c>
      <c r="I9" s="15">
        <v>9782</v>
      </c>
      <c r="J9" s="16">
        <f t="shared" si="1"/>
        <v>101.8427902134305</v>
      </c>
      <c r="K9" s="17">
        <f t="shared" si="2"/>
        <v>2298770</v>
      </c>
      <c r="L9" s="18">
        <f t="shared" si="3"/>
        <v>23933.055700156168</v>
      </c>
      <c r="O9" s="133"/>
      <c r="P9" s="164"/>
      <c r="Q9" s="151">
        <v>8</v>
      </c>
      <c r="R9" s="152" t="s">
        <v>193</v>
      </c>
      <c r="S9" s="152" t="s">
        <v>228</v>
      </c>
      <c r="T9" s="153" t="s">
        <v>210</v>
      </c>
      <c r="U9" s="152">
        <v>198</v>
      </c>
      <c r="V9" s="152">
        <v>235</v>
      </c>
      <c r="W9" s="152">
        <f t="shared" si="4"/>
        <v>-37</v>
      </c>
      <c r="X9" s="154">
        <v>9782</v>
      </c>
      <c r="Y9" s="155">
        <f t="shared" si="5"/>
        <v>101.8427902134305</v>
      </c>
      <c r="Z9" s="156">
        <f t="shared" si="6"/>
        <v>2298770</v>
      </c>
      <c r="AA9" s="155">
        <f t="shared" si="7"/>
        <v>23933.055700156168</v>
      </c>
      <c r="AB9" s="136"/>
      <c r="AC9" s="133"/>
      <c r="AD9" s="133"/>
      <c r="AE9" s="133"/>
      <c r="AF9" s="133"/>
    </row>
    <row r="10" spans="1:32" x14ac:dyDescent="0.25">
      <c r="A10" s="118"/>
      <c r="B10" s="29">
        <v>9</v>
      </c>
      <c r="C10" s="132" t="s">
        <v>194</v>
      </c>
      <c r="D10" s="13" t="s">
        <v>229</v>
      </c>
      <c r="E10" s="14" t="s">
        <v>211</v>
      </c>
      <c r="F10" s="13">
        <v>544</v>
      </c>
      <c r="G10" s="13">
        <v>198</v>
      </c>
      <c r="H10" s="13">
        <f t="shared" si="0"/>
        <v>346</v>
      </c>
      <c r="I10" s="15">
        <v>12456</v>
      </c>
      <c r="J10" s="16">
        <f t="shared" si="1"/>
        <v>129.68245705361792</v>
      </c>
      <c r="K10" s="17">
        <f t="shared" si="2"/>
        <v>2466288</v>
      </c>
      <c r="L10" s="18">
        <f t="shared" si="3"/>
        <v>25677.126496616347</v>
      </c>
      <c r="O10" s="133"/>
      <c r="P10" s="164"/>
      <c r="Q10" s="151">
        <v>9</v>
      </c>
      <c r="R10" s="152" t="s">
        <v>194</v>
      </c>
      <c r="S10" s="152" t="s">
        <v>229</v>
      </c>
      <c r="T10" s="153" t="s">
        <v>211</v>
      </c>
      <c r="U10" s="152">
        <v>544</v>
      </c>
      <c r="V10" s="152">
        <v>198</v>
      </c>
      <c r="W10" s="152">
        <f t="shared" si="4"/>
        <v>346</v>
      </c>
      <c r="X10" s="154">
        <v>12456</v>
      </c>
      <c r="Y10" s="155">
        <f t="shared" si="5"/>
        <v>129.68245705361792</v>
      </c>
      <c r="Z10" s="156">
        <f t="shared" si="6"/>
        <v>2466288</v>
      </c>
      <c r="AA10" s="155">
        <f t="shared" si="7"/>
        <v>25677.126496616347</v>
      </c>
      <c r="AB10" s="136"/>
      <c r="AC10" s="133"/>
      <c r="AD10" s="133"/>
      <c r="AE10" s="133"/>
      <c r="AF10" s="133"/>
    </row>
    <row r="11" spans="1:32" x14ac:dyDescent="0.25">
      <c r="A11" s="118"/>
      <c r="B11" s="29">
        <v>10</v>
      </c>
      <c r="C11" s="132" t="s">
        <v>195</v>
      </c>
      <c r="D11" s="13" t="s">
        <v>230</v>
      </c>
      <c r="E11" s="14" t="s">
        <v>212</v>
      </c>
      <c r="F11" s="13">
        <v>927</v>
      </c>
      <c r="G11" s="13">
        <v>296</v>
      </c>
      <c r="H11" s="13">
        <f t="shared" si="0"/>
        <v>631</v>
      </c>
      <c r="I11" s="15">
        <v>16789</v>
      </c>
      <c r="J11" s="16">
        <f t="shared" si="1"/>
        <v>174.79437792816242</v>
      </c>
      <c r="K11" s="17">
        <f t="shared" si="2"/>
        <v>4969544</v>
      </c>
      <c r="L11" s="18">
        <f t="shared" si="3"/>
        <v>51739.135866736076</v>
      </c>
      <c r="O11" s="133"/>
      <c r="P11" s="164"/>
      <c r="Q11" s="151">
        <v>10</v>
      </c>
      <c r="R11" s="152" t="s">
        <v>195</v>
      </c>
      <c r="S11" s="152" t="s">
        <v>230</v>
      </c>
      <c r="T11" s="153" t="s">
        <v>212</v>
      </c>
      <c r="U11" s="152">
        <v>927</v>
      </c>
      <c r="V11" s="152">
        <v>296</v>
      </c>
      <c r="W11" s="152">
        <f t="shared" si="4"/>
        <v>631</v>
      </c>
      <c r="X11" s="154">
        <v>16789</v>
      </c>
      <c r="Y11" s="155">
        <f t="shared" si="5"/>
        <v>174.79437792816242</v>
      </c>
      <c r="Z11" s="156">
        <f t="shared" si="6"/>
        <v>4969544</v>
      </c>
      <c r="AA11" s="155">
        <f t="shared" si="7"/>
        <v>51739.135866736076</v>
      </c>
      <c r="AB11" s="136"/>
      <c r="AC11" s="133"/>
      <c r="AD11" s="133"/>
      <c r="AE11" s="133"/>
      <c r="AF11" s="133"/>
    </row>
    <row r="12" spans="1:32" x14ac:dyDescent="0.25">
      <c r="A12" s="118"/>
      <c r="B12" s="29">
        <v>11</v>
      </c>
      <c r="C12" s="132" t="s">
        <v>196</v>
      </c>
      <c r="D12" s="13" t="s">
        <v>231</v>
      </c>
      <c r="E12" s="14" t="s">
        <v>213</v>
      </c>
      <c r="F12" s="13">
        <v>312</v>
      </c>
      <c r="G12" s="13">
        <v>261</v>
      </c>
      <c r="H12" s="13">
        <f t="shared" si="0"/>
        <v>51</v>
      </c>
      <c r="I12" s="15">
        <v>11234</v>
      </c>
      <c r="J12" s="16">
        <f t="shared" si="1"/>
        <v>116.95991671004685</v>
      </c>
      <c r="K12" s="17">
        <f t="shared" si="2"/>
        <v>2932074</v>
      </c>
      <c r="L12" s="18">
        <f t="shared" si="3"/>
        <v>30526.538261322228</v>
      </c>
      <c r="O12" s="133"/>
      <c r="P12" s="164"/>
      <c r="Q12" s="151">
        <v>11</v>
      </c>
      <c r="R12" s="152" t="s">
        <v>196</v>
      </c>
      <c r="S12" s="152" t="s">
        <v>231</v>
      </c>
      <c r="T12" s="153" t="s">
        <v>213</v>
      </c>
      <c r="U12" s="152">
        <v>312</v>
      </c>
      <c r="V12" s="152">
        <v>261</v>
      </c>
      <c r="W12" s="152">
        <f t="shared" si="4"/>
        <v>51</v>
      </c>
      <c r="X12" s="154">
        <v>11234</v>
      </c>
      <c r="Y12" s="155">
        <f t="shared" si="5"/>
        <v>116.95991671004685</v>
      </c>
      <c r="Z12" s="156">
        <f t="shared" si="6"/>
        <v>2932074</v>
      </c>
      <c r="AA12" s="155">
        <f t="shared" si="7"/>
        <v>30526.538261322228</v>
      </c>
      <c r="AB12" s="136"/>
      <c r="AC12" s="133"/>
      <c r="AD12" s="133"/>
      <c r="AE12" s="133"/>
      <c r="AF12" s="133"/>
    </row>
    <row r="13" spans="1:32" x14ac:dyDescent="0.25">
      <c r="A13" s="118"/>
      <c r="B13" s="29">
        <v>1</v>
      </c>
      <c r="C13" s="132" t="s">
        <v>197</v>
      </c>
      <c r="D13" s="13" t="s">
        <v>232</v>
      </c>
      <c r="E13" s="14" t="s">
        <v>214</v>
      </c>
      <c r="F13" s="13">
        <v>689</v>
      </c>
      <c r="G13" s="13">
        <v>120</v>
      </c>
      <c r="H13" s="13">
        <f t="shared" si="0"/>
        <v>569</v>
      </c>
      <c r="I13" s="15">
        <v>18765</v>
      </c>
      <c r="J13" s="16">
        <f t="shared" si="1"/>
        <v>195.36699635606456</v>
      </c>
      <c r="K13" s="17">
        <f t="shared" si="2"/>
        <v>2251800</v>
      </c>
      <c r="L13" s="18">
        <f t="shared" si="3"/>
        <v>23444.039562727747</v>
      </c>
      <c r="O13" s="133"/>
      <c r="P13" s="164"/>
      <c r="Q13" s="151">
        <v>1</v>
      </c>
      <c r="R13" s="152" t="s">
        <v>197</v>
      </c>
      <c r="S13" s="152" t="s">
        <v>232</v>
      </c>
      <c r="T13" s="153" t="s">
        <v>214</v>
      </c>
      <c r="U13" s="152">
        <v>689</v>
      </c>
      <c r="V13" s="152">
        <v>120</v>
      </c>
      <c r="W13" s="152">
        <f t="shared" si="4"/>
        <v>569</v>
      </c>
      <c r="X13" s="154">
        <v>18765</v>
      </c>
      <c r="Y13" s="155">
        <f t="shared" si="5"/>
        <v>195.36699635606456</v>
      </c>
      <c r="Z13" s="156">
        <f t="shared" si="6"/>
        <v>2251800</v>
      </c>
      <c r="AA13" s="155">
        <f t="shared" si="7"/>
        <v>23444.039562727747</v>
      </c>
      <c r="AB13" s="136"/>
      <c r="AC13" s="133"/>
      <c r="AD13" s="133"/>
      <c r="AE13" s="133"/>
      <c r="AF13" s="133"/>
    </row>
    <row r="14" spans="1:32" x14ac:dyDescent="0.25">
      <c r="A14" s="118"/>
      <c r="B14" s="29">
        <v>12</v>
      </c>
      <c r="C14" s="132" t="s">
        <v>198</v>
      </c>
      <c r="D14" s="13" t="s">
        <v>233</v>
      </c>
      <c r="E14" s="14" t="s">
        <v>215</v>
      </c>
      <c r="F14" s="13">
        <v>447</v>
      </c>
      <c r="G14" s="13">
        <v>223</v>
      </c>
      <c r="H14" s="13">
        <f t="shared" si="0"/>
        <v>224</v>
      </c>
      <c r="I14" s="15">
        <v>14567</v>
      </c>
      <c r="J14" s="16">
        <f t="shared" si="1"/>
        <v>151.66059344091619</v>
      </c>
      <c r="K14" s="17">
        <f t="shared" si="2"/>
        <v>3248441</v>
      </c>
      <c r="L14" s="18">
        <f t="shared" si="3"/>
        <v>33820.312337324307</v>
      </c>
      <c r="O14" s="133"/>
      <c r="P14" s="164"/>
      <c r="Q14" s="151">
        <v>12</v>
      </c>
      <c r="R14" s="152" t="s">
        <v>198</v>
      </c>
      <c r="S14" s="152" t="s">
        <v>233</v>
      </c>
      <c r="T14" s="153" t="s">
        <v>215</v>
      </c>
      <c r="U14" s="152">
        <v>447</v>
      </c>
      <c r="V14" s="152">
        <v>223</v>
      </c>
      <c r="W14" s="152">
        <f t="shared" si="4"/>
        <v>224</v>
      </c>
      <c r="X14" s="154">
        <v>14567</v>
      </c>
      <c r="Y14" s="155">
        <f t="shared" si="5"/>
        <v>151.66059344091619</v>
      </c>
      <c r="Z14" s="156">
        <f t="shared" si="6"/>
        <v>3248441</v>
      </c>
      <c r="AA14" s="155">
        <f t="shared" si="7"/>
        <v>33820.312337324307</v>
      </c>
      <c r="AB14" s="136"/>
      <c r="AC14" s="133"/>
      <c r="AD14" s="133"/>
      <c r="AE14" s="133"/>
      <c r="AF14" s="133"/>
    </row>
    <row r="15" spans="1:32" x14ac:dyDescent="0.25">
      <c r="A15" s="118"/>
      <c r="B15" s="29">
        <v>13</v>
      </c>
      <c r="C15" s="132" t="s">
        <v>199</v>
      </c>
      <c r="D15" s="13" t="s">
        <v>234</v>
      </c>
      <c r="E15" s="14" t="s">
        <v>216</v>
      </c>
      <c r="F15" s="13">
        <v>575</v>
      </c>
      <c r="G15" s="13">
        <v>154</v>
      </c>
      <c r="H15" s="13">
        <f t="shared" si="0"/>
        <v>421</v>
      </c>
      <c r="I15" s="15">
        <v>10987</v>
      </c>
      <c r="J15" s="16">
        <f t="shared" si="1"/>
        <v>114.38833940655908</v>
      </c>
      <c r="K15" s="17">
        <f t="shared" si="2"/>
        <v>1691998</v>
      </c>
      <c r="L15" s="18">
        <f t="shared" si="3"/>
        <v>17615.8042686101</v>
      </c>
      <c r="O15" s="133"/>
      <c r="P15" s="164"/>
      <c r="Q15" s="151">
        <v>13</v>
      </c>
      <c r="R15" s="152" t="s">
        <v>199</v>
      </c>
      <c r="S15" s="152" t="s">
        <v>234</v>
      </c>
      <c r="T15" s="153" t="s">
        <v>216</v>
      </c>
      <c r="U15" s="152">
        <v>575</v>
      </c>
      <c r="V15" s="152">
        <v>154</v>
      </c>
      <c r="W15" s="152">
        <f t="shared" si="4"/>
        <v>421</v>
      </c>
      <c r="X15" s="154">
        <v>10987</v>
      </c>
      <c r="Y15" s="155">
        <f t="shared" si="5"/>
        <v>114.38833940655908</v>
      </c>
      <c r="Z15" s="156">
        <f t="shared" si="6"/>
        <v>1691998</v>
      </c>
      <c r="AA15" s="155">
        <f t="shared" si="7"/>
        <v>17615.8042686101</v>
      </c>
      <c r="AB15" s="136"/>
      <c r="AC15" s="133"/>
      <c r="AD15" s="133"/>
      <c r="AE15" s="133"/>
      <c r="AF15" s="133"/>
    </row>
    <row r="16" spans="1:32" x14ac:dyDescent="0.25">
      <c r="A16" s="118"/>
      <c r="B16" s="29">
        <v>14</v>
      </c>
      <c r="C16" s="132" t="s">
        <v>200</v>
      </c>
      <c r="D16" s="13" t="s">
        <v>13</v>
      </c>
      <c r="E16" s="14" t="s">
        <v>217</v>
      </c>
      <c r="F16" s="13">
        <v>843</v>
      </c>
      <c r="G16" s="13">
        <v>245</v>
      </c>
      <c r="H16" s="13">
        <f t="shared" si="0"/>
        <v>598</v>
      </c>
      <c r="I16" s="15">
        <v>15678</v>
      </c>
      <c r="J16" s="16">
        <f t="shared" si="1"/>
        <v>163.22748568453932</v>
      </c>
      <c r="K16" s="17">
        <f t="shared" si="2"/>
        <v>3841110</v>
      </c>
      <c r="L16" s="18">
        <f t="shared" si="3"/>
        <v>39990.733992712136</v>
      </c>
      <c r="O16" s="133"/>
      <c r="P16" s="164"/>
      <c r="Q16" s="151">
        <v>14</v>
      </c>
      <c r="R16" s="152" t="s">
        <v>200</v>
      </c>
      <c r="S16" s="152" t="s">
        <v>13</v>
      </c>
      <c r="T16" s="153" t="s">
        <v>217</v>
      </c>
      <c r="U16" s="152">
        <v>843</v>
      </c>
      <c r="V16" s="152">
        <v>245</v>
      </c>
      <c r="W16" s="152">
        <f t="shared" si="4"/>
        <v>598</v>
      </c>
      <c r="X16" s="154">
        <v>15678</v>
      </c>
      <c r="Y16" s="155">
        <f t="shared" si="5"/>
        <v>163.22748568453932</v>
      </c>
      <c r="Z16" s="156">
        <f t="shared" si="6"/>
        <v>3841110</v>
      </c>
      <c r="AA16" s="155">
        <f t="shared" si="7"/>
        <v>39990.733992712136</v>
      </c>
      <c r="AB16" s="136"/>
      <c r="AC16" s="133"/>
      <c r="AD16" s="133"/>
      <c r="AE16" s="133"/>
      <c r="AF16" s="133"/>
    </row>
    <row r="17" spans="1:32" x14ac:dyDescent="0.25">
      <c r="A17" s="118"/>
      <c r="B17" s="29">
        <v>15</v>
      </c>
      <c r="C17" s="132" t="s">
        <v>201</v>
      </c>
      <c r="D17" s="13" t="s">
        <v>235</v>
      </c>
      <c r="E17" s="14" t="s">
        <v>218</v>
      </c>
      <c r="F17" s="13">
        <v>206</v>
      </c>
      <c r="G17" s="13">
        <v>254</v>
      </c>
      <c r="H17" s="13">
        <f t="shared" si="0"/>
        <v>-48</v>
      </c>
      <c r="I17" s="15">
        <v>13456</v>
      </c>
      <c r="J17" s="16">
        <f t="shared" si="1"/>
        <v>140.09370119729309</v>
      </c>
      <c r="K17" s="17">
        <f t="shared" si="2"/>
        <v>3417824</v>
      </c>
      <c r="L17" s="18">
        <f t="shared" si="3"/>
        <v>35583.800104112444</v>
      </c>
      <c r="O17" s="133"/>
      <c r="P17" s="164"/>
      <c r="Q17" s="151">
        <v>15</v>
      </c>
      <c r="R17" s="152" t="s">
        <v>201</v>
      </c>
      <c r="S17" s="152" t="s">
        <v>235</v>
      </c>
      <c r="T17" s="153" t="s">
        <v>218</v>
      </c>
      <c r="U17" s="152">
        <v>206</v>
      </c>
      <c r="V17" s="152">
        <v>254</v>
      </c>
      <c r="W17" s="152">
        <f t="shared" si="4"/>
        <v>-48</v>
      </c>
      <c r="X17" s="154">
        <v>13456</v>
      </c>
      <c r="Y17" s="155">
        <f t="shared" si="5"/>
        <v>140.09370119729309</v>
      </c>
      <c r="Z17" s="156">
        <f t="shared" si="6"/>
        <v>3417824</v>
      </c>
      <c r="AA17" s="155">
        <f t="shared" si="7"/>
        <v>35583.800104112444</v>
      </c>
      <c r="AB17" s="136"/>
      <c r="AC17" s="133"/>
      <c r="AD17" s="133"/>
      <c r="AE17" s="133"/>
      <c r="AF17" s="133"/>
    </row>
    <row r="18" spans="1:32" x14ac:dyDescent="0.25">
      <c r="A18" s="118"/>
      <c r="B18" s="29">
        <v>16</v>
      </c>
      <c r="C18" s="132" t="s">
        <v>202</v>
      </c>
      <c r="D18" s="13" t="s">
        <v>236</v>
      </c>
      <c r="E18" s="14" t="s">
        <v>219</v>
      </c>
      <c r="F18" s="13">
        <v>734</v>
      </c>
      <c r="G18" s="13">
        <v>250</v>
      </c>
      <c r="H18" s="13">
        <f t="shared" si="0"/>
        <v>484</v>
      </c>
      <c r="I18" s="15">
        <v>19876</v>
      </c>
      <c r="J18" s="16">
        <f t="shared" si="1"/>
        <v>206.93388859968766</v>
      </c>
      <c r="K18" s="17">
        <f t="shared" si="2"/>
        <v>4969000</v>
      </c>
      <c r="L18" s="18">
        <f t="shared" si="3"/>
        <v>51733.472149921916</v>
      </c>
      <c r="O18" s="133"/>
      <c r="P18" s="164"/>
      <c r="Q18" s="151">
        <v>16</v>
      </c>
      <c r="R18" s="152" t="s">
        <v>202</v>
      </c>
      <c r="S18" s="152" t="s">
        <v>236</v>
      </c>
      <c r="T18" s="153" t="s">
        <v>219</v>
      </c>
      <c r="U18" s="152">
        <v>734</v>
      </c>
      <c r="V18" s="152">
        <v>250</v>
      </c>
      <c r="W18" s="152">
        <f t="shared" si="4"/>
        <v>484</v>
      </c>
      <c r="X18" s="154">
        <v>19876</v>
      </c>
      <c r="Y18" s="155">
        <f t="shared" si="5"/>
        <v>206.93388859968766</v>
      </c>
      <c r="Z18" s="156">
        <f t="shared" si="6"/>
        <v>4969000</v>
      </c>
      <c r="AA18" s="155">
        <f t="shared" si="7"/>
        <v>51733.472149921916</v>
      </c>
      <c r="AB18" s="136"/>
      <c r="AC18" s="133"/>
      <c r="AD18" s="133"/>
      <c r="AE18" s="133"/>
      <c r="AF18" s="133"/>
    </row>
    <row r="19" spans="1:32" x14ac:dyDescent="0.25">
      <c r="A19" s="118"/>
      <c r="B19" s="29">
        <v>17</v>
      </c>
      <c r="C19" s="132" t="s">
        <v>203</v>
      </c>
      <c r="D19" s="13" t="s">
        <v>237</v>
      </c>
      <c r="E19" s="14" t="s">
        <v>220</v>
      </c>
      <c r="F19" s="13">
        <v>521</v>
      </c>
      <c r="G19" s="13">
        <v>267</v>
      </c>
      <c r="H19" s="13">
        <f t="shared" si="0"/>
        <v>254</v>
      </c>
      <c r="I19" s="15">
        <v>16789</v>
      </c>
      <c r="J19" s="16">
        <f t="shared" si="1"/>
        <v>174.79437792816242</v>
      </c>
      <c r="K19" s="17">
        <f t="shared" si="2"/>
        <v>4482663</v>
      </c>
      <c r="L19" s="18">
        <f t="shared" si="3"/>
        <v>46670.098906819367</v>
      </c>
      <c r="O19" s="133"/>
      <c r="P19" s="164"/>
      <c r="Q19" s="151">
        <v>17</v>
      </c>
      <c r="R19" s="152" t="s">
        <v>203</v>
      </c>
      <c r="S19" s="152" t="s">
        <v>237</v>
      </c>
      <c r="T19" s="153" t="s">
        <v>220</v>
      </c>
      <c r="U19" s="152">
        <v>521</v>
      </c>
      <c r="V19" s="152">
        <v>267</v>
      </c>
      <c r="W19" s="152">
        <f t="shared" si="4"/>
        <v>254</v>
      </c>
      <c r="X19" s="154">
        <v>16789</v>
      </c>
      <c r="Y19" s="155">
        <f t="shared" si="5"/>
        <v>174.79437792816242</v>
      </c>
      <c r="Z19" s="156">
        <f t="shared" si="6"/>
        <v>4482663</v>
      </c>
      <c r="AA19" s="155">
        <f t="shared" si="7"/>
        <v>46670.098906819367</v>
      </c>
      <c r="AB19" s="136"/>
      <c r="AC19" s="133"/>
      <c r="AD19" s="133"/>
      <c r="AE19" s="133"/>
      <c r="AF19" s="133"/>
    </row>
    <row r="20" spans="1:32" ht="15.75" thickBot="1" x14ac:dyDescent="0.3">
      <c r="A20" s="118"/>
      <c r="B20" s="29">
        <v>18</v>
      </c>
      <c r="C20" s="132" t="s">
        <v>11</v>
      </c>
      <c r="D20" s="13" t="s">
        <v>238</v>
      </c>
      <c r="E20" s="14" t="s">
        <v>221</v>
      </c>
      <c r="F20" s="13">
        <v>389</v>
      </c>
      <c r="G20" s="13">
        <v>812</v>
      </c>
      <c r="H20" s="13">
        <f t="shared" si="0"/>
        <v>-423</v>
      </c>
      <c r="I20" s="15">
        <v>12345</v>
      </c>
      <c r="J20" s="19">
        <f t="shared" si="1"/>
        <v>128.52680895366996</v>
      </c>
      <c r="K20" s="20">
        <f t="shared" si="2"/>
        <v>10024140</v>
      </c>
      <c r="L20" s="21">
        <f t="shared" si="3"/>
        <v>104363.76887038001</v>
      </c>
      <c r="O20" s="133"/>
      <c r="P20" s="164"/>
      <c r="Q20" s="151">
        <v>18</v>
      </c>
      <c r="R20" s="152" t="s">
        <v>11</v>
      </c>
      <c r="S20" s="152" t="s">
        <v>238</v>
      </c>
      <c r="T20" s="153" t="s">
        <v>221</v>
      </c>
      <c r="U20" s="152">
        <v>389</v>
      </c>
      <c r="V20" s="152">
        <v>812</v>
      </c>
      <c r="W20" s="152">
        <f t="shared" si="4"/>
        <v>-423</v>
      </c>
      <c r="X20" s="154">
        <v>12345</v>
      </c>
      <c r="Y20" s="157">
        <f t="shared" si="5"/>
        <v>128.52680895366996</v>
      </c>
      <c r="Z20" s="158">
        <f t="shared" si="6"/>
        <v>10024140</v>
      </c>
      <c r="AA20" s="157">
        <f t="shared" si="7"/>
        <v>104363.76887038001</v>
      </c>
      <c r="AB20" s="136"/>
      <c r="AC20" s="133"/>
      <c r="AD20" s="133"/>
      <c r="AE20" s="133"/>
      <c r="AF20" s="133"/>
    </row>
    <row r="21" spans="1:32" ht="15.75" thickBot="1" x14ac:dyDescent="0.3">
      <c r="B21" s="22"/>
      <c r="C21" s="22"/>
      <c r="D21" s="22"/>
      <c r="E21" s="22"/>
      <c r="F21" s="22"/>
      <c r="G21" s="22"/>
      <c r="H21" s="22"/>
      <c r="I21" s="23"/>
      <c r="J21" s="24" t="s">
        <v>15</v>
      </c>
      <c r="K21" s="25">
        <f>SUM(K3:K20)</f>
        <v>66082917</v>
      </c>
      <c r="L21" s="26">
        <f>SUM(L3:L20)</f>
        <v>688005.38261322223</v>
      </c>
      <c r="O21" s="133"/>
      <c r="P21" s="137"/>
      <c r="Q21" s="159"/>
      <c r="R21" s="159"/>
      <c r="S21" s="159"/>
      <c r="T21" s="159"/>
      <c r="U21" s="159"/>
      <c r="V21" s="159"/>
      <c r="W21" s="159"/>
      <c r="X21" s="160"/>
      <c r="Y21" s="161" t="s">
        <v>15</v>
      </c>
      <c r="Z21" s="162">
        <f>SUM(Z3:Z20)</f>
        <v>66082917</v>
      </c>
      <c r="AA21" s="163">
        <f>SUM(AA3:AA20)</f>
        <v>688005.38261322223</v>
      </c>
      <c r="AB21" s="136"/>
      <c r="AC21" s="133"/>
      <c r="AD21" s="133"/>
      <c r="AE21" s="133"/>
      <c r="AF21" s="133"/>
    </row>
    <row r="22" spans="1:32" x14ac:dyDescent="0.25"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</row>
    <row r="23" spans="1:32" x14ac:dyDescent="0.25"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</row>
    <row r="24" spans="1:32" x14ac:dyDescent="0.25"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</row>
    <row r="25" spans="1:32" x14ac:dyDescent="0.25"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</sheetData>
  <sortState xmlns:xlrd2="http://schemas.microsoft.com/office/spreadsheetml/2017/richdata2" ref="B3:L21">
    <sortCondition ref="C3:C21"/>
  </sortState>
  <mergeCells count="3">
    <mergeCell ref="B1:L1"/>
    <mergeCell ref="A2:A20"/>
    <mergeCell ref="Q1:AA1"/>
  </mergeCells>
  <conditionalFormatting sqref="H1:H1048576 I3:I20">
    <cfRule type="cellIs" dxfId="18" priority="3" operator="lessThan">
      <formula>0</formula>
    </cfRule>
  </conditionalFormatting>
  <conditionalFormatting sqref="W1:W21 X3:X20">
    <cfRule type="cellIs" dxfId="15" priority="1" operator="lessThan">
      <formula>0</formula>
    </cfRule>
  </conditionalFormatting>
  <pageMargins left="0.7" right="0.7" top="0.75" bottom="0.75" header="0.3" footer="0.3"/>
  <pageSetup paperSize="9" scale="53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="127" workbookViewId="0">
      <selection activeCell="I12" sqref="I12"/>
    </sheetView>
  </sheetViews>
  <sheetFormatPr defaultRowHeight="15" x14ac:dyDescent="0.25"/>
  <cols>
    <col min="1" max="1" width="16.42578125" bestFit="1" customWidth="1"/>
    <col min="2" max="2" width="11.140625" bestFit="1" customWidth="1"/>
    <col min="5" max="5" width="14" bestFit="1" customWidth="1"/>
    <col min="7" max="7" width="12" bestFit="1" customWidth="1"/>
  </cols>
  <sheetData>
    <row r="1" spans="1:9" ht="15.75" thickBot="1" x14ac:dyDescent="0.3">
      <c r="A1" s="119" t="s">
        <v>17</v>
      </c>
      <c r="B1" s="120"/>
      <c r="C1" s="120"/>
      <c r="D1" s="120"/>
      <c r="E1" s="120"/>
      <c r="F1" s="120"/>
      <c r="G1" s="121"/>
    </row>
    <row r="2" spans="1:9" ht="15.75" thickBot="1" x14ac:dyDescent="0.3">
      <c r="A2" s="42" t="s">
        <v>18</v>
      </c>
      <c r="B2" s="44">
        <f ca="1">TODAY()</f>
        <v>45381</v>
      </c>
      <c r="C2" s="30"/>
      <c r="D2" s="30"/>
      <c r="E2" s="42" t="s">
        <v>48</v>
      </c>
      <c r="F2" s="30"/>
      <c r="G2" s="31">
        <v>98</v>
      </c>
    </row>
    <row r="3" spans="1:9" ht="15.75" thickBot="1" x14ac:dyDescent="0.3">
      <c r="A3" s="32"/>
      <c r="B3" s="30"/>
      <c r="C3" s="30"/>
      <c r="D3" s="30"/>
      <c r="E3" s="30"/>
      <c r="F3" s="30"/>
      <c r="G3" s="31"/>
    </row>
    <row r="4" spans="1:9" ht="15.75" thickBot="1" x14ac:dyDescent="0.3">
      <c r="A4" s="39" t="s">
        <v>19</v>
      </c>
      <c r="B4" s="33"/>
      <c r="C4" s="43" t="s">
        <v>20</v>
      </c>
      <c r="D4" s="33"/>
      <c r="E4" s="39" t="s">
        <v>21</v>
      </c>
      <c r="F4" s="30"/>
      <c r="G4" s="39" t="s">
        <v>22</v>
      </c>
    </row>
    <row r="5" spans="1:9" x14ac:dyDescent="0.25">
      <c r="A5" s="32"/>
      <c r="B5" s="30"/>
      <c r="C5" s="30"/>
      <c r="D5" s="30"/>
      <c r="E5" s="30"/>
      <c r="F5" s="30"/>
      <c r="G5" s="31"/>
    </row>
    <row r="6" spans="1:9" x14ac:dyDescent="0.25">
      <c r="A6" s="32" t="s">
        <v>23</v>
      </c>
      <c r="B6" s="30"/>
      <c r="C6" s="30"/>
      <c r="D6" s="30"/>
      <c r="E6" s="34">
        <f>IF(Сенсорный!C3=1,Сенсорный!B2,IF(Сенсорный!C3=2,Сенсорный!B3,IF(Сенсорный!C3=3,Сенсорный!B4,IF(Сенсорный!C3=4,Сенсорный!B5,Сенсорный!B6))))</f>
        <v>70000</v>
      </c>
      <c r="F6" s="30"/>
      <c r="G6" s="35">
        <f>E6/G2</f>
        <v>714.28571428571433</v>
      </c>
    </row>
    <row r="7" spans="1:9" x14ac:dyDescent="0.25">
      <c r="A7" s="32"/>
      <c r="B7" s="30"/>
      <c r="C7" s="30"/>
      <c r="D7" s="30"/>
      <c r="E7" s="30"/>
      <c r="F7" s="30"/>
      <c r="G7" s="35"/>
    </row>
    <row r="8" spans="1:9" x14ac:dyDescent="0.25">
      <c r="A8" s="32" t="s">
        <v>24</v>
      </c>
      <c r="B8" s="30"/>
      <c r="C8" s="30"/>
      <c r="D8" s="30"/>
      <c r="E8" s="34">
        <f>IF('Кнопочный '!C3=1,'Кнопочный '!B2,IF('Кнопочный '!C3=2,'Кнопочный '!B3,IF('Кнопочный '!C3=3,'Кнопочный '!B4,IF('Кнопочный '!C3=4,'Кнопочный '!B5,'Кнопочный '!B6))))</f>
        <v>3300</v>
      </c>
      <c r="F8" s="30"/>
      <c r="G8" s="35">
        <f>E8/G2</f>
        <v>33.673469387755105</v>
      </c>
    </row>
    <row r="9" spans="1:9" x14ac:dyDescent="0.25">
      <c r="A9" s="32"/>
      <c r="B9" s="30"/>
      <c r="C9" s="30"/>
      <c r="D9" s="30"/>
      <c r="E9" s="30"/>
      <c r="F9" s="30"/>
      <c r="G9" s="35"/>
    </row>
    <row r="10" spans="1:9" x14ac:dyDescent="0.25">
      <c r="A10" s="32" t="s">
        <v>25</v>
      </c>
      <c r="B10" s="30"/>
      <c r="C10" s="30"/>
      <c r="D10" s="30"/>
      <c r="E10" s="34">
        <f>IF(Складной!C3=1,Складной!B2,IF(Складной!C3=2,Складной!B3,IF(Складной!C3=3,Складной!B4,IF(Складной!C3=4,Складной!B5,Складной!B6))))</f>
        <v>170000</v>
      </c>
      <c r="F10" s="30"/>
      <c r="G10" s="35">
        <f>E10/G6</f>
        <v>237.99999999999997</v>
      </c>
    </row>
    <row r="11" spans="1:9" x14ac:dyDescent="0.25">
      <c r="A11" s="32"/>
      <c r="B11" s="30"/>
      <c r="C11" s="30"/>
      <c r="D11" s="30"/>
      <c r="E11" s="30"/>
      <c r="F11" s="30"/>
      <c r="G11" s="35"/>
    </row>
    <row r="12" spans="1:9" x14ac:dyDescent="0.25">
      <c r="A12" s="32" t="s">
        <v>26</v>
      </c>
      <c r="B12" s="30"/>
      <c r="C12" s="30"/>
      <c r="D12" s="30"/>
      <c r="E12" s="34">
        <f>IF(Полукнопочный!C3=1,Полукнопочный!B2,IF(Полукнопочный!C3=2,Полукнопочный!B3,IF(Полукнопочный!C3=3,Полукнопочный!B4,IF(Полукнопочный!C3=4,Полукнопочный!B5,Полукнопочный!B6))))</f>
        <v>17000</v>
      </c>
      <c r="F12" s="30"/>
      <c r="G12" s="35">
        <f>E12/G2</f>
        <v>173.46938775510205</v>
      </c>
    </row>
    <row r="13" spans="1:9" ht="15.75" thickBot="1" x14ac:dyDescent="0.3">
      <c r="A13" s="32"/>
      <c r="B13" s="30"/>
      <c r="C13" s="30"/>
      <c r="D13" s="30"/>
      <c r="E13" s="30"/>
      <c r="F13" s="30"/>
      <c r="G13" s="31"/>
    </row>
    <row r="14" spans="1:9" ht="15.75" thickBot="1" x14ac:dyDescent="0.3">
      <c r="A14" s="36"/>
      <c r="B14" s="37"/>
      <c r="C14" s="37"/>
      <c r="D14" s="38" t="s">
        <v>49</v>
      </c>
      <c r="E14" s="40">
        <f>SUM(E6:E12)</f>
        <v>260300</v>
      </c>
      <c r="F14" s="37"/>
      <c r="G14" s="41">
        <f>SUM(G6:G12)</f>
        <v>1159.4285714285716</v>
      </c>
    </row>
    <row r="15" spans="1:9" x14ac:dyDescent="0.25">
      <c r="A15" s="32"/>
      <c r="B15" s="30"/>
      <c r="C15" s="30"/>
      <c r="D15" s="30"/>
      <c r="E15" s="30"/>
      <c r="F15" s="30"/>
      <c r="G15" s="31"/>
      <c r="I15">
        <v>1</v>
      </c>
    </row>
    <row r="16" spans="1:9" x14ac:dyDescent="0.25">
      <c r="A16" s="32"/>
      <c r="B16" s="30"/>
      <c r="C16" s="30"/>
      <c r="D16" s="30"/>
      <c r="E16" s="30"/>
      <c r="F16" s="30"/>
      <c r="G16" s="31"/>
    </row>
    <row r="17" spans="1:9" x14ac:dyDescent="0.25">
      <c r="A17" s="32" t="s">
        <v>50</v>
      </c>
      <c r="B17" s="30"/>
      <c r="C17" s="30"/>
      <c r="D17" s="30"/>
      <c r="E17" s="45">
        <f>IF(I15=1,E14-E14,IF(I15=2,E14+1000-E14))</f>
        <v>0</v>
      </c>
      <c r="F17" s="30"/>
      <c r="G17" s="46">
        <f>E17/G2</f>
        <v>0</v>
      </c>
    </row>
    <row r="18" spans="1:9" x14ac:dyDescent="0.25">
      <c r="A18" s="32"/>
      <c r="B18" s="30"/>
      <c r="C18" s="30"/>
      <c r="D18" s="30"/>
      <c r="E18" s="30"/>
      <c r="F18" s="30"/>
      <c r="G18" s="31"/>
    </row>
    <row r="19" spans="1:9" x14ac:dyDescent="0.25">
      <c r="A19" s="32" t="s">
        <v>51</v>
      </c>
      <c r="B19" s="30"/>
      <c r="C19" s="30"/>
      <c r="D19" s="30"/>
      <c r="E19" s="45">
        <f>IF(I19=TRUE,E14+2000-E14,IF(I19=FALSE,E14-E14))</f>
        <v>2000</v>
      </c>
      <c r="F19" s="30"/>
      <c r="G19" s="46">
        <f>E19/G2</f>
        <v>20.408163265306122</v>
      </c>
      <c r="I19" t="b">
        <v>1</v>
      </c>
    </row>
    <row r="20" spans="1:9" x14ac:dyDescent="0.25">
      <c r="A20" s="32"/>
      <c r="B20" s="30"/>
      <c r="C20" s="30"/>
      <c r="D20" s="30"/>
      <c r="E20" s="30"/>
      <c r="F20" s="30"/>
      <c r="G20" s="31"/>
    </row>
    <row r="21" spans="1:9" x14ac:dyDescent="0.25">
      <c r="A21" s="32" t="s">
        <v>52</v>
      </c>
      <c r="B21" s="30"/>
      <c r="C21" s="30"/>
      <c r="D21" s="30"/>
      <c r="E21" s="45">
        <f>IF(E14&gt;50000,E14*0.07)</f>
        <v>18221</v>
      </c>
      <c r="F21" s="30"/>
      <c r="G21" s="46">
        <f>E21/G2</f>
        <v>185.92857142857142</v>
      </c>
    </row>
    <row r="22" spans="1:9" x14ac:dyDescent="0.25">
      <c r="A22" s="32"/>
      <c r="B22" s="30"/>
      <c r="C22" s="30"/>
      <c r="D22" s="30"/>
      <c r="E22" s="30"/>
      <c r="F22" s="30"/>
      <c r="G22" s="31"/>
    </row>
    <row r="23" spans="1:9" ht="15.75" thickBot="1" x14ac:dyDescent="0.3">
      <c r="A23" s="36" t="s">
        <v>53</v>
      </c>
      <c r="B23" s="37"/>
      <c r="C23" s="37"/>
      <c r="D23" s="37"/>
      <c r="E23" s="47">
        <f>SUM(E14+E17+E19-E21)</f>
        <v>244079</v>
      </c>
      <c r="F23" s="37"/>
      <c r="G23" s="48">
        <f>E23/G2</f>
        <v>2490.6020408163267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0</xdr:col>
                    <xdr:colOff>1076325</xdr:colOff>
                    <xdr:row>4</xdr:row>
                    <xdr:rowOff>190500</xdr:rowOff>
                  </from>
                  <to>
                    <xdr:col>4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7</xdr:row>
                    <xdr:rowOff>9525</xdr:rowOff>
                  </from>
                  <to>
                    <xdr:col>4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>
                <anchor moveWithCells="1">
                  <from>
                    <xdr:col>0</xdr:col>
                    <xdr:colOff>1076325</xdr:colOff>
                    <xdr:row>9</xdr:row>
                    <xdr:rowOff>9525</xdr:rowOff>
                  </from>
                  <to>
                    <xdr:col>4</xdr:col>
                    <xdr:colOff>9525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defaultSize="0" autoLine="0" autoPict="0">
                <anchor moveWithCells="1">
                  <from>
                    <xdr:col>0</xdr:col>
                    <xdr:colOff>1085850</xdr:colOff>
                    <xdr:row>11</xdr:row>
                    <xdr:rowOff>9525</xdr:rowOff>
                  </from>
                  <to>
                    <xdr:col>4</xdr:col>
                    <xdr:colOff>19050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161925</xdr:rowOff>
                  </from>
                  <to>
                    <xdr:col>1</xdr:col>
                    <xdr:colOff>676275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0</xdr:rowOff>
                  </from>
                  <to>
                    <xdr:col>1</xdr:col>
                    <xdr:colOff>619125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Option Button 7">
              <controlPr defaultSize="0" autoFill="0" autoLine="0" autoPict="0">
                <anchor moveWithCells="1">
                  <from>
                    <xdr:col>1</xdr:col>
                    <xdr:colOff>714375</xdr:colOff>
                    <xdr:row>16</xdr:row>
                    <xdr:rowOff>0</xdr:rowOff>
                  </from>
                  <to>
                    <xdr:col>3</xdr:col>
                    <xdr:colOff>38100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5"/>
  <sheetViews>
    <sheetView tabSelected="1" topLeftCell="D2" zoomScale="145" zoomScaleNormal="145" workbookViewId="0">
      <selection activeCell="AI2" sqref="AI2:AI13"/>
    </sheetView>
  </sheetViews>
  <sheetFormatPr defaultRowHeight="15" outlineLevelCol="1" x14ac:dyDescent="0.25"/>
  <cols>
    <col min="1" max="1" width="3.85546875" customWidth="1"/>
    <col min="2" max="2" width="13.5703125" bestFit="1" customWidth="1"/>
    <col min="3" max="3" width="13" bestFit="1" customWidth="1"/>
    <col min="4" max="4" width="19.42578125" bestFit="1" customWidth="1"/>
    <col min="5" max="13" width="3.7109375" customWidth="1" outlineLevel="1"/>
    <col min="14" max="14" width="4.140625" customWidth="1" outlineLevel="1" collapsed="1"/>
    <col min="15" max="24" width="4.140625" customWidth="1" outlineLevel="1"/>
    <col min="25" max="25" width="4.7109375" bestFit="1" customWidth="1"/>
    <col min="26" max="29" width="4.85546875" bestFit="1" customWidth="1"/>
    <col min="30" max="30" width="4.7109375" bestFit="1" customWidth="1"/>
    <col min="31" max="34" width="4.85546875" bestFit="1" customWidth="1"/>
    <col min="35" max="35" width="6.85546875" bestFit="1" customWidth="1"/>
    <col min="36" max="36" width="22.5703125" bestFit="1" customWidth="1"/>
  </cols>
  <sheetData>
    <row r="1" spans="1:36" ht="19.5" thickBot="1" x14ac:dyDescent="0.35">
      <c r="A1" s="49"/>
      <c r="B1" s="49"/>
      <c r="C1" s="49"/>
      <c r="D1" s="49"/>
      <c r="E1" s="49"/>
    </row>
    <row r="2" spans="1:36" ht="19.5" thickBot="1" x14ac:dyDescent="0.35">
      <c r="A2" s="52"/>
      <c r="B2" s="125" t="s">
        <v>54</v>
      </c>
      <c r="C2" s="125"/>
      <c r="D2" s="126"/>
      <c r="E2" s="127" t="s">
        <v>58</v>
      </c>
      <c r="F2" s="125"/>
      <c r="G2" s="125"/>
      <c r="H2" s="125"/>
      <c r="I2" s="125"/>
      <c r="J2" s="125"/>
      <c r="K2" s="125"/>
      <c r="L2" s="125"/>
      <c r="M2" s="128"/>
      <c r="N2" s="115" t="s">
        <v>96</v>
      </c>
      <c r="O2" s="116"/>
      <c r="P2" s="116"/>
      <c r="Q2" s="116"/>
      <c r="R2" s="116"/>
      <c r="S2" s="116"/>
      <c r="T2" s="116"/>
      <c r="U2" s="116"/>
      <c r="V2" s="116"/>
      <c r="W2" s="116"/>
      <c r="X2" s="117"/>
      <c r="Y2" s="129" t="s">
        <v>97</v>
      </c>
      <c r="Z2" s="125"/>
      <c r="AA2" s="125"/>
      <c r="AB2" s="125"/>
      <c r="AC2" s="128"/>
      <c r="AD2" s="122" t="s">
        <v>98</v>
      </c>
      <c r="AE2" s="123"/>
      <c r="AF2" s="123"/>
      <c r="AG2" s="123"/>
      <c r="AH2" s="124"/>
      <c r="AI2" s="70" t="s">
        <v>15</v>
      </c>
      <c r="AJ2" s="62" t="s">
        <v>95</v>
      </c>
    </row>
    <row r="3" spans="1:36" ht="18.75" x14ac:dyDescent="0.3">
      <c r="A3" s="53" t="s">
        <v>0</v>
      </c>
      <c r="B3" s="50" t="s">
        <v>55</v>
      </c>
      <c r="C3" s="50" t="s">
        <v>56</v>
      </c>
      <c r="D3" s="60" t="s">
        <v>57</v>
      </c>
      <c r="E3" s="53">
        <v>2</v>
      </c>
      <c r="F3" s="50">
        <v>4</v>
      </c>
      <c r="G3" s="50">
        <v>8</v>
      </c>
      <c r="H3" s="50">
        <v>9</v>
      </c>
      <c r="I3" s="50">
        <v>10</v>
      </c>
      <c r="J3" s="50">
        <v>12</v>
      </c>
      <c r="K3" s="50">
        <v>14</v>
      </c>
      <c r="L3" s="50">
        <v>23</v>
      </c>
      <c r="M3" s="57">
        <v>27</v>
      </c>
      <c r="N3" s="67">
        <v>1</v>
      </c>
      <c r="O3" s="68">
        <v>2</v>
      </c>
      <c r="P3" s="68">
        <v>4</v>
      </c>
      <c r="Q3" s="68">
        <v>6</v>
      </c>
      <c r="R3" s="68">
        <v>7</v>
      </c>
      <c r="S3" s="68">
        <v>13</v>
      </c>
      <c r="T3" s="68">
        <v>18</v>
      </c>
      <c r="U3" s="68">
        <v>19</v>
      </c>
      <c r="V3" s="68">
        <v>23</v>
      </c>
      <c r="W3" s="68">
        <v>27</v>
      </c>
      <c r="X3" s="69">
        <v>30</v>
      </c>
      <c r="Y3" s="65" t="s">
        <v>60</v>
      </c>
      <c r="Z3" s="50" t="s">
        <v>61</v>
      </c>
      <c r="AA3" s="50" t="s">
        <v>62</v>
      </c>
      <c r="AB3" s="50" t="s">
        <v>63</v>
      </c>
      <c r="AC3" s="57" t="s">
        <v>64</v>
      </c>
      <c r="AD3" s="53" t="s">
        <v>60</v>
      </c>
      <c r="AE3" s="50" t="s">
        <v>61</v>
      </c>
      <c r="AF3" s="50" t="s">
        <v>62</v>
      </c>
      <c r="AG3" s="50" t="s">
        <v>63</v>
      </c>
      <c r="AH3" s="60" t="s">
        <v>64</v>
      </c>
      <c r="AI3" s="71"/>
      <c r="AJ3" s="63"/>
    </row>
    <row r="4" spans="1:36" ht="18.75" x14ac:dyDescent="0.3">
      <c r="A4" s="53">
        <v>1</v>
      </c>
      <c r="B4" s="50" t="s">
        <v>65</v>
      </c>
      <c r="C4" s="50" t="s">
        <v>66</v>
      </c>
      <c r="D4" s="60" t="s">
        <v>67</v>
      </c>
      <c r="E4" s="53"/>
      <c r="F4" s="50" t="s">
        <v>59</v>
      </c>
      <c r="G4" s="50"/>
      <c r="H4" s="50"/>
      <c r="I4" s="50"/>
      <c r="J4" s="50"/>
      <c r="K4" s="50" t="s">
        <v>59</v>
      </c>
      <c r="L4" s="50"/>
      <c r="M4" s="57"/>
      <c r="N4" s="53"/>
      <c r="O4" s="50"/>
      <c r="P4" s="50" t="s">
        <v>59</v>
      </c>
      <c r="Q4" s="50"/>
      <c r="R4" s="50"/>
      <c r="S4" s="50"/>
      <c r="T4" s="50"/>
      <c r="U4" s="50" t="s">
        <v>59</v>
      </c>
      <c r="V4" s="50" t="s">
        <v>59</v>
      </c>
      <c r="W4" s="50"/>
      <c r="X4" s="60" t="s">
        <v>59</v>
      </c>
      <c r="Y4" s="65">
        <f t="shared" ref="Y4:Y13" si="0">COUNTIF(E4:M4,"нб")</f>
        <v>2</v>
      </c>
      <c r="Z4" s="50">
        <f t="shared" ref="Z4:Z13" si="1">COUNTIF(E4:M4,"5")</f>
        <v>0</v>
      </c>
      <c r="AA4" s="50">
        <f t="shared" ref="AA4:AA13" si="2">COUNTIF(E4:M4,"4")</f>
        <v>0</v>
      </c>
      <c r="AB4" s="50">
        <f t="shared" ref="AB4:AB13" si="3">COUNTIF(E4:M4,"3")</f>
        <v>0</v>
      </c>
      <c r="AC4" s="57">
        <f t="shared" ref="AC4:AC13" si="4">COUNTIF(E4:M4,"2")</f>
        <v>0</v>
      </c>
      <c r="AD4" s="59">
        <f>COUNTIF(N4:X4,"нб")</f>
        <v>4</v>
      </c>
      <c r="AE4" s="51">
        <f>COUNTIF(N4:X4,"5")</f>
        <v>0</v>
      </c>
      <c r="AF4" s="51">
        <f>COUNTIF(N4:X4,"4")</f>
        <v>0</v>
      </c>
      <c r="AG4" s="51">
        <f>COUNTIF(N4:X4,"3")</f>
        <v>0</v>
      </c>
      <c r="AH4" s="54">
        <f>COUNTIF(N4:X4,"2")</f>
        <v>0</v>
      </c>
      <c r="AI4" s="71" t="str">
        <f>IF(SUM(E4:X4)=0,"н/а",ROUNDUP(AVERAGE(E4:X4),0))</f>
        <v>н/а</v>
      </c>
      <c r="AJ4" s="63" t="str">
        <f>IF(Y4+AD4&gt;=(COUNT($E$3:$X$3)/2),"Много отсутсвует","Посещает")</f>
        <v>Посещает</v>
      </c>
    </row>
    <row r="5" spans="1:36" ht="18.75" x14ac:dyDescent="0.3">
      <c r="A5" s="53">
        <v>2</v>
      </c>
      <c r="B5" s="49" t="s">
        <v>93</v>
      </c>
      <c r="C5" s="50" t="s">
        <v>77</v>
      </c>
      <c r="D5" s="60" t="s">
        <v>68</v>
      </c>
      <c r="E5" s="53"/>
      <c r="F5" s="50" t="s">
        <v>59</v>
      </c>
      <c r="G5" s="50">
        <v>5</v>
      </c>
      <c r="H5" s="50"/>
      <c r="I5" s="50" t="s">
        <v>59</v>
      </c>
      <c r="J5" s="50"/>
      <c r="K5" s="50">
        <v>3</v>
      </c>
      <c r="L5" s="50"/>
      <c r="M5" s="57"/>
      <c r="N5" s="53">
        <v>5</v>
      </c>
      <c r="O5" s="50" t="s">
        <v>59</v>
      </c>
      <c r="P5" s="50"/>
      <c r="Q5" s="50">
        <v>3</v>
      </c>
      <c r="R5" s="50"/>
      <c r="S5" s="50"/>
      <c r="T5" s="50">
        <v>5</v>
      </c>
      <c r="U5" s="50"/>
      <c r="V5" s="50" t="s">
        <v>59</v>
      </c>
      <c r="W5" s="50"/>
      <c r="X5" s="60" t="s">
        <v>59</v>
      </c>
      <c r="Y5" s="65">
        <f t="shared" si="0"/>
        <v>2</v>
      </c>
      <c r="Z5" s="50">
        <f t="shared" si="1"/>
        <v>1</v>
      </c>
      <c r="AA5" s="50">
        <f t="shared" si="2"/>
        <v>0</v>
      </c>
      <c r="AB5" s="50">
        <f t="shared" si="3"/>
        <v>1</v>
      </c>
      <c r="AC5" s="57">
        <f t="shared" si="4"/>
        <v>0</v>
      </c>
      <c r="AD5" s="59">
        <f t="shared" ref="AD5:AD13" si="5">COUNTIF(N5:X5,"нб")</f>
        <v>3</v>
      </c>
      <c r="AE5" s="51">
        <f t="shared" ref="AE5:AE13" si="6">COUNTIF(N5:X5,"5")</f>
        <v>2</v>
      </c>
      <c r="AF5" s="51">
        <f t="shared" ref="AF5:AF13" si="7">COUNTIF(N5:X5,"4")</f>
        <v>0</v>
      </c>
      <c r="AG5" s="51">
        <f t="shared" ref="AG5:AG13" si="8">COUNTIF(N5:X5,"3")</f>
        <v>1</v>
      </c>
      <c r="AH5" s="54">
        <f t="shared" ref="AH5:AH13" si="9">COUNTIF(N5:X5,"2")</f>
        <v>0</v>
      </c>
      <c r="AI5" s="71">
        <f t="shared" ref="AI5:AI13" si="10">IF(SUM(E5:X5)=0,"н/а",ROUNDUP(AVERAGE(E5:X5),0))</f>
        <v>5</v>
      </c>
      <c r="AJ5" s="63" t="str">
        <f t="shared" ref="AJ5:AJ13" si="11">IF(Y5&gt;=(COUNT($E$3:$M$3)/2),"Много отсутсвует","Посещает")</f>
        <v>Посещает</v>
      </c>
    </row>
    <row r="6" spans="1:36" ht="18.75" x14ac:dyDescent="0.3">
      <c r="A6" s="53">
        <v>3</v>
      </c>
      <c r="B6" s="50" t="s">
        <v>86</v>
      </c>
      <c r="C6" s="50" t="s">
        <v>78</v>
      </c>
      <c r="D6" s="60" t="s">
        <v>69</v>
      </c>
      <c r="E6" s="53">
        <v>5</v>
      </c>
      <c r="F6" s="50" t="s">
        <v>59</v>
      </c>
      <c r="G6" s="50"/>
      <c r="H6" s="50"/>
      <c r="I6" s="50">
        <v>4</v>
      </c>
      <c r="J6" s="50"/>
      <c r="K6" s="50" t="s">
        <v>59</v>
      </c>
      <c r="L6" s="50"/>
      <c r="M6" s="57">
        <v>5</v>
      </c>
      <c r="N6" s="53" t="s">
        <v>59</v>
      </c>
      <c r="O6" s="50">
        <v>3</v>
      </c>
      <c r="P6" s="50"/>
      <c r="Q6" s="50"/>
      <c r="R6" s="50"/>
      <c r="S6" s="50">
        <v>5</v>
      </c>
      <c r="T6" s="50" t="s">
        <v>59</v>
      </c>
      <c r="U6" s="50"/>
      <c r="V6" s="50">
        <v>3</v>
      </c>
      <c r="W6" s="50"/>
      <c r="X6" s="60"/>
      <c r="Y6" s="65">
        <f t="shared" si="0"/>
        <v>2</v>
      </c>
      <c r="Z6" s="50">
        <f t="shared" si="1"/>
        <v>2</v>
      </c>
      <c r="AA6" s="50">
        <f t="shared" si="2"/>
        <v>1</v>
      </c>
      <c r="AB6" s="50">
        <f t="shared" si="3"/>
        <v>0</v>
      </c>
      <c r="AC6" s="57">
        <f t="shared" si="4"/>
        <v>0</v>
      </c>
      <c r="AD6" s="59">
        <f t="shared" si="5"/>
        <v>2</v>
      </c>
      <c r="AE6" s="51">
        <f t="shared" si="6"/>
        <v>1</v>
      </c>
      <c r="AF6" s="51">
        <f t="shared" si="7"/>
        <v>0</v>
      </c>
      <c r="AG6" s="51">
        <f t="shared" si="8"/>
        <v>2</v>
      </c>
      <c r="AH6" s="54">
        <f t="shared" si="9"/>
        <v>0</v>
      </c>
      <c r="AI6" s="71">
        <f t="shared" si="10"/>
        <v>5</v>
      </c>
      <c r="AJ6" s="63" t="str">
        <f t="shared" si="11"/>
        <v>Посещает</v>
      </c>
    </row>
    <row r="7" spans="1:36" ht="18.75" x14ac:dyDescent="0.3">
      <c r="A7" s="53">
        <v>4</v>
      </c>
      <c r="B7" s="50" t="s">
        <v>87</v>
      </c>
      <c r="C7" s="50" t="s">
        <v>79</v>
      </c>
      <c r="D7" s="60" t="s">
        <v>70</v>
      </c>
      <c r="E7" s="53"/>
      <c r="F7" s="50">
        <v>3</v>
      </c>
      <c r="G7" s="50" t="s">
        <v>59</v>
      </c>
      <c r="H7" s="50">
        <v>2</v>
      </c>
      <c r="I7" s="50">
        <v>4</v>
      </c>
      <c r="J7" s="50" t="s">
        <v>59</v>
      </c>
      <c r="K7" s="50" t="s">
        <v>59</v>
      </c>
      <c r="L7" s="50" t="s">
        <v>59</v>
      </c>
      <c r="M7" s="57" t="s">
        <v>59</v>
      </c>
      <c r="N7" s="53">
        <v>5</v>
      </c>
      <c r="O7" s="50"/>
      <c r="P7" s="50" t="s">
        <v>59</v>
      </c>
      <c r="Q7" s="50">
        <v>4</v>
      </c>
      <c r="R7" s="50">
        <v>2</v>
      </c>
      <c r="S7" s="50"/>
      <c r="T7" s="50">
        <v>4</v>
      </c>
      <c r="U7" s="50"/>
      <c r="V7" s="50"/>
      <c r="W7" s="50" t="s">
        <v>59</v>
      </c>
      <c r="X7" s="60">
        <v>5</v>
      </c>
      <c r="Y7" s="65">
        <f t="shared" si="0"/>
        <v>5</v>
      </c>
      <c r="Z7" s="50">
        <f t="shared" si="1"/>
        <v>0</v>
      </c>
      <c r="AA7" s="50">
        <f t="shared" si="2"/>
        <v>1</v>
      </c>
      <c r="AB7" s="50">
        <f t="shared" si="3"/>
        <v>1</v>
      </c>
      <c r="AC7" s="57">
        <f t="shared" si="4"/>
        <v>1</v>
      </c>
      <c r="AD7" s="59">
        <f t="shared" si="5"/>
        <v>2</v>
      </c>
      <c r="AE7" s="51">
        <f t="shared" si="6"/>
        <v>2</v>
      </c>
      <c r="AF7" s="51">
        <f t="shared" si="7"/>
        <v>2</v>
      </c>
      <c r="AG7" s="51">
        <f t="shared" si="8"/>
        <v>0</v>
      </c>
      <c r="AH7" s="54">
        <f t="shared" si="9"/>
        <v>1</v>
      </c>
      <c r="AI7" s="71">
        <f t="shared" si="10"/>
        <v>4</v>
      </c>
      <c r="AJ7" s="63" t="str">
        <f t="shared" si="11"/>
        <v>Много отсутсвует</v>
      </c>
    </row>
    <row r="8" spans="1:36" ht="18.75" x14ac:dyDescent="0.3">
      <c r="A8" s="53">
        <v>5</v>
      </c>
      <c r="B8" s="50" t="s">
        <v>88</v>
      </c>
      <c r="C8" s="50" t="s">
        <v>80</v>
      </c>
      <c r="D8" s="60" t="s">
        <v>71</v>
      </c>
      <c r="E8" s="53">
        <v>4</v>
      </c>
      <c r="F8" s="50">
        <v>3</v>
      </c>
      <c r="G8" s="50">
        <v>3</v>
      </c>
      <c r="H8" s="50" t="s">
        <v>59</v>
      </c>
      <c r="I8" s="50"/>
      <c r="J8" s="50">
        <v>2</v>
      </c>
      <c r="K8" s="50"/>
      <c r="L8" s="50" t="s">
        <v>59</v>
      </c>
      <c r="M8" s="57">
        <v>5</v>
      </c>
      <c r="N8" s="53">
        <v>3</v>
      </c>
      <c r="O8" s="50"/>
      <c r="P8" s="50"/>
      <c r="Q8" s="50">
        <v>1</v>
      </c>
      <c r="R8" s="50"/>
      <c r="S8" s="50"/>
      <c r="T8" s="50">
        <v>4</v>
      </c>
      <c r="U8" s="50" t="s">
        <v>59</v>
      </c>
      <c r="V8" s="50"/>
      <c r="W8" s="50">
        <v>4</v>
      </c>
      <c r="X8" s="60"/>
      <c r="Y8" s="65">
        <f t="shared" si="0"/>
        <v>2</v>
      </c>
      <c r="Z8" s="50">
        <f t="shared" si="1"/>
        <v>1</v>
      </c>
      <c r="AA8" s="50">
        <f t="shared" si="2"/>
        <v>1</v>
      </c>
      <c r="AB8" s="50">
        <f t="shared" si="3"/>
        <v>2</v>
      </c>
      <c r="AC8" s="57">
        <f t="shared" si="4"/>
        <v>1</v>
      </c>
      <c r="AD8" s="59">
        <f t="shared" si="5"/>
        <v>1</v>
      </c>
      <c r="AE8" s="51">
        <f t="shared" si="6"/>
        <v>0</v>
      </c>
      <c r="AF8" s="51">
        <f t="shared" si="7"/>
        <v>2</v>
      </c>
      <c r="AG8" s="51">
        <f t="shared" si="8"/>
        <v>1</v>
      </c>
      <c r="AH8" s="54">
        <f t="shared" si="9"/>
        <v>0</v>
      </c>
      <c r="AI8" s="71">
        <f t="shared" si="10"/>
        <v>4</v>
      </c>
      <c r="AJ8" s="63" t="str">
        <f t="shared" si="11"/>
        <v>Посещает</v>
      </c>
    </row>
    <row r="9" spans="1:36" ht="18.75" x14ac:dyDescent="0.3">
      <c r="A9" s="53">
        <v>6</v>
      </c>
      <c r="B9" s="50" t="s">
        <v>89</v>
      </c>
      <c r="C9" s="50" t="s">
        <v>81</v>
      </c>
      <c r="D9" s="60" t="s">
        <v>72</v>
      </c>
      <c r="E9" s="53"/>
      <c r="F9" s="50">
        <v>2</v>
      </c>
      <c r="G9" s="50"/>
      <c r="H9" s="50"/>
      <c r="I9" s="50">
        <v>4</v>
      </c>
      <c r="J9" s="50"/>
      <c r="K9" s="50"/>
      <c r="L9" s="50">
        <v>5</v>
      </c>
      <c r="M9" s="57"/>
      <c r="N9" s="53"/>
      <c r="O9" s="50" t="s">
        <v>59</v>
      </c>
      <c r="P9" s="50">
        <v>3</v>
      </c>
      <c r="Q9" s="50"/>
      <c r="R9" s="50"/>
      <c r="S9" s="50" t="s">
        <v>59</v>
      </c>
      <c r="T9" s="50">
        <v>5</v>
      </c>
      <c r="U9" s="50">
        <v>2</v>
      </c>
      <c r="V9" s="50"/>
      <c r="W9" s="50" t="s">
        <v>59</v>
      </c>
      <c r="X9" s="60">
        <v>4</v>
      </c>
      <c r="Y9" s="65">
        <f t="shared" si="0"/>
        <v>0</v>
      </c>
      <c r="Z9" s="50">
        <f t="shared" si="1"/>
        <v>1</v>
      </c>
      <c r="AA9" s="50">
        <f t="shared" si="2"/>
        <v>1</v>
      </c>
      <c r="AB9" s="50">
        <f t="shared" si="3"/>
        <v>0</v>
      </c>
      <c r="AC9" s="57">
        <f t="shared" si="4"/>
        <v>1</v>
      </c>
      <c r="AD9" s="59">
        <f t="shared" si="5"/>
        <v>3</v>
      </c>
      <c r="AE9" s="51">
        <f t="shared" si="6"/>
        <v>1</v>
      </c>
      <c r="AF9" s="51">
        <f t="shared" si="7"/>
        <v>1</v>
      </c>
      <c r="AG9" s="51">
        <f t="shared" si="8"/>
        <v>1</v>
      </c>
      <c r="AH9" s="54">
        <f t="shared" si="9"/>
        <v>1</v>
      </c>
      <c r="AI9" s="71">
        <f t="shared" si="10"/>
        <v>4</v>
      </c>
      <c r="AJ9" s="63" t="str">
        <f t="shared" si="11"/>
        <v>Посещает</v>
      </c>
    </row>
    <row r="10" spans="1:36" ht="18.75" x14ac:dyDescent="0.3">
      <c r="A10" s="53">
        <v>7</v>
      </c>
      <c r="B10" s="50" t="s">
        <v>90</v>
      </c>
      <c r="C10" s="50" t="s">
        <v>82</v>
      </c>
      <c r="D10" s="60" t="s">
        <v>73</v>
      </c>
      <c r="E10" s="53" t="s">
        <v>59</v>
      </c>
      <c r="F10" s="50">
        <v>2</v>
      </c>
      <c r="G10" s="50"/>
      <c r="H10" s="50"/>
      <c r="I10" s="50">
        <v>4</v>
      </c>
      <c r="J10" s="50"/>
      <c r="K10" s="50">
        <v>5</v>
      </c>
      <c r="L10" s="50"/>
      <c r="M10" s="57"/>
      <c r="N10" s="53"/>
      <c r="O10" s="50" t="s">
        <v>59</v>
      </c>
      <c r="P10" s="50">
        <v>4</v>
      </c>
      <c r="Q10" s="50">
        <v>2</v>
      </c>
      <c r="R10" s="50"/>
      <c r="S10" s="50" t="s">
        <v>59</v>
      </c>
      <c r="T10" s="50">
        <v>3</v>
      </c>
      <c r="U10" s="50">
        <v>3</v>
      </c>
      <c r="V10" s="50"/>
      <c r="W10" s="50">
        <v>5</v>
      </c>
      <c r="X10" s="60"/>
      <c r="Y10" s="65">
        <f t="shared" si="0"/>
        <v>1</v>
      </c>
      <c r="Z10" s="50">
        <f t="shared" si="1"/>
        <v>1</v>
      </c>
      <c r="AA10" s="50">
        <f t="shared" si="2"/>
        <v>1</v>
      </c>
      <c r="AB10" s="50">
        <f t="shared" si="3"/>
        <v>0</v>
      </c>
      <c r="AC10" s="57">
        <f t="shared" si="4"/>
        <v>1</v>
      </c>
      <c r="AD10" s="59">
        <f t="shared" si="5"/>
        <v>2</v>
      </c>
      <c r="AE10" s="51">
        <f t="shared" si="6"/>
        <v>1</v>
      </c>
      <c r="AF10" s="51">
        <f t="shared" si="7"/>
        <v>1</v>
      </c>
      <c r="AG10" s="51">
        <f t="shared" si="8"/>
        <v>2</v>
      </c>
      <c r="AH10" s="54">
        <f t="shared" si="9"/>
        <v>1</v>
      </c>
      <c r="AI10" s="71">
        <f t="shared" si="10"/>
        <v>4</v>
      </c>
      <c r="AJ10" s="63" t="str">
        <f t="shared" si="11"/>
        <v>Посещает</v>
      </c>
    </row>
    <row r="11" spans="1:36" ht="18.75" x14ac:dyDescent="0.3">
      <c r="A11" s="53">
        <v>8</v>
      </c>
      <c r="B11" s="50" t="s">
        <v>91</v>
      </c>
      <c r="C11" s="50" t="s">
        <v>83</v>
      </c>
      <c r="D11" s="60" t="s">
        <v>74</v>
      </c>
      <c r="E11" s="53"/>
      <c r="F11" s="50">
        <v>4</v>
      </c>
      <c r="G11" s="50" t="s">
        <v>59</v>
      </c>
      <c r="H11" s="50">
        <v>5</v>
      </c>
      <c r="I11" s="50"/>
      <c r="J11" s="50">
        <v>2</v>
      </c>
      <c r="K11" s="50"/>
      <c r="L11" s="50">
        <v>3</v>
      </c>
      <c r="M11" s="57"/>
      <c r="N11" s="53">
        <v>2</v>
      </c>
      <c r="O11" s="50"/>
      <c r="P11" s="50"/>
      <c r="Q11" s="50"/>
      <c r="R11" s="50"/>
      <c r="S11" s="50" t="s">
        <v>59</v>
      </c>
      <c r="T11" s="50">
        <v>2</v>
      </c>
      <c r="U11" s="50"/>
      <c r="V11" s="50">
        <v>4</v>
      </c>
      <c r="W11" s="50"/>
      <c r="X11" s="60"/>
      <c r="Y11" s="65">
        <f t="shared" si="0"/>
        <v>1</v>
      </c>
      <c r="Z11" s="50">
        <f t="shared" si="1"/>
        <v>1</v>
      </c>
      <c r="AA11" s="50">
        <f t="shared" si="2"/>
        <v>1</v>
      </c>
      <c r="AB11" s="50">
        <f t="shared" si="3"/>
        <v>1</v>
      </c>
      <c r="AC11" s="57">
        <f t="shared" si="4"/>
        <v>1</v>
      </c>
      <c r="AD11" s="59">
        <f t="shared" si="5"/>
        <v>1</v>
      </c>
      <c r="AE11" s="51">
        <f t="shared" si="6"/>
        <v>0</v>
      </c>
      <c r="AF11" s="51">
        <f t="shared" si="7"/>
        <v>1</v>
      </c>
      <c r="AG11" s="51">
        <f t="shared" si="8"/>
        <v>0</v>
      </c>
      <c r="AH11" s="54">
        <f t="shared" si="9"/>
        <v>2</v>
      </c>
      <c r="AI11" s="71">
        <f t="shared" si="10"/>
        <v>4</v>
      </c>
      <c r="AJ11" s="63" t="str">
        <f t="shared" si="11"/>
        <v>Посещает</v>
      </c>
    </row>
    <row r="12" spans="1:36" ht="18.75" x14ac:dyDescent="0.3">
      <c r="A12" s="53">
        <v>9</v>
      </c>
      <c r="B12" s="50" t="s">
        <v>92</v>
      </c>
      <c r="C12" s="50" t="s">
        <v>84</v>
      </c>
      <c r="D12" s="60" t="s">
        <v>75</v>
      </c>
      <c r="E12" s="53">
        <v>3</v>
      </c>
      <c r="F12" s="50"/>
      <c r="G12" s="50"/>
      <c r="H12" s="50">
        <v>5</v>
      </c>
      <c r="I12" s="50"/>
      <c r="J12" s="50">
        <v>4</v>
      </c>
      <c r="K12" s="50" t="s">
        <v>59</v>
      </c>
      <c r="L12" s="50"/>
      <c r="M12" s="57"/>
      <c r="N12" s="53"/>
      <c r="O12" s="50">
        <v>5</v>
      </c>
      <c r="P12" s="50"/>
      <c r="Q12" s="50" t="s">
        <v>59</v>
      </c>
      <c r="R12" s="50"/>
      <c r="S12" s="50"/>
      <c r="T12" s="50">
        <v>3</v>
      </c>
      <c r="U12" s="50">
        <v>5</v>
      </c>
      <c r="V12" s="50" t="s">
        <v>59</v>
      </c>
      <c r="W12" s="50">
        <v>5</v>
      </c>
      <c r="X12" s="60" t="s">
        <v>59</v>
      </c>
      <c r="Y12" s="65">
        <f t="shared" si="0"/>
        <v>1</v>
      </c>
      <c r="Z12" s="50">
        <f t="shared" si="1"/>
        <v>1</v>
      </c>
      <c r="AA12" s="50">
        <f t="shared" si="2"/>
        <v>1</v>
      </c>
      <c r="AB12" s="50">
        <f t="shared" si="3"/>
        <v>1</v>
      </c>
      <c r="AC12" s="57">
        <f t="shared" si="4"/>
        <v>0</v>
      </c>
      <c r="AD12" s="59">
        <f t="shared" si="5"/>
        <v>3</v>
      </c>
      <c r="AE12" s="51">
        <f t="shared" si="6"/>
        <v>3</v>
      </c>
      <c r="AF12" s="51">
        <f t="shared" si="7"/>
        <v>0</v>
      </c>
      <c r="AG12" s="51">
        <f t="shared" si="8"/>
        <v>1</v>
      </c>
      <c r="AH12" s="54">
        <f t="shared" si="9"/>
        <v>0</v>
      </c>
      <c r="AI12" s="71">
        <f t="shared" si="10"/>
        <v>5</v>
      </c>
      <c r="AJ12" s="63" t="str">
        <f t="shared" si="11"/>
        <v>Посещает</v>
      </c>
    </row>
    <row r="13" spans="1:36" ht="19.5" thickBot="1" x14ac:dyDescent="0.35">
      <c r="A13" s="55">
        <v>10</v>
      </c>
      <c r="B13" s="56" t="s">
        <v>94</v>
      </c>
      <c r="C13" s="56" t="s">
        <v>85</v>
      </c>
      <c r="D13" s="61" t="s">
        <v>76</v>
      </c>
      <c r="E13" s="55">
        <v>5</v>
      </c>
      <c r="F13" s="56" t="s">
        <v>59</v>
      </c>
      <c r="G13" s="56">
        <v>2</v>
      </c>
      <c r="H13" s="56"/>
      <c r="I13" s="56">
        <v>5</v>
      </c>
      <c r="J13" s="56"/>
      <c r="K13" s="56" t="s">
        <v>59</v>
      </c>
      <c r="L13" s="56">
        <v>4</v>
      </c>
      <c r="M13" s="58"/>
      <c r="N13" s="55"/>
      <c r="O13" s="56">
        <v>1</v>
      </c>
      <c r="P13" s="56" t="s">
        <v>59</v>
      </c>
      <c r="Q13" s="56"/>
      <c r="R13" s="56" t="s">
        <v>59</v>
      </c>
      <c r="S13" s="56">
        <v>4</v>
      </c>
      <c r="T13" s="56">
        <v>2</v>
      </c>
      <c r="U13" s="56" t="s">
        <v>59</v>
      </c>
      <c r="V13" s="56">
        <v>3</v>
      </c>
      <c r="W13" s="56"/>
      <c r="X13" s="61">
        <v>5</v>
      </c>
      <c r="Y13" s="66">
        <f t="shared" si="0"/>
        <v>2</v>
      </c>
      <c r="Z13" s="56">
        <f t="shared" si="1"/>
        <v>2</v>
      </c>
      <c r="AA13" s="56">
        <f t="shared" si="2"/>
        <v>1</v>
      </c>
      <c r="AB13" s="56">
        <f t="shared" si="3"/>
        <v>0</v>
      </c>
      <c r="AC13" s="58">
        <f t="shared" si="4"/>
        <v>1</v>
      </c>
      <c r="AD13" s="59">
        <f t="shared" si="5"/>
        <v>3</v>
      </c>
      <c r="AE13" s="51">
        <f t="shared" si="6"/>
        <v>1</v>
      </c>
      <c r="AF13" s="51">
        <f t="shared" si="7"/>
        <v>1</v>
      </c>
      <c r="AG13" s="51">
        <f t="shared" si="8"/>
        <v>1</v>
      </c>
      <c r="AH13" s="54">
        <f t="shared" si="9"/>
        <v>1</v>
      </c>
      <c r="AI13" s="71">
        <f t="shared" si="10"/>
        <v>4</v>
      </c>
      <c r="AJ13" s="64" t="str">
        <f t="shared" si="11"/>
        <v>Посещает</v>
      </c>
    </row>
    <row r="14" spans="1:36" ht="18.75" x14ac:dyDescent="0.3">
      <c r="A14" s="49"/>
      <c r="B14" s="49"/>
      <c r="C14" s="49"/>
      <c r="D14" s="49"/>
      <c r="E14" s="49"/>
    </row>
    <row r="15" spans="1:36" ht="18.75" x14ac:dyDescent="0.3">
      <c r="A15" s="49"/>
      <c r="B15" s="49"/>
      <c r="C15" s="49"/>
      <c r="D15" s="49"/>
      <c r="E15" s="49"/>
    </row>
  </sheetData>
  <mergeCells count="5">
    <mergeCell ref="AD2:AH2"/>
    <mergeCell ref="B2:D2"/>
    <mergeCell ref="E2:M2"/>
    <mergeCell ref="Y2:AC2"/>
    <mergeCell ref="N2:X2"/>
  </mergeCells>
  <conditionalFormatting sqref="E4:X13">
    <cfRule type="containsText" dxfId="16" priority="1" operator="containsText" text="нб">
      <formula>NOT(ISERROR(SEARCH("нб",E4)))</formula>
    </cfRule>
    <cfRule type="colorScale" priority="2">
      <colorScale>
        <cfvo type="num" val="2"/>
        <cfvo type="num" val="3"/>
        <cfvo type="num" val="5"/>
        <color rgb="FFFF0000"/>
        <color rgb="FFFFFF00"/>
        <color rgb="FF00B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1"/>
  <sheetViews>
    <sheetView topLeftCell="A10" workbookViewId="0">
      <selection activeCell="D31" sqref="D31"/>
    </sheetView>
  </sheetViews>
  <sheetFormatPr defaultRowHeight="15" x14ac:dyDescent="0.25"/>
  <cols>
    <col min="2" max="2" width="3.28515625" bestFit="1" customWidth="1"/>
    <col min="3" max="3" width="40.28515625" bestFit="1" customWidth="1"/>
    <col min="4" max="4" width="10.28515625" bestFit="1" customWidth="1"/>
    <col min="5" max="5" width="26.28515625" bestFit="1" customWidth="1"/>
    <col min="6" max="6" width="12.7109375" bestFit="1" customWidth="1"/>
    <col min="7" max="7" width="15.42578125" bestFit="1" customWidth="1"/>
    <col min="8" max="8" width="4.5703125" bestFit="1" customWidth="1"/>
    <col min="9" max="9" width="10.42578125" bestFit="1" customWidth="1"/>
    <col min="10" max="10" width="8.140625" bestFit="1" customWidth="1"/>
    <col min="11" max="11" width="11.7109375" bestFit="1" customWidth="1"/>
    <col min="12" max="12" width="18" bestFit="1" customWidth="1"/>
    <col min="13" max="13" width="5.5703125" bestFit="1" customWidth="1"/>
    <col min="14" max="14" width="13.42578125" bestFit="1" customWidth="1"/>
    <col min="15" max="15" width="14.5703125" bestFit="1" customWidth="1"/>
    <col min="16" max="16" width="13.28515625" customWidth="1"/>
    <col min="17" max="17" width="14.28515625" bestFit="1" customWidth="1"/>
    <col min="18" max="18" width="20.7109375" bestFit="1" customWidth="1"/>
    <col min="19" max="20" width="12.5703125" bestFit="1" customWidth="1"/>
    <col min="21" max="22" width="12.140625" bestFit="1" customWidth="1"/>
    <col min="23" max="23" width="14.5703125" bestFit="1" customWidth="1"/>
    <col min="24" max="24" width="13.42578125" bestFit="1" customWidth="1"/>
    <col min="25" max="25" width="14.5703125" bestFit="1" customWidth="1"/>
  </cols>
  <sheetData>
    <row r="1" spans="2:25" ht="15.75" thickBot="1" x14ac:dyDescent="0.3">
      <c r="B1" s="108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10"/>
    </row>
    <row r="2" spans="2:25" ht="60" x14ac:dyDescent="0.25">
      <c r="B2" s="111" t="s">
        <v>0</v>
      </c>
      <c r="C2" s="112" t="s">
        <v>168</v>
      </c>
      <c r="D2" s="112" t="s">
        <v>169</v>
      </c>
      <c r="E2" s="112" t="s">
        <v>99</v>
      </c>
      <c r="F2" s="112" t="s">
        <v>100</v>
      </c>
      <c r="G2" s="112" t="s">
        <v>101</v>
      </c>
      <c r="H2" s="112" t="s">
        <v>102</v>
      </c>
      <c r="I2" s="112" t="s">
        <v>170</v>
      </c>
      <c r="J2" s="112" t="s">
        <v>104</v>
      </c>
      <c r="K2" s="112" t="s">
        <v>171</v>
      </c>
      <c r="L2" s="112" t="s">
        <v>106</v>
      </c>
      <c r="M2" s="112" t="s">
        <v>107</v>
      </c>
      <c r="N2" s="112" t="s">
        <v>172</v>
      </c>
      <c r="O2" s="112" t="s">
        <v>109</v>
      </c>
      <c r="P2" s="112" t="s">
        <v>173</v>
      </c>
      <c r="Q2" s="112" t="s">
        <v>174</v>
      </c>
      <c r="R2" s="112" t="s">
        <v>175</v>
      </c>
      <c r="S2" s="112" t="s">
        <v>176</v>
      </c>
      <c r="T2" s="112" t="s">
        <v>177</v>
      </c>
      <c r="U2" s="112" t="s">
        <v>178</v>
      </c>
      <c r="V2" s="112" t="s">
        <v>179</v>
      </c>
      <c r="W2" s="112" t="s">
        <v>180</v>
      </c>
      <c r="X2" s="112" t="s">
        <v>181</v>
      </c>
      <c r="Y2" s="113" t="s">
        <v>182</v>
      </c>
    </row>
    <row r="3" spans="2:25" x14ac:dyDescent="0.25">
      <c r="B3" s="96">
        <v>1</v>
      </c>
      <c r="C3" s="82" t="s">
        <v>129</v>
      </c>
      <c r="D3" s="13">
        <f ca="1">RANDBETWEEN(1,8)</f>
        <v>5</v>
      </c>
      <c r="E3" s="83" t="s">
        <v>154</v>
      </c>
      <c r="F3" s="13" t="s">
        <v>183</v>
      </c>
      <c r="G3" s="13" t="s">
        <v>111</v>
      </c>
      <c r="H3" s="13" t="s">
        <v>112</v>
      </c>
      <c r="I3" s="13">
        <f>2024-J3</f>
        <v>1994</v>
      </c>
      <c r="J3" s="84">
        <v>30</v>
      </c>
      <c r="K3" s="84">
        <v>2000</v>
      </c>
      <c r="L3" s="85">
        <v>300000</v>
      </c>
      <c r="M3" s="13">
        <f>K3-I3</f>
        <v>6</v>
      </c>
      <c r="N3" s="86">
        <f>IF(M3&gt;=15,L3*25%,IF(AND(M3&gt;=10,M3&lt;15),L3*10%,))</f>
        <v>0</v>
      </c>
      <c r="O3" s="86">
        <f>IF(H3="м",IF(M3&gt;=8,L3*100%,0), IF(H3="ж",IF(M3&gt;=8,L3*110%,0),0))</f>
        <v>0</v>
      </c>
      <c r="P3" s="87">
        <f>IF(T3="Пенсионер",L3*10%,0)</f>
        <v>0</v>
      </c>
      <c r="Q3" s="13" t="str">
        <f>(IF(H3="ж",IF(M3&gt;=20,"Ветеран труда",""),IF(H3="м",IF(M3&gt;=25,"Ветеран труда",""))))</f>
        <v/>
      </c>
      <c r="R3" s="13" t="str">
        <f>(IF(AND(M3&lt;25,J3&lt;25),"Молодой специалист",""))</f>
        <v/>
      </c>
      <c r="S3" s="13" t="str">
        <f>IF(AND(H3="м",J3&gt;=18,J3&lt;=30),"Призывник","")</f>
        <v/>
      </c>
      <c r="T3" s="13" t="str">
        <f>IF(H3="м",IF(J3&gt;=60,"Пенсионер",""),IF(H3="ж",IF(J3&gt;=50,"Пенсионер","")))</f>
        <v/>
      </c>
      <c r="U3" s="81">
        <f>IF(AND(H3="ж",F3="шт"),S$31,IF(AND(H3="ж",F3="совм"),T$31,""))</f>
        <v>5000</v>
      </c>
      <c r="V3" s="80" t="str">
        <f>IF(AND(H3="м",F3="шт"),S$31,IF(AND(H3="м",F3="совм"),T$31,""))</f>
        <v/>
      </c>
      <c r="W3" s="88">
        <f>L3+N3+O3+P3</f>
        <v>300000</v>
      </c>
      <c r="X3" s="88">
        <f>W3*13%</f>
        <v>39000</v>
      </c>
      <c r="Y3" s="92">
        <f>W3-X3</f>
        <v>261000</v>
      </c>
    </row>
    <row r="4" spans="2:25" x14ac:dyDescent="0.25">
      <c r="B4" s="96">
        <v>2</v>
      </c>
      <c r="C4" s="82" t="s">
        <v>130</v>
      </c>
      <c r="D4" s="13">
        <f t="shared" ref="D4:D27" ca="1" si="0">RANDBETWEEN(1,8)</f>
        <v>8</v>
      </c>
      <c r="E4" s="83" t="s">
        <v>155</v>
      </c>
      <c r="F4" s="13" t="s">
        <v>184</v>
      </c>
      <c r="G4" s="13" t="s">
        <v>114</v>
      </c>
      <c r="H4" s="13" t="s">
        <v>115</v>
      </c>
      <c r="I4" s="13">
        <f t="shared" ref="I4:I27" si="1">2024-J4</f>
        <v>2001</v>
      </c>
      <c r="J4" s="84">
        <v>23</v>
      </c>
      <c r="K4" s="84">
        <v>2017</v>
      </c>
      <c r="L4" s="85">
        <v>100382</v>
      </c>
      <c r="M4" s="13">
        <f t="shared" ref="M4:M27" si="2">K4-I4</f>
        <v>16</v>
      </c>
      <c r="N4" s="86">
        <f t="shared" ref="N4:N27" si="3">IF(M4&gt;=15,L4*25%,IF(AND(M4&gt;=10,M4&lt;15),L4*10%,))</f>
        <v>25095.5</v>
      </c>
      <c r="O4" s="86">
        <f t="shared" ref="O4:O27" si="4">IF(H4="м",IF(M4&gt;=8,L4*100%,0), IF(H4="ж",IF(M4&gt;=8,L4*110%,0),0))</f>
        <v>100382</v>
      </c>
      <c r="P4" s="87">
        <f t="shared" ref="P4:P27" si="5">IF(T4="Пенсионер",L4*10%,0)</f>
        <v>0</v>
      </c>
      <c r="Q4" s="13" t="str">
        <f t="shared" ref="Q4:Q27" si="6">(IF(H4="ж",IF(M4&gt;=20,"Ветеран труда",""),IF(H4="м",IF(M4&gt;=25,"Ветеран труда",""))))</f>
        <v/>
      </c>
      <c r="R4" s="13" t="str">
        <f t="shared" ref="R4:R27" si="7">(IF(AND(M4&lt;25,J4&lt;25),"Молодой специалист",""))</f>
        <v>Молодой специалист</v>
      </c>
      <c r="S4" s="13" t="str">
        <f t="shared" ref="S4:S27" si="8">IF(AND(H4="м",J4&gt;=18,J4&lt;=30),"Призывник","")</f>
        <v>Призывник</v>
      </c>
      <c r="T4" s="13" t="str">
        <f t="shared" ref="T4:T27" si="9">IF(H4="м",IF(J4&gt;=60,"Пенсионер",""),IF(H4="ж",IF(J4&gt;=50,"Пенсионер","")))</f>
        <v/>
      </c>
      <c r="U4" s="81" t="str">
        <f>IF(AND(H4="ж",F4="шт"),S$31,IF(AND(H4="ж",F4="совм"),T$31,""))</f>
        <v/>
      </c>
      <c r="V4" s="80">
        <f>IF(AND(H4="м",F4="шт"),S$31,IF(AND(H4="м",F4="совм"),T$31,""))</f>
        <v>2500</v>
      </c>
      <c r="W4" s="88">
        <f>L4+N4+O4+P4</f>
        <v>225859.5</v>
      </c>
      <c r="X4" s="88">
        <f t="shared" ref="X4:X27" si="10">W4*13%</f>
        <v>29361.735000000001</v>
      </c>
      <c r="Y4" s="92">
        <f t="shared" ref="Y4:Y27" si="11">W4-X4</f>
        <v>196497.76500000001</v>
      </c>
    </row>
    <row r="5" spans="2:25" x14ac:dyDescent="0.25">
      <c r="B5" s="96">
        <v>3</v>
      </c>
      <c r="C5" s="82" t="s">
        <v>131</v>
      </c>
      <c r="D5" s="13">
        <f t="shared" ca="1" si="0"/>
        <v>1</v>
      </c>
      <c r="E5" s="83" t="s">
        <v>156</v>
      </c>
      <c r="F5" s="13" t="s">
        <v>183</v>
      </c>
      <c r="G5" s="13" t="s">
        <v>111</v>
      </c>
      <c r="H5" s="13" t="s">
        <v>112</v>
      </c>
      <c r="I5" s="13">
        <f t="shared" si="1"/>
        <v>1989</v>
      </c>
      <c r="J5" s="84">
        <v>35</v>
      </c>
      <c r="K5" s="84">
        <v>2002</v>
      </c>
      <c r="L5" s="85">
        <v>200500</v>
      </c>
      <c r="M5" s="13">
        <f t="shared" si="2"/>
        <v>13</v>
      </c>
      <c r="N5" s="86">
        <f>IF(M5&gt;=15,L5*25%,IF(AND(M5&gt;=10,M5&lt;15),L5*10%,))</f>
        <v>20050</v>
      </c>
      <c r="O5" s="86">
        <f t="shared" si="4"/>
        <v>220550.00000000003</v>
      </c>
      <c r="P5" s="87">
        <f t="shared" si="5"/>
        <v>0</v>
      </c>
      <c r="Q5" s="13" t="str">
        <f t="shared" si="6"/>
        <v/>
      </c>
      <c r="R5" s="13" t="str">
        <f t="shared" si="7"/>
        <v/>
      </c>
      <c r="S5" s="13" t="str">
        <f t="shared" si="8"/>
        <v/>
      </c>
      <c r="T5" s="13" t="str">
        <f t="shared" si="9"/>
        <v/>
      </c>
      <c r="U5" s="81">
        <f t="shared" ref="U5:U27" si="12">IF(AND(H5="ж",F5="шт"),S$31,IF(AND(H5="ж",F5="совм"),T$31,""))</f>
        <v>5000</v>
      </c>
      <c r="V5" s="80" t="str">
        <f t="shared" ref="V5:V27" si="13">IF(AND(H5="м",F5="шт"),S$31,IF(AND(H5="м",F5="совм"),T$31,""))</f>
        <v/>
      </c>
      <c r="W5" s="88">
        <f t="shared" ref="W5:W27" si="14">L5+N5+O5+P5</f>
        <v>441100</v>
      </c>
      <c r="X5" s="88">
        <f>W5*13%</f>
        <v>57343</v>
      </c>
      <c r="Y5" s="92">
        <f t="shared" si="11"/>
        <v>383757</v>
      </c>
    </row>
    <row r="6" spans="2:25" x14ac:dyDescent="0.25">
      <c r="B6" s="96">
        <v>4</v>
      </c>
      <c r="C6" s="82" t="s">
        <v>132</v>
      </c>
      <c r="D6" s="13">
        <f t="shared" ca="1" si="0"/>
        <v>1</v>
      </c>
      <c r="E6" s="83" t="s">
        <v>118</v>
      </c>
      <c r="F6" s="13" t="s">
        <v>183</v>
      </c>
      <c r="G6" s="13" t="s">
        <v>111</v>
      </c>
      <c r="H6" s="13" t="s">
        <v>115</v>
      </c>
      <c r="I6" s="13">
        <f t="shared" si="1"/>
        <v>1987</v>
      </c>
      <c r="J6" s="84">
        <v>37</v>
      </c>
      <c r="K6" s="84">
        <v>2005</v>
      </c>
      <c r="L6" s="85">
        <v>201960</v>
      </c>
      <c r="M6" s="13">
        <f t="shared" si="2"/>
        <v>18</v>
      </c>
      <c r="N6" s="86">
        <f t="shared" si="3"/>
        <v>50490</v>
      </c>
      <c r="O6" s="86">
        <f t="shared" si="4"/>
        <v>201960</v>
      </c>
      <c r="P6" s="87">
        <f t="shared" si="5"/>
        <v>0</v>
      </c>
      <c r="Q6" s="13" t="str">
        <f t="shared" si="6"/>
        <v/>
      </c>
      <c r="R6" s="13" t="str">
        <f t="shared" si="7"/>
        <v/>
      </c>
      <c r="S6" s="13" t="str">
        <f t="shared" si="8"/>
        <v/>
      </c>
      <c r="T6" s="13" t="str">
        <f t="shared" si="9"/>
        <v/>
      </c>
      <c r="U6" s="81" t="str">
        <f t="shared" si="12"/>
        <v/>
      </c>
      <c r="V6" s="80">
        <f t="shared" si="13"/>
        <v>5000</v>
      </c>
      <c r="W6" s="88">
        <f t="shared" si="14"/>
        <v>454410</v>
      </c>
      <c r="X6" s="88">
        <f t="shared" si="10"/>
        <v>59073.3</v>
      </c>
      <c r="Y6" s="92">
        <f>W6-X6</f>
        <v>395336.7</v>
      </c>
    </row>
    <row r="7" spans="2:25" x14ac:dyDescent="0.25">
      <c r="B7" s="96">
        <v>5</v>
      </c>
      <c r="C7" s="82" t="s">
        <v>133</v>
      </c>
      <c r="D7" s="13">
        <f t="shared" ca="1" si="0"/>
        <v>5</v>
      </c>
      <c r="E7" s="83" t="s">
        <v>124</v>
      </c>
      <c r="F7" s="13" t="s">
        <v>183</v>
      </c>
      <c r="G7" s="13" t="s">
        <v>114</v>
      </c>
      <c r="H7" s="13" t="s">
        <v>112</v>
      </c>
      <c r="I7" s="13">
        <f t="shared" si="1"/>
        <v>1959</v>
      </c>
      <c r="J7" s="84">
        <v>65</v>
      </c>
      <c r="K7" s="84">
        <v>2017</v>
      </c>
      <c r="L7" s="85">
        <v>105700</v>
      </c>
      <c r="M7" s="13">
        <f t="shared" si="2"/>
        <v>58</v>
      </c>
      <c r="N7" s="86">
        <f t="shared" si="3"/>
        <v>26425</v>
      </c>
      <c r="O7" s="86">
        <f t="shared" si="4"/>
        <v>116270.00000000001</v>
      </c>
      <c r="P7" s="87">
        <f t="shared" si="5"/>
        <v>10570</v>
      </c>
      <c r="Q7" s="13" t="str">
        <f t="shared" si="6"/>
        <v>Ветеран труда</v>
      </c>
      <c r="R7" s="13" t="str">
        <f t="shared" si="7"/>
        <v/>
      </c>
      <c r="S7" s="13" t="str">
        <f t="shared" si="8"/>
        <v/>
      </c>
      <c r="T7" s="13" t="str">
        <f t="shared" si="9"/>
        <v>Пенсионер</v>
      </c>
      <c r="U7" s="81">
        <f t="shared" si="12"/>
        <v>5000</v>
      </c>
      <c r="V7" s="80" t="str">
        <f t="shared" si="13"/>
        <v/>
      </c>
      <c r="W7" s="88">
        <f>L7+N7+O7+P7</f>
        <v>258965</v>
      </c>
      <c r="X7" s="88">
        <f t="shared" si="10"/>
        <v>33665.450000000004</v>
      </c>
      <c r="Y7" s="92">
        <f t="shared" si="11"/>
        <v>225299.55</v>
      </c>
    </row>
    <row r="8" spans="2:25" x14ac:dyDescent="0.25">
      <c r="B8" s="96">
        <v>6</v>
      </c>
      <c r="C8" s="82" t="s">
        <v>134</v>
      </c>
      <c r="D8" s="13">
        <f t="shared" ca="1" si="0"/>
        <v>2</v>
      </c>
      <c r="E8" s="83" t="s">
        <v>117</v>
      </c>
      <c r="F8" s="13" t="s">
        <v>183</v>
      </c>
      <c r="G8" s="13" t="s">
        <v>114</v>
      </c>
      <c r="H8" s="13" t="s">
        <v>115</v>
      </c>
      <c r="I8" s="13">
        <f t="shared" si="1"/>
        <v>2005</v>
      </c>
      <c r="J8" s="84">
        <v>19</v>
      </c>
      <c r="K8" s="84">
        <v>2023</v>
      </c>
      <c r="L8" s="85">
        <v>85500</v>
      </c>
      <c r="M8" s="13">
        <f t="shared" si="2"/>
        <v>18</v>
      </c>
      <c r="N8" s="86">
        <f t="shared" si="3"/>
        <v>21375</v>
      </c>
      <c r="O8" s="86">
        <f t="shared" si="4"/>
        <v>85500</v>
      </c>
      <c r="P8" s="87">
        <f t="shared" si="5"/>
        <v>0</v>
      </c>
      <c r="Q8" s="13" t="str">
        <f t="shared" si="6"/>
        <v/>
      </c>
      <c r="R8" s="13" t="str">
        <f t="shared" si="7"/>
        <v>Молодой специалист</v>
      </c>
      <c r="S8" s="13" t="str">
        <f t="shared" si="8"/>
        <v>Призывник</v>
      </c>
      <c r="T8" s="13" t="str">
        <f t="shared" si="9"/>
        <v/>
      </c>
      <c r="U8" s="81" t="str">
        <f t="shared" si="12"/>
        <v/>
      </c>
      <c r="V8" s="80">
        <f t="shared" si="13"/>
        <v>5000</v>
      </c>
      <c r="W8" s="88">
        <f t="shared" si="14"/>
        <v>192375</v>
      </c>
      <c r="X8" s="88">
        <f t="shared" si="10"/>
        <v>25008.75</v>
      </c>
      <c r="Y8" s="92">
        <f t="shared" si="11"/>
        <v>167366.25</v>
      </c>
    </row>
    <row r="9" spans="2:25" x14ac:dyDescent="0.25">
      <c r="B9" s="96">
        <v>7</v>
      </c>
      <c r="C9" s="82" t="s">
        <v>135</v>
      </c>
      <c r="D9" s="13">
        <f t="shared" ca="1" si="0"/>
        <v>1</v>
      </c>
      <c r="E9" s="83" t="s">
        <v>157</v>
      </c>
      <c r="F9" s="13" t="s">
        <v>183</v>
      </c>
      <c r="G9" s="13" t="s">
        <v>114</v>
      </c>
      <c r="H9" s="13" t="s">
        <v>112</v>
      </c>
      <c r="I9" s="13">
        <f t="shared" si="1"/>
        <v>2001</v>
      </c>
      <c r="J9" s="84">
        <v>23</v>
      </c>
      <c r="K9" s="84">
        <v>2001</v>
      </c>
      <c r="L9" s="85">
        <v>155555</v>
      </c>
      <c r="M9" s="13">
        <f t="shared" si="2"/>
        <v>0</v>
      </c>
      <c r="N9" s="86">
        <f t="shared" si="3"/>
        <v>0</v>
      </c>
      <c r="O9" s="86">
        <f t="shared" si="4"/>
        <v>0</v>
      </c>
      <c r="P9" s="87">
        <f t="shared" si="5"/>
        <v>0</v>
      </c>
      <c r="Q9" s="13" t="str">
        <f t="shared" si="6"/>
        <v/>
      </c>
      <c r="R9" s="13" t="str">
        <f t="shared" si="7"/>
        <v>Молодой специалист</v>
      </c>
      <c r="S9" s="13" t="str">
        <f t="shared" si="8"/>
        <v/>
      </c>
      <c r="T9" s="13" t="str">
        <f t="shared" si="9"/>
        <v/>
      </c>
      <c r="U9" s="81">
        <f t="shared" si="12"/>
        <v>5000</v>
      </c>
      <c r="V9" s="80" t="str">
        <f t="shared" si="13"/>
        <v/>
      </c>
      <c r="W9" s="88">
        <f t="shared" si="14"/>
        <v>155555</v>
      </c>
      <c r="X9" s="88">
        <f t="shared" si="10"/>
        <v>20222.150000000001</v>
      </c>
      <c r="Y9" s="92">
        <f t="shared" si="11"/>
        <v>135332.85</v>
      </c>
    </row>
    <row r="10" spans="2:25" x14ac:dyDescent="0.25">
      <c r="B10" s="96">
        <v>8</v>
      </c>
      <c r="C10" s="82" t="s">
        <v>136</v>
      </c>
      <c r="D10" s="13">
        <f t="shared" ca="1" si="0"/>
        <v>5</v>
      </c>
      <c r="E10" s="83" t="s">
        <v>158</v>
      </c>
      <c r="F10" s="13" t="s">
        <v>184</v>
      </c>
      <c r="G10" s="13" t="s">
        <v>111</v>
      </c>
      <c r="H10" s="13" t="s">
        <v>115</v>
      </c>
      <c r="I10" s="13">
        <f t="shared" si="1"/>
        <v>1992</v>
      </c>
      <c r="J10" s="84">
        <v>32</v>
      </c>
      <c r="K10" s="84">
        <v>2018</v>
      </c>
      <c r="L10" s="85">
        <v>180600</v>
      </c>
      <c r="M10" s="13">
        <f t="shared" si="2"/>
        <v>26</v>
      </c>
      <c r="N10" s="86">
        <f t="shared" si="3"/>
        <v>45150</v>
      </c>
      <c r="O10" s="86">
        <f t="shared" si="4"/>
        <v>180600</v>
      </c>
      <c r="P10" s="87">
        <f t="shared" si="5"/>
        <v>0</v>
      </c>
      <c r="Q10" s="13" t="str">
        <f t="shared" si="6"/>
        <v>Ветеран труда</v>
      </c>
      <c r="R10" s="13" t="str">
        <f t="shared" si="7"/>
        <v/>
      </c>
      <c r="S10" s="13" t="str">
        <f t="shared" si="8"/>
        <v/>
      </c>
      <c r="T10" s="13" t="str">
        <f t="shared" si="9"/>
        <v/>
      </c>
      <c r="U10" s="81" t="str">
        <f t="shared" si="12"/>
        <v/>
      </c>
      <c r="V10" s="80">
        <f t="shared" si="13"/>
        <v>2500</v>
      </c>
      <c r="W10" s="88">
        <f t="shared" si="14"/>
        <v>406350</v>
      </c>
      <c r="X10" s="88">
        <f t="shared" si="10"/>
        <v>52825.5</v>
      </c>
      <c r="Y10" s="92">
        <f t="shared" si="11"/>
        <v>353524.5</v>
      </c>
    </row>
    <row r="11" spans="2:25" x14ac:dyDescent="0.25">
      <c r="B11" s="96">
        <v>9</v>
      </c>
      <c r="C11" s="82" t="s">
        <v>137</v>
      </c>
      <c r="D11" s="13">
        <f t="shared" ca="1" si="0"/>
        <v>6</v>
      </c>
      <c r="E11" s="83" t="s">
        <v>126</v>
      </c>
      <c r="F11" s="13" t="s">
        <v>183</v>
      </c>
      <c r="G11" s="13" t="s">
        <v>111</v>
      </c>
      <c r="H11" s="13" t="s">
        <v>112</v>
      </c>
      <c r="I11" s="13">
        <f t="shared" si="1"/>
        <v>1986</v>
      </c>
      <c r="J11" s="84">
        <v>38</v>
      </c>
      <c r="K11" s="84">
        <v>2004</v>
      </c>
      <c r="L11" s="85">
        <v>190000</v>
      </c>
      <c r="M11" s="13">
        <f t="shared" si="2"/>
        <v>18</v>
      </c>
      <c r="N11" s="86">
        <f t="shared" si="3"/>
        <v>47500</v>
      </c>
      <c r="O11" s="86">
        <f t="shared" si="4"/>
        <v>209000.00000000003</v>
      </c>
      <c r="P11" s="87">
        <f t="shared" si="5"/>
        <v>0</v>
      </c>
      <c r="Q11" s="13" t="str">
        <f t="shared" si="6"/>
        <v/>
      </c>
      <c r="R11" s="13" t="str">
        <f t="shared" si="7"/>
        <v/>
      </c>
      <c r="S11" s="13" t="str">
        <f t="shared" si="8"/>
        <v/>
      </c>
      <c r="T11" s="13" t="str">
        <f t="shared" si="9"/>
        <v/>
      </c>
      <c r="U11" s="81">
        <f t="shared" si="12"/>
        <v>5000</v>
      </c>
      <c r="V11" s="80" t="str">
        <f t="shared" si="13"/>
        <v/>
      </c>
      <c r="W11" s="88">
        <f t="shared" si="14"/>
        <v>446500</v>
      </c>
      <c r="X11" s="88">
        <f t="shared" si="10"/>
        <v>58045</v>
      </c>
      <c r="Y11" s="92">
        <f t="shared" si="11"/>
        <v>388455</v>
      </c>
    </row>
    <row r="12" spans="2:25" x14ac:dyDescent="0.25">
      <c r="B12" s="96">
        <v>10</v>
      </c>
      <c r="C12" s="82" t="s">
        <v>138</v>
      </c>
      <c r="D12" s="13">
        <f t="shared" ca="1" si="0"/>
        <v>1</v>
      </c>
      <c r="E12" s="83" t="s">
        <v>159</v>
      </c>
      <c r="F12" s="13" t="s">
        <v>183</v>
      </c>
      <c r="G12" s="13" t="s">
        <v>111</v>
      </c>
      <c r="H12" s="13" t="s">
        <v>115</v>
      </c>
      <c r="I12" s="13">
        <f t="shared" si="1"/>
        <v>1999</v>
      </c>
      <c r="J12" s="84">
        <v>25</v>
      </c>
      <c r="K12" s="84">
        <v>2017</v>
      </c>
      <c r="L12" s="85">
        <v>278900</v>
      </c>
      <c r="M12" s="13">
        <f t="shared" si="2"/>
        <v>18</v>
      </c>
      <c r="N12" s="86">
        <f t="shared" si="3"/>
        <v>69725</v>
      </c>
      <c r="O12" s="86">
        <f t="shared" si="4"/>
        <v>278900</v>
      </c>
      <c r="P12" s="87">
        <f t="shared" si="5"/>
        <v>0</v>
      </c>
      <c r="Q12" s="13" t="str">
        <f t="shared" si="6"/>
        <v/>
      </c>
      <c r="R12" s="13" t="str">
        <f t="shared" si="7"/>
        <v/>
      </c>
      <c r="S12" s="13" t="str">
        <f t="shared" si="8"/>
        <v>Призывник</v>
      </c>
      <c r="T12" s="13" t="str">
        <f t="shared" si="9"/>
        <v/>
      </c>
      <c r="U12" s="81" t="str">
        <f t="shared" si="12"/>
        <v/>
      </c>
      <c r="V12" s="80">
        <f t="shared" si="13"/>
        <v>5000</v>
      </c>
      <c r="W12" s="88">
        <f t="shared" si="14"/>
        <v>627525</v>
      </c>
      <c r="X12" s="88">
        <f t="shared" si="10"/>
        <v>81578.25</v>
      </c>
      <c r="Y12" s="92">
        <f t="shared" si="11"/>
        <v>545946.75</v>
      </c>
    </row>
    <row r="13" spans="2:25" x14ac:dyDescent="0.25">
      <c r="B13" s="96">
        <v>11</v>
      </c>
      <c r="C13" s="82" t="s">
        <v>139</v>
      </c>
      <c r="D13" s="13">
        <f t="shared" ca="1" si="0"/>
        <v>6</v>
      </c>
      <c r="E13" s="83" t="s">
        <v>119</v>
      </c>
      <c r="F13" s="13" t="s">
        <v>183</v>
      </c>
      <c r="G13" s="13" t="s">
        <v>114</v>
      </c>
      <c r="H13" s="13" t="s">
        <v>112</v>
      </c>
      <c r="I13" s="13">
        <f t="shared" si="1"/>
        <v>1987</v>
      </c>
      <c r="J13" s="84">
        <v>37</v>
      </c>
      <c r="K13" s="84">
        <v>2003</v>
      </c>
      <c r="L13" s="85">
        <v>125666</v>
      </c>
      <c r="M13" s="13">
        <f t="shared" si="2"/>
        <v>16</v>
      </c>
      <c r="N13" s="86">
        <f t="shared" si="3"/>
        <v>31416.5</v>
      </c>
      <c r="O13" s="86">
        <f t="shared" si="4"/>
        <v>138232.6</v>
      </c>
      <c r="P13" s="87">
        <f t="shared" si="5"/>
        <v>0</v>
      </c>
      <c r="Q13" s="13" t="str">
        <f t="shared" si="6"/>
        <v/>
      </c>
      <c r="R13" s="13" t="str">
        <f t="shared" si="7"/>
        <v/>
      </c>
      <c r="S13" s="13" t="str">
        <f t="shared" si="8"/>
        <v/>
      </c>
      <c r="T13" s="13" t="str">
        <f t="shared" si="9"/>
        <v/>
      </c>
      <c r="U13" s="81">
        <f t="shared" si="12"/>
        <v>5000</v>
      </c>
      <c r="V13" s="80" t="str">
        <f t="shared" si="13"/>
        <v/>
      </c>
      <c r="W13" s="88">
        <f t="shared" si="14"/>
        <v>295315.09999999998</v>
      </c>
      <c r="X13" s="88">
        <f t="shared" si="10"/>
        <v>38390.962999999996</v>
      </c>
      <c r="Y13" s="92">
        <f t="shared" si="11"/>
        <v>256924.13699999999</v>
      </c>
    </row>
    <row r="14" spans="2:25" x14ac:dyDescent="0.25">
      <c r="B14" s="96">
        <v>12</v>
      </c>
      <c r="C14" s="82" t="s">
        <v>140</v>
      </c>
      <c r="D14" s="13">
        <f t="shared" ca="1" si="0"/>
        <v>6</v>
      </c>
      <c r="E14" s="83" t="s">
        <v>160</v>
      </c>
      <c r="F14" s="13" t="s">
        <v>183</v>
      </c>
      <c r="G14" s="13" t="s">
        <v>114</v>
      </c>
      <c r="H14" s="13" t="s">
        <v>115</v>
      </c>
      <c r="I14" s="13">
        <f t="shared" si="1"/>
        <v>1995</v>
      </c>
      <c r="J14" s="84">
        <v>29</v>
      </c>
      <c r="K14" s="84">
        <v>2016</v>
      </c>
      <c r="L14" s="85">
        <v>100000</v>
      </c>
      <c r="M14" s="13">
        <f t="shared" si="2"/>
        <v>21</v>
      </c>
      <c r="N14" s="86">
        <f t="shared" si="3"/>
        <v>25000</v>
      </c>
      <c r="O14" s="86">
        <f t="shared" si="4"/>
        <v>100000</v>
      </c>
      <c r="P14" s="87">
        <f t="shared" si="5"/>
        <v>0</v>
      </c>
      <c r="Q14" s="13" t="str">
        <f t="shared" si="6"/>
        <v/>
      </c>
      <c r="R14" s="13" t="str">
        <f t="shared" si="7"/>
        <v/>
      </c>
      <c r="S14" s="13" t="str">
        <f t="shared" si="8"/>
        <v>Призывник</v>
      </c>
      <c r="T14" s="13" t="str">
        <f t="shared" si="9"/>
        <v/>
      </c>
      <c r="U14" s="81" t="str">
        <f t="shared" si="12"/>
        <v/>
      </c>
      <c r="V14" s="80">
        <f t="shared" si="13"/>
        <v>5000</v>
      </c>
      <c r="W14" s="88">
        <f t="shared" si="14"/>
        <v>225000</v>
      </c>
      <c r="X14" s="88">
        <f t="shared" si="10"/>
        <v>29250</v>
      </c>
      <c r="Y14" s="92">
        <f t="shared" si="11"/>
        <v>195750</v>
      </c>
    </row>
    <row r="15" spans="2:25" x14ac:dyDescent="0.25">
      <c r="B15" s="96">
        <v>13</v>
      </c>
      <c r="C15" s="82" t="s">
        <v>141</v>
      </c>
      <c r="D15" s="13">
        <f t="shared" ca="1" si="0"/>
        <v>8</v>
      </c>
      <c r="E15" s="83" t="s">
        <v>161</v>
      </c>
      <c r="F15" s="13" t="s">
        <v>184</v>
      </c>
      <c r="G15" s="13" t="s">
        <v>111</v>
      </c>
      <c r="H15" s="13" t="s">
        <v>112</v>
      </c>
      <c r="I15" s="13">
        <f t="shared" si="1"/>
        <v>1978</v>
      </c>
      <c r="J15" s="84">
        <v>46</v>
      </c>
      <c r="K15" s="84">
        <v>2004</v>
      </c>
      <c r="L15" s="85">
        <v>187936</v>
      </c>
      <c r="M15" s="13">
        <f t="shared" si="2"/>
        <v>26</v>
      </c>
      <c r="N15" s="86">
        <f t="shared" si="3"/>
        <v>46984</v>
      </c>
      <c r="O15" s="86">
        <f t="shared" si="4"/>
        <v>206729.60000000001</v>
      </c>
      <c r="P15" s="87">
        <f t="shared" si="5"/>
        <v>0</v>
      </c>
      <c r="Q15" s="13" t="str">
        <f t="shared" si="6"/>
        <v>Ветеран труда</v>
      </c>
      <c r="R15" s="13" t="str">
        <f t="shared" si="7"/>
        <v/>
      </c>
      <c r="S15" s="13" t="str">
        <f t="shared" si="8"/>
        <v/>
      </c>
      <c r="T15" s="13" t="str">
        <f t="shared" si="9"/>
        <v/>
      </c>
      <c r="U15" s="81">
        <f t="shared" si="12"/>
        <v>2500</v>
      </c>
      <c r="V15" s="80" t="str">
        <f t="shared" si="13"/>
        <v/>
      </c>
      <c r="W15" s="88">
        <f t="shared" si="14"/>
        <v>441649.6</v>
      </c>
      <c r="X15" s="88">
        <f t="shared" si="10"/>
        <v>57414.447999999997</v>
      </c>
      <c r="Y15" s="92">
        <f t="shared" si="11"/>
        <v>384235.152</v>
      </c>
    </row>
    <row r="16" spans="2:25" x14ac:dyDescent="0.25">
      <c r="B16" s="96">
        <v>14</v>
      </c>
      <c r="C16" s="82" t="s">
        <v>142</v>
      </c>
      <c r="D16" s="13">
        <f t="shared" ca="1" si="0"/>
        <v>7</v>
      </c>
      <c r="E16" s="83" t="s">
        <v>123</v>
      </c>
      <c r="F16" s="13" t="s">
        <v>183</v>
      </c>
      <c r="G16" s="13" t="s">
        <v>111</v>
      </c>
      <c r="H16" s="13" t="s">
        <v>115</v>
      </c>
      <c r="I16" s="13">
        <f t="shared" si="1"/>
        <v>2002</v>
      </c>
      <c r="J16" s="84">
        <v>22</v>
      </c>
      <c r="K16" s="84">
        <v>2019</v>
      </c>
      <c r="L16" s="85">
        <v>167890</v>
      </c>
      <c r="M16" s="13">
        <f t="shared" si="2"/>
        <v>17</v>
      </c>
      <c r="N16" s="86">
        <f t="shared" si="3"/>
        <v>41972.5</v>
      </c>
      <c r="O16" s="86">
        <f t="shared" si="4"/>
        <v>167890</v>
      </c>
      <c r="P16" s="87">
        <f t="shared" si="5"/>
        <v>0</v>
      </c>
      <c r="Q16" s="13" t="str">
        <f t="shared" si="6"/>
        <v/>
      </c>
      <c r="R16" s="13" t="str">
        <f t="shared" si="7"/>
        <v>Молодой специалист</v>
      </c>
      <c r="S16" s="13" t="str">
        <f t="shared" si="8"/>
        <v>Призывник</v>
      </c>
      <c r="T16" s="13" t="str">
        <f t="shared" si="9"/>
        <v/>
      </c>
      <c r="U16" s="81" t="str">
        <f t="shared" si="12"/>
        <v/>
      </c>
      <c r="V16" s="80">
        <f t="shared" si="13"/>
        <v>5000</v>
      </c>
      <c r="W16" s="88">
        <f t="shared" si="14"/>
        <v>377752.5</v>
      </c>
      <c r="X16" s="88">
        <f t="shared" si="10"/>
        <v>49107.825000000004</v>
      </c>
      <c r="Y16" s="92">
        <f t="shared" si="11"/>
        <v>328644.67499999999</v>
      </c>
    </row>
    <row r="17" spans="2:25" x14ac:dyDescent="0.25">
      <c r="B17" s="96">
        <v>15</v>
      </c>
      <c r="C17" s="82" t="s">
        <v>143</v>
      </c>
      <c r="D17" s="13">
        <f t="shared" ca="1" si="0"/>
        <v>6</v>
      </c>
      <c r="E17" s="83" t="s">
        <v>162</v>
      </c>
      <c r="F17" s="13" t="s">
        <v>183</v>
      </c>
      <c r="G17" s="13" t="s">
        <v>114</v>
      </c>
      <c r="H17" s="13" t="s">
        <v>112</v>
      </c>
      <c r="I17" s="13">
        <f t="shared" si="1"/>
        <v>2006</v>
      </c>
      <c r="J17" s="84">
        <v>18</v>
      </c>
      <c r="K17" s="84">
        <v>2024</v>
      </c>
      <c r="L17" s="85">
        <v>140300</v>
      </c>
      <c r="M17" s="13">
        <f t="shared" si="2"/>
        <v>18</v>
      </c>
      <c r="N17" s="86">
        <f t="shared" si="3"/>
        <v>35075</v>
      </c>
      <c r="O17" s="86">
        <f t="shared" si="4"/>
        <v>154330</v>
      </c>
      <c r="P17" s="87">
        <f t="shared" si="5"/>
        <v>0</v>
      </c>
      <c r="Q17" s="13" t="str">
        <f t="shared" si="6"/>
        <v/>
      </c>
      <c r="R17" s="13" t="str">
        <f t="shared" si="7"/>
        <v>Молодой специалист</v>
      </c>
      <c r="S17" s="13" t="str">
        <f t="shared" si="8"/>
        <v/>
      </c>
      <c r="T17" s="13" t="str">
        <f t="shared" si="9"/>
        <v/>
      </c>
      <c r="U17" s="81">
        <f t="shared" si="12"/>
        <v>5000</v>
      </c>
      <c r="V17" s="80" t="str">
        <f t="shared" si="13"/>
        <v/>
      </c>
      <c r="W17" s="88">
        <f t="shared" si="14"/>
        <v>329705</v>
      </c>
      <c r="X17" s="88">
        <f t="shared" si="10"/>
        <v>42861.65</v>
      </c>
      <c r="Y17" s="92">
        <f t="shared" si="11"/>
        <v>286843.34999999998</v>
      </c>
    </row>
    <row r="18" spans="2:25" x14ac:dyDescent="0.25">
      <c r="B18" s="96">
        <v>16</v>
      </c>
      <c r="C18" s="82" t="s">
        <v>144</v>
      </c>
      <c r="D18" s="13">
        <f t="shared" ca="1" si="0"/>
        <v>3</v>
      </c>
      <c r="E18" s="83" t="s">
        <v>116</v>
      </c>
      <c r="F18" s="13" t="s">
        <v>183</v>
      </c>
      <c r="G18" s="13" t="s">
        <v>114</v>
      </c>
      <c r="H18" s="13" t="s">
        <v>115</v>
      </c>
      <c r="I18" s="13">
        <f t="shared" si="1"/>
        <v>2003</v>
      </c>
      <c r="J18" s="84">
        <v>21</v>
      </c>
      <c r="K18" s="84">
        <v>2015</v>
      </c>
      <c r="L18" s="85">
        <v>187399</v>
      </c>
      <c r="M18" s="13">
        <f t="shared" si="2"/>
        <v>12</v>
      </c>
      <c r="N18" s="86">
        <f t="shared" si="3"/>
        <v>18739.900000000001</v>
      </c>
      <c r="O18" s="86">
        <f t="shared" si="4"/>
        <v>187399</v>
      </c>
      <c r="P18" s="87">
        <f t="shared" si="5"/>
        <v>0</v>
      </c>
      <c r="Q18" s="13" t="str">
        <f t="shared" si="6"/>
        <v/>
      </c>
      <c r="R18" s="13" t="str">
        <f t="shared" si="7"/>
        <v>Молодой специалист</v>
      </c>
      <c r="S18" s="13" t="str">
        <f t="shared" si="8"/>
        <v>Призывник</v>
      </c>
      <c r="T18" s="13" t="str">
        <f t="shared" si="9"/>
        <v/>
      </c>
      <c r="U18" s="81" t="str">
        <f t="shared" si="12"/>
        <v/>
      </c>
      <c r="V18" s="80">
        <f t="shared" si="13"/>
        <v>5000</v>
      </c>
      <c r="W18" s="88">
        <f t="shared" si="14"/>
        <v>393537.9</v>
      </c>
      <c r="X18" s="88">
        <f t="shared" si="10"/>
        <v>51159.927000000003</v>
      </c>
      <c r="Y18" s="92">
        <f t="shared" si="11"/>
        <v>342377.973</v>
      </c>
    </row>
    <row r="19" spans="2:25" x14ac:dyDescent="0.25">
      <c r="B19" s="96">
        <v>17</v>
      </c>
      <c r="C19" s="82" t="s">
        <v>145</v>
      </c>
      <c r="D19" s="13">
        <f t="shared" ca="1" si="0"/>
        <v>7</v>
      </c>
      <c r="E19" s="83" t="s">
        <v>163</v>
      </c>
      <c r="F19" s="13" t="s">
        <v>183</v>
      </c>
      <c r="G19" s="13" t="s">
        <v>111</v>
      </c>
      <c r="H19" s="13" t="s">
        <v>112</v>
      </c>
      <c r="I19" s="13">
        <f t="shared" si="1"/>
        <v>1974</v>
      </c>
      <c r="J19" s="84">
        <v>50</v>
      </c>
      <c r="K19" s="84">
        <v>1995</v>
      </c>
      <c r="L19" s="85">
        <v>137900</v>
      </c>
      <c r="M19" s="13">
        <f t="shared" si="2"/>
        <v>21</v>
      </c>
      <c r="N19" s="86">
        <f t="shared" si="3"/>
        <v>34475</v>
      </c>
      <c r="O19" s="86">
        <f t="shared" si="4"/>
        <v>151690</v>
      </c>
      <c r="P19" s="87">
        <f t="shared" si="5"/>
        <v>13790</v>
      </c>
      <c r="Q19" s="13" t="str">
        <f t="shared" si="6"/>
        <v>Ветеран труда</v>
      </c>
      <c r="R19" s="13" t="str">
        <f t="shared" si="7"/>
        <v/>
      </c>
      <c r="S19" s="13" t="str">
        <f t="shared" si="8"/>
        <v/>
      </c>
      <c r="T19" s="13" t="str">
        <f t="shared" si="9"/>
        <v>Пенсионер</v>
      </c>
      <c r="U19" s="81">
        <f t="shared" si="12"/>
        <v>5000</v>
      </c>
      <c r="V19" s="80" t="str">
        <f t="shared" si="13"/>
        <v/>
      </c>
      <c r="W19" s="88">
        <f t="shared" si="14"/>
        <v>337855</v>
      </c>
      <c r="X19" s="88">
        <f t="shared" si="10"/>
        <v>43921.15</v>
      </c>
      <c r="Y19" s="92">
        <f t="shared" si="11"/>
        <v>293933.84999999998</v>
      </c>
    </row>
    <row r="20" spans="2:25" x14ac:dyDescent="0.25">
      <c r="B20" s="96">
        <v>18</v>
      </c>
      <c r="C20" s="82" t="s">
        <v>146</v>
      </c>
      <c r="D20" s="13">
        <f t="shared" ca="1" si="0"/>
        <v>5</v>
      </c>
      <c r="E20" s="83" t="s">
        <v>125</v>
      </c>
      <c r="F20" s="13" t="s">
        <v>184</v>
      </c>
      <c r="G20" s="13" t="s">
        <v>111</v>
      </c>
      <c r="H20" s="13" t="s">
        <v>115</v>
      </c>
      <c r="I20" s="13">
        <f t="shared" si="1"/>
        <v>2004</v>
      </c>
      <c r="J20" s="84">
        <v>20</v>
      </c>
      <c r="K20" s="84">
        <v>2015</v>
      </c>
      <c r="L20" s="85">
        <v>100050</v>
      </c>
      <c r="M20" s="13">
        <f t="shared" si="2"/>
        <v>11</v>
      </c>
      <c r="N20" s="86">
        <f t="shared" si="3"/>
        <v>10005</v>
      </c>
      <c r="O20" s="86">
        <f t="shared" si="4"/>
        <v>100050</v>
      </c>
      <c r="P20" s="87">
        <f t="shared" si="5"/>
        <v>0</v>
      </c>
      <c r="Q20" s="13" t="str">
        <f t="shared" si="6"/>
        <v/>
      </c>
      <c r="R20" s="13" t="str">
        <f t="shared" si="7"/>
        <v>Молодой специалист</v>
      </c>
      <c r="S20" s="13" t="str">
        <f t="shared" si="8"/>
        <v>Призывник</v>
      </c>
      <c r="T20" s="13" t="str">
        <f t="shared" si="9"/>
        <v/>
      </c>
      <c r="U20" s="81" t="str">
        <f t="shared" si="12"/>
        <v/>
      </c>
      <c r="V20" s="80">
        <f t="shared" si="13"/>
        <v>2500</v>
      </c>
      <c r="W20" s="88">
        <f t="shared" si="14"/>
        <v>210105</v>
      </c>
      <c r="X20" s="88">
        <f t="shared" si="10"/>
        <v>27313.65</v>
      </c>
      <c r="Y20" s="92">
        <f t="shared" si="11"/>
        <v>182791.35</v>
      </c>
    </row>
    <row r="21" spans="2:25" x14ac:dyDescent="0.25">
      <c r="B21" s="96">
        <v>19</v>
      </c>
      <c r="C21" s="82" t="s">
        <v>147</v>
      </c>
      <c r="D21" s="13">
        <f t="shared" ca="1" si="0"/>
        <v>5</v>
      </c>
      <c r="E21" s="83" t="s">
        <v>120</v>
      </c>
      <c r="F21" s="13" t="s">
        <v>183</v>
      </c>
      <c r="G21" s="13" t="s">
        <v>111</v>
      </c>
      <c r="H21" s="13" t="s">
        <v>112</v>
      </c>
      <c r="I21" s="13">
        <f t="shared" si="1"/>
        <v>1989</v>
      </c>
      <c r="J21" s="84">
        <v>35</v>
      </c>
      <c r="K21" s="84">
        <v>2018</v>
      </c>
      <c r="L21" s="85">
        <v>187754</v>
      </c>
      <c r="M21" s="13">
        <f t="shared" si="2"/>
        <v>29</v>
      </c>
      <c r="N21" s="86">
        <f t="shared" si="3"/>
        <v>46938.5</v>
      </c>
      <c r="O21" s="86">
        <f t="shared" si="4"/>
        <v>206529.40000000002</v>
      </c>
      <c r="P21" s="87">
        <f t="shared" si="5"/>
        <v>0</v>
      </c>
      <c r="Q21" s="13" t="str">
        <f t="shared" si="6"/>
        <v>Ветеран труда</v>
      </c>
      <c r="R21" s="13" t="str">
        <f t="shared" si="7"/>
        <v/>
      </c>
      <c r="S21" s="13" t="str">
        <f t="shared" si="8"/>
        <v/>
      </c>
      <c r="T21" s="13" t="str">
        <f t="shared" si="9"/>
        <v/>
      </c>
      <c r="U21" s="81">
        <f t="shared" si="12"/>
        <v>5000</v>
      </c>
      <c r="V21" s="80" t="str">
        <f t="shared" si="13"/>
        <v/>
      </c>
      <c r="W21" s="88">
        <f t="shared" si="14"/>
        <v>441221.9</v>
      </c>
      <c r="X21" s="88">
        <f t="shared" si="10"/>
        <v>57358.847000000002</v>
      </c>
      <c r="Y21" s="92">
        <f t="shared" si="11"/>
        <v>383863.05300000001</v>
      </c>
    </row>
    <row r="22" spans="2:25" x14ac:dyDescent="0.25">
      <c r="B22" s="96">
        <v>20</v>
      </c>
      <c r="C22" s="82" t="s">
        <v>148</v>
      </c>
      <c r="D22" s="13">
        <f t="shared" ca="1" si="0"/>
        <v>2</v>
      </c>
      <c r="E22" s="83" t="s">
        <v>121</v>
      </c>
      <c r="F22" s="13" t="s">
        <v>183</v>
      </c>
      <c r="G22" s="13" t="s">
        <v>111</v>
      </c>
      <c r="H22" s="13" t="s">
        <v>115</v>
      </c>
      <c r="I22" s="13">
        <f t="shared" si="1"/>
        <v>1985</v>
      </c>
      <c r="J22" s="84">
        <v>39</v>
      </c>
      <c r="K22" s="84">
        <v>2005</v>
      </c>
      <c r="L22" s="85">
        <v>189500</v>
      </c>
      <c r="M22" s="13">
        <f t="shared" si="2"/>
        <v>20</v>
      </c>
      <c r="N22" s="86">
        <f t="shared" si="3"/>
        <v>47375</v>
      </c>
      <c r="O22" s="86">
        <f t="shared" si="4"/>
        <v>189500</v>
      </c>
      <c r="P22" s="87">
        <f t="shared" si="5"/>
        <v>0</v>
      </c>
      <c r="Q22" s="13" t="str">
        <f t="shared" si="6"/>
        <v/>
      </c>
      <c r="R22" s="13" t="str">
        <f t="shared" si="7"/>
        <v/>
      </c>
      <c r="S22" s="13" t="str">
        <f t="shared" si="8"/>
        <v/>
      </c>
      <c r="T22" s="13" t="str">
        <f t="shared" si="9"/>
        <v/>
      </c>
      <c r="U22" s="81" t="str">
        <f t="shared" si="12"/>
        <v/>
      </c>
      <c r="V22" s="80">
        <f t="shared" si="13"/>
        <v>5000</v>
      </c>
      <c r="W22" s="88">
        <f t="shared" si="14"/>
        <v>426375</v>
      </c>
      <c r="X22" s="88">
        <f t="shared" si="10"/>
        <v>55428.75</v>
      </c>
      <c r="Y22" s="92">
        <f t="shared" si="11"/>
        <v>370946.25</v>
      </c>
    </row>
    <row r="23" spans="2:25" x14ac:dyDescent="0.25">
      <c r="B23" s="96">
        <v>21</v>
      </c>
      <c r="C23" s="82" t="s">
        <v>149</v>
      </c>
      <c r="D23" s="13">
        <f t="shared" ca="1" si="0"/>
        <v>4</v>
      </c>
      <c r="E23" s="83" t="s">
        <v>164</v>
      </c>
      <c r="F23" s="13" t="s">
        <v>183</v>
      </c>
      <c r="G23" s="13" t="s">
        <v>111</v>
      </c>
      <c r="H23" s="13" t="s">
        <v>112</v>
      </c>
      <c r="I23" s="13">
        <f t="shared" si="1"/>
        <v>2006</v>
      </c>
      <c r="J23" s="84">
        <v>18</v>
      </c>
      <c r="K23" s="84">
        <v>2016</v>
      </c>
      <c r="L23" s="85">
        <v>191463</v>
      </c>
      <c r="M23" s="13">
        <f t="shared" si="2"/>
        <v>10</v>
      </c>
      <c r="N23" s="86">
        <f t="shared" si="3"/>
        <v>19146.3</v>
      </c>
      <c r="O23" s="86">
        <f t="shared" si="4"/>
        <v>210609.30000000002</v>
      </c>
      <c r="P23" s="87">
        <f t="shared" si="5"/>
        <v>0</v>
      </c>
      <c r="Q23" s="13" t="str">
        <f t="shared" si="6"/>
        <v/>
      </c>
      <c r="R23" s="13" t="str">
        <f t="shared" si="7"/>
        <v>Молодой специалист</v>
      </c>
      <c r="S23" s="13" t="str">
        <f t="shared" si="8"/>
        <v/>
      </c>
      <c r="T23" s="13" t="str">
        <f t="shared" si="9"/>
        <v/>
      </c>
      <c r="U23" s="81">
        <f t="shared" si="12"/>
        <v>5000</v>
      </c>
      <c r="V23" s="80" t="str">
        <f t="shared" si="13"/>
        <v/>
      </c>
      <c r="W23" s="88">
        <f t="shared" si="14"/>
        <v>421218.6</v>
      </c>
      <c r="X23" s="88">
        <f t="shared" si="10"/>
        <v>54758.417999999998</v>
      </c>
      <c r="Y23" s="92">
        <f t="shared" si="11"/>
        <v>366460.18199999997</v>
      </c>
    </row>
    <row r="24" spans="2:25" x14ac:dyDescent="0.25">
      <c r="B24" s="96">
        <v>22</v>
      </c>
      <c r="C24" s="82" t="s">
        <v>150</v>
      </c>
      <c r="D24" s="13">
        <f t="shared" ca="1" si="0"/>
        <v>4</v>
      </c>
      <c r="E24" s="83" t="s">
        <v>165</v>
      </c>
      <c r="F24" s="13" t="s">
        <v>183</v>
      </c>
      <c r="G24" s="13" t="s">
        <v>111</v>
      </c>
      <c r="H24" s="13" t="s">
        <v>115</v>
      </c>
      <c r="I24" s="13">
        <f t="shared" si="1"/>
        <v>1977</v>
      </c>
      <c r="J24" s="84">
        <v>47</v>
      </c>
      <c r="K24" s="84">
        <v>1995</v>
      </c>
      <c r="L24" s="85">
        <v>173764</v>
      </c>
      <c r="M24" s="13">
        <f t="shared" si="2"/>
        <v>18</v>
      </c>
      <c r="N24" s="86">
        <f t="shared" si="3"/>
        <v>43441</v>
      </c>
      <c r="O24" s="86">
        <f t="shared" si="4"/>
        <v>173764</v>
      </c>
      <c r="P24" s="87">
        <f t="shared" si="5"/>
        <v>0</v>
      </c>
      <c r="Q24" s="13" t="str">
        <f t="shared" si="6"/>
        <v/>
      </c>
      <c r="R24" s="13" t="str">
        <f t="shared" si="7"/>
        <v/>
      </c>
      <c r="S24" s="13" t="str">
        <f t="shared" si="8"/>
        <v/>
      </c>
      <c r="T24" s="13" t="str">
        <f t="shared" si="9"/>
        <v/>
      </c>
      <c r="U24" s="81" t="str">
        <f t="shared" si="12"/>
        <v/>
      </c>
      <c r="V24" s="80">
        <f t="shared" si="13"/>
        <v>5000</v>
      </c>
      <c r="W24" s="88">
        <f t="shared" si="14"/>
        <v>390969</v>
      </c>
      <c r="X24" s="88">
        <f t="shared" si="10"/>
        <v>50825.97</v>
      </c>
      <c r="Y24" s="92">
        <f t="shared" si="11"/>
        <v>340143.03</v>
      </c>
    </row>
    <row r="25" spans="2:25" x14ac:dyDescent="0.25">
      <c r="B25" s="96">
        <v>23</v>
      </c>
      <c r="C25" s="82" t="s">
        <v>151</v>
      </c>
      <c r="D25" s="13">
        <f t="shared" ca="1" si="0"/>
        <v>4</v>
      </c>
      <c r="E25" s="83" t="s">
        <v>122</v>
      </c>
      <c r="F25" s="13" t="s">
        <v>184</v>
      </c>
      <c r="G25" s="13" t="s">
        <v>114</v>
      </c>
      <c r="H25" s="13" t="s">
        <v>112</v>
      </c>
      <c r="I25" s="13">
        <f t="shared" si="1"/>
        <v>2000</v>
      </c>
      <c r="J25" s="84">
        <v>24</v>
      </c>
      <c r="K25" s="84">
        <v>2023</v>
      </c>
      <c r="L25" s="85">
        <v>127000</v>
      </c>
      <c r="M25" s="13">
        <f t="shared" si="2"/>
        <v>23</v>
      </c>
      <c r="N25" s="86">
        <f t="shared" si="3"/>
        <v>31750</v>
      </c>
      <c r="O25" s="86">
        <f t="shared" si="4"/>
        <v>139700</v>
      </c>
      <c r="P25" s="87">
        <f t="shared" si="5"/>
        <v>0</v>
      </c>
      <c r="Q25" s="13" t="str">
        <f t="shared" si="6"/>
        <v>Ветеран труда</v>
      </c>
      <c r="R25" s="13" t="str">
        <f t="shared" si="7"/>
        <v>Молодой специалист</v>
      </c>
      <c r="S25" s="13" t="str">
        <f t="shared" si="8"/>
        <v/>
      </c>
      <c r="T25" s="13" t="str">
        <f t="shared" si="9"/>
        <v/>
      </c>
      <c r="U25" s="81">
        <f t="shared" si="12"/>
        <v>2500</v>
      </c>
      <c r="V25" s="80" t="str">
        <f t="shared" si="13"/>
        <v/>
      </c>
      <c r="W25" s="88">
        <f t="shared" si="14"/>
        <v>298450</v>
      </c>
      <c r="X25" s="88">
        <f t="shared" si="10"/>
        <v>38798.5</v>
      </c>
      <c r="Y25" s="92">
        <f t="shared" si="11"/>
        <v>259651.5</v>
      </c>
    </row>
    <row r="26" spans="2:25" x14ac:dyDescent="0.25">
      <c r="B26" s="96">
        <v>24</v>
      </c>
      <c r="C26" s="82" t="s">
        <v>152</v>
      </c>
      <c r="D26" s="13">
        <f t="shared" ca="1" si="0"/>
        <v>1</v>
      </c>
      <c r="E26" s="83" t="s">
        <v>166</v>
      </c>
      <c r="F26" s="13" t="s">
        <v>183</v>
      </c>
      <c r="G26" s="13" t="s">
        <v>114</v>
      </c>
      <c r="H26" s="13" t="s">
        <v>115</v>
      </c>
      <c r="I26" s="13">
        <f t="shared" si="1"/>
        <v>1996</v>
      </c>
      <c r="J26" s="84">
        <v>28</v>
      </c>
      <c r="K26" s="84">
        <v>2014</v>
      </c>
      <c r="L26" s="85">
        <v>167216</v>
      </c>
      <c r="M26" s="13">
        <f t="shared" si="2"/>
        <v>18</v>
      </c>
      <c r="N26" s="86">
        <f t="shared" si="3"/>
        <v>41804</v>
      </c>
      <c r="O26" s="86">
        <f t="shared" si="4"/>
        <v>167216</v>
      </c>
      <c r="P26" s="87">
        <f t="shared" si="5"/>
        <v>0</v>
      </c>
      <c r="Q26" s="13" t="str">
        <f t="shared" si="6"/>
        <v/>
      </c>
      <c r="R26" s="13" t="str">
        <f t="shared" si="7"/>
        <v/>
      </c>
      <c r="S26" s="13" t="str">
        <f t="shared" si="8"/>
        <v>Призывник</v>
      </c>
      <c r="T26" s="13" t="str">
        <f t="shared" si="9"/>
        <v/>
      </c>
      <c r="U26" s="81" t="str">
        <f t="shared" si="12"/>
        <v/>
      </c>
      <c r="V26" s="80">
        <f t="shared" si="13"/>
        <v>5000</v>
      </c>
      <c r="W26" s="88">
        <f t="shared" si="14"/>
        <v>376236</v>
      </c>
      <c r="X26" s="88">
        <f t="shared" si="10"/>
        <v>48910.68</v>
      </c>
      <c r="Y26" s="92">
        <f t="shared" si="11"/>
        <v>327325.32</v>
      </c>
    </row>
    <row r="27" spans="2:25" ht="15.75" thickBot="1" x14ac:dyDescent="0.3">
      <c r="B27" s="97">
        <v>25</v>
      </c>
      <c r="C27" s="98" t="s">
        <v>153</v>
      </c>
      <c r="D27" s="99">
        <f t="shared" ca="1" si="0"/>
        <v>1</v>
      </c>
      <c r="E27" s="100" t="s">
        <v>167</v>
      </c>
      <c r="F27" s="99" t="s">
        <v>183</v>
      </c>
      <c r="G27" s="99" t="s">
        <v>114</v>
      </c>
      <c r="H27" s="99" t="s">
        <v>112</v>
      </c>
      <c r="I27" s="99">
        <f t="shared" si="1"/>
        <v>1994</v>
      </c>
      <c r="J27" s="101">
        <v>30</v>
      </c>
      <c r="K27" s="101">
        <v>2013</v>
      </c>
      <c r="L27" s="102">
        <v>140000</v>
      </c>
      <c r="M27" s="99">
        <f t="shared" si="2"/>
        <v>19</v>
      </c>
      <c r="N27" s="103">
        <f t="shared" si="3"/>
        <v>35000</v>
      </c>
      <c r="O27" s="103">
        <f t="shared" si="4"/>
        <v>154000</v>
      </c>
      <c r="P27" s="104">
        <f t="shared" si="5"/>
        <v>0</v>
      </c>
      <c r="Q27" s="99" t="str">
        <f t="shared" si="6"/>
        <v/>
      </c>
      <c r="R27" s="99" t="str">
        <f t="shared" si="7"/>
        <v/>
      </c>
      <c r="S27" s="99" t="str">
        <f t="shared" si="8"/>
        <v/>
      </c>
      <c r="T27" s="99" t="str">
        <f t="shared" si="9"/>
        <v/>
      </c>
      <c r="U27" s="95">
        <f t="shared" si="12"/>
        <v>5000</v>
      </c>
      <c r="V27" s="94" t="str">
        <f t="shared" si="13"/>
        <v/>
      </c>
      <c r="W27" s="105">
        <f t="shared" si="14"/>
        <v>329000</v>
      </c>
      <c r="X27" s="105">
        <f t="shared" si="10"/>
        <v>42770</v>
      </c>
      <c r="Y27" s="106">
        <f t="shared" si="11"/>
        <v>286230</v>
      </c>
    </row>
    <row r="28" spans="2:25" x14ac:dyDescent="0.25">
      <c r="W28" s="3"/>
    </row>
    <row r="29" spans="2:25" ht="15.75" thickBot="1" x14ac:dyDescent="0.3">
      <c r="W29" s="3"/>
    </row>
    <row r="30" spans="2:25" x14ac:dyDescent="0.25">
      <c r="C30" s="114"/>
      <c r="D30" s="130" t="s">
        <v>186</v>
      </c>
      <c r="E30" s="130"/>
      <c r="R30" s="89" t="s">
        <v>185</v>
      </c>
      <c r="S30" s="90" t="s">
        <v>183</v>
      </c>
      <c r="T30" s="91" t="s">
        <v>184</v>
      </c>
    </row>
    <row r="31" spans="2:25" ht="15.75" thickBot="1" x14ac:dyDescent="0.3">
      <c r="D31" s="1" t="s">
        <v>127</v>
      </c>
      <c r="E31" s="1" t="s">
        <v>187</v>
      </c>
      <c r="R31" s="93"/>
      <c r="S31" s="95">
        <v>5000</v>
      </c>
      <c r="T31" s="107">
        <v>2500</v>
      </c>
    </row>
  </sheetData>
  <mergeCells count="1">
    <mergeCell ref="D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E7" sqref="E7"/>
    </sheetView>
  </sheetViews>
  <sheetFormatPr defaultRowHeight="15" x14ac:dyDescent="0.25"/>
  <cols>
    <col min="1" max="1" width="15.28515625" bestFit="1" customWidth="1"/>
    <col min="2" max="2" width="12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27</v>
      </c>
      <c r="B2" s="3">
        <v>70000</v>
      </c>
    </row>
    <row r="3" spans="1:3" x14ac:dyDescent="0.25">
      <c r="A3" t="s">
        <v>28</v>
      </c>
      <c r="B3" s="3">
        <v>50000</v>
      </c>
      <c r="C3">
        <v>1</v>
      </c>
    </row>
    <row r="4" spans="1:3" x14ac:dyDescent="0.25">
      <c r="A4" t="s">
        <v>29</v>
      </c>
      <c r="B4" s="3">
        <v>40000</v>
      </c>
    </row>
    <row r="5" spans="1:3" x14ac:dyDescent="0.25">
      <c r="A5" t="s">
        <v>30</v>
      </c>
      <c r="B5" s="3">
        <v>45000</v>
      </c>
    </row>
    <row r="6" spans="1:3" x14ac:dyDescent="0.25">
      <c r="A6" t="s">
        <v>31</v>
      </c>
      <c r="B6" s="3">
        <v>38000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E30" sqref="E30"/>
    </sheetView>
  </sheetViews>
  <sheetFormatPr defaultRowHeight="15" x14ac:dyDescent="0.25"/>
  <cols>
    <col min="1" max="1" width="13.7109375" bestFit="1" customWidth="1"/>
    <col min="2" max="2" width="11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32</v>
      </c>
      <c r="B2" s="3">
        <v>3700</v>
      </c>
    </row>
    <row r="3" spans="1:3" x14ac:dyDescent="0.25">
      <c r="A3" t="s">
        <v>33</v>
      </c>
      <c r="B3" s="3">
        <v>1750</v>
      </c>
      <c r="C3">
        <v>4</v>
      </c>
    </row>
    <row r="4" spans="1:3" x14ac:dyDescent="0.25">
      <c r="A4" t="s">
        <v>34</v>
      </c>
      <c r="B4" s="3">
        <v>2250</v>
      </c>
    </row>
    <row r="5" spans="1:3" x14ac:dyDescent="0.25">
      <c r="A5" t="s">
        <v>35</v>
      </c>
      <c r="B5" s="3">
        <v>3300</v>
      </c>
    </row>
    <row r="6" spans="1:3" x14ac:dyDescent="0.25">
      <c r="A6" t="s">
        <v>36</v>
      </c>
      <c r="B6" s="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D8" sqref="D8"/>
    </sheetView>
  </sheetViews>
  <sheetFormatPr defaultRowHeight="15" x14ac:dyDescent="0.25"/>
  <cols>
    <col min="1" max="1" width="22.7109375" bestFit="1" customWidth="1"/>
    <col min="2" max="2" width="13.140625" bestFit="1" customWidth="1"/>
  </cols>
  <sheetData>
    <row r="1" spans="1:3" x14ac:dyDescent="0.25">
      <c r="A1" t="s">
        <v>20</v>
      </c>
      <c r="B1" t="s">
        <v>37</v>
      </c>
    </row>
    <row r="2" spans="1:3" x14ac:dyDescent="0.25">
      <c r="A2" t="s">
        <v>38</v>
      </c>
      <c r="B2" s="3">
        <v>170000</v>
      </c>
    </row>
    <row r="3" spans="1:3" x14ac:dyDescent="0.25">
      <c r="A3" t="s">
        <v>39</v>
      </c>
      <c r="B3" s="3">
        <v>95000</v>
      </c>
      <c r="C3">
        <v>1</v>
      </c>
    </row>
    <row r="4" spans="1:3" x14ac:dyDescent="0.25">
      <c r="A4" t="s">
        <v>40</v>
      </c>
      <c r="B4" s="3">
        <v>37000</v>
      </c>
    </row>
    <row r="5" spans="1:3" x14ac:dyDescent="0.25">
      <c r="A5" t="s">
        <v>41</v>
      </c>
      <c r="B5" s="3">
        <v>130000</v>
      </c>
    </row>
    <row r="6" spans="1:3" x14ac:dyDescent="0.25">
      <c r="A6" t="s">
        <v>42</v>
      </c>
      <c r="B6" s="3">
        <v>72000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G8" sqref="G8"/>
    </sheetView>
  </sheetViews>
  <sheetFormatPr defaultRowHeight="15" x14ac:dyDescent="0.25"/>
  <cols>
    <col min="1" max="1" width="23.7109375" bestFit="1" customWidth="1"/>
    <col min="2" max="2" width="12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43</v>
      </c>
      <c r="B2" s="3">
        <v>6000</v>
      </c>
    </row>
    <row r="3" spans="1:3" x14ac:dyDescent="0.25">
      <c r="A3" t="s">
        <v>44</v>
      </c>
      <c r="B3" s="3">
        <v>17000</v>
      </c>
      <c r="C3">
        <v>2</v>
      </c>
    </row>
    <row r="4" spans="1:3" x14ac:dyDescent="0.25">
      <c r="A4" t="s">
        <v>45</v>
      </c>
      <c r="B4" s="3">
        <v>9000</v>
      </c>
    </row>
    <row r="5" spans="1:3" x14ac:dyDescent="0.25">
      <c r="A5" t="s">
        <v>46</v>
      </c>
      <c r="B5" s="3">
        <v>5000</v>
      </c>
    </row>
    <row r="6" spans="1:3" x14ac:dyDescent="0.25">
      <c r="A6" t="s">
        <v>47</v>
      </c>
      <c r="B6" s="3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Лист1</vt:lpstr>
      <vt:lpstr>Учёт товаров </vt:lpstr>
      <vt:lpstr>Касса</vt:lpstr>
      <vt:lpstr>Эл.журнал</vt:lpstr>
      <vt:lpstr>Лист3</vt:lpstr>
      <vt:lpstr>Сенсорный</vt:lpstr>
      <vt:lpstr>Кнопочный </vt:lpstr>
      <vt:lpstr>Складной</vt:lpstr>
      <vt:lpstr>Полукнопочный</vt:lpstr>
      <vt:lpstr>h</vt:lpstr>
      <vt:lpstr>'Учёт товаров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Ненашев</dc:creator>
  <cp:lastModifiedBy>Николай Ненашев</cp:lastModifiedBy>
  <cp:lastPrinted>2024-02-02T10:26:35Z</cp:lastPrinted>
  <dcterms:created xsi:type="dcterms:W3CDTF">2024-01-26T09:10:14Z</dcterms:created>
  <dcterms:modified xsi:type="dcterms:W3CDTF">2024-03-30T10:12:34Z</dcterms:modified>
</cp:coreProperties>
</file>