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tuti\Master CV\Projects\"/>
    </mc:Choice>
  </mc:AlternateContent>
  <xr:revisionPtr revIDLastSave="0" documentId="13_ncr:1_{72286C38-EE1B-4DFB-B11B-D85FA15DBAA3}" xr6:coauthVersionLast="47" xr6:coauthVersionMax="47" xr10:uidLastSave="{00000000-0000-0000-0000-000000000000}"/>
  <bookViews>
    <workbookView xWindow="-110" yWindow="-110" windowWidth="19420" windowHeight="10300" firstSheet="8" activeTab="11" xr2:uid="{00000000-000D-0000-FFFF-FFFF00000000}"/>
  </bookViews>
  <sheets>
    <sheet name="Introduction" sheetId="13" r:id="rId1"/>
    <sheet name="Timeline" sheetId="2" r:id="rId2"/>
    <sheet name="Divya (daughter) - Education " sheetId="3" r:id="rId3"/>
    <sheet name="Divya (daughter) - Wedding " sheetId="4" r:id="rId4"/>
    <sheet name="Darsh (son) - Wedding " sheetId="5" r:id="rId5"/>
    <sheet name="Income Estimation " sheetId="6" r:id="rId6"/>
    <sheet name=" Insurance Costs" sheetId="7" r:id="rId7"/>
    <sheet name="Expense Estimation" sheetId="8" r:id="rId8"/>
    <sheet name="Investments" sheetId="9" r:id="rId9"/>
    <sheet name="Goal Fulfilment" sheetId="10" r:id="rId10"/>
    <sheet name="Jayesh's assets" sheetId="11" r:id="rId11"/>
    <sheet name="Inflation estimation" sheetId="12" r:id="rId12"/>
  </sheets>
  <calcPr calcId="191029"/>
  <extLst>
    <ext uri="GoogleSheetsCustomDataVersion2">
      <go:sheetsCustomData xmlns:go="http://customooxmlschemas.google.com/" r:id="rId16" roundtripDataChecksum="pu1l1poYQvY28sZjLA0fEKuCG449A+wojl1vYD3FMo0="/>
    </ext>
  </extLst>
</workbook>
</file>

<file path=xl/calcChain.xml><?xml version="1.0" encoding="utf-8"?>
<calcChain xmlns="http://schemas.openxmlformats.org/spreadsheetml/2006/main">
  <c r="G52" i="9" l="1"/>
  <c r="E5" i="8"/>
  <c r="N76" i="9"/>
  <c r="B5" i="8"/>
  <c r="G56" i="9"/>
  <c r="X48" i="12"/>
  <c r="W48" i="12"/>
  <c r="U48" i="12"/>
  <c r="I48" i="12"/>
  <c r="H48" i="12"/>
  <c r="G48" i="12"/>
  <c r="F48" i="12"/>
  <c r="E48" i="12"/>
  <c r="D48" i="12"/>
  <c r="O48" i="12" s="1"/>
  <c r="N35" i="8" s="1"/>
  <c r="X47" i="12"/>
  <c r="W47" i="12"/>
  <c r="U47" i="12"/>
  <c r="I47" i="12"/>
  <c r="H47" i="12"/>
  <c r="G47" i="12"/>
  <c r="R47" i="12" s="1"/>
  <c r="Q34" i="8" s="1"/>
  <c r="F47" i="12"/>
  <c r="E47" i="12"/>
  <c r="P47" i="12" s="1"/>
  <c r="O34" i="8" s="1"/>
  <c r="D47" i="12"/>
  <c r="X46" i="12"/>
  <c r="W46" i="12"/>
  <c r="U46" i="12"/>
  <c r="I46" i="12"/>
  <c r="H46" i="12"/>
  <c r="G46" i="12"/>
  <c r="R46" i="12" s="1"/>
  <c r="Q33" i="8" s="1"/>
  <c r="F46" i="12"/>
  <c r="Q46" i="12" s="1"/>
  <c r="P33" i="8" s="1"/>
  <c r="E46" i="12"/>
  <c r="D46" i="12"/>
  <c r="O46" i="12" s="1"/>
  <c r="X45" i="12"/>
  <c r="W45" i="12"/>
  <c r="U45" i="12"/>
  <c r="I45" i="12"/>
  <c r="H45" i="12"/>
  <c r="G45" i="12"/>
  <c r="F45" i="12"/>
  <c r="Q45" i="12" s="1"/>
  <c r="E45" i="12"/>
  <c r="D45" i="12"/>
  <c r="X44" i="12"/>
  <c r="W44" i="12"/>
  <c r="U44" i="12"/>
  <c r="I44" i="12"/>
  <c r="T44" i="12" s="1"/>
  <c r="S31" i="8" s="1"/>
  <c r="H44" i="12"/>
  <c r="G44" i="12"/>
  <c r="F44" i="12"/>
  <c r="E44" i="12"/>
  <c r="D44" i="12"/>
  <c r="X43" i="12"/>
  <c r="W43" i="12"/>
  <c r="V30" i="8" s="1"/>
  <c r="U43" i="12"/>
  <c r="I43" i="12"/>
  <c r="H43" i="12"/>
  <c r="G43" i="12"/>
  <c r="R43" i="12" s="1"/>
  <c r="Q30" i="8" s="1"/>
  <c r="F43" i="12"/>
  <c r="Q43" i="12" s="1"/>
  <c r="E43" i="12"/>
  <c r="D43" i="12"/>
  <c r="X42" i="12"/>
  <c r="W42" i="12"/>
  <c r="U42" i="12"/>
  <c r="I42" i="12"/>
  <c r="H42" i="12"/>
  <c r="G42" i="12"/>
  <c r="F42" i="12"/>
  <c r="E42" i="12"/>
  <c r="P42" i="12" s="1"/>
  <c r="O29" i="8" s="1"/>
  <c r="D42" i="12"/>
  <c r="O42" i="12" s="1"/>
  <c r="N29" i="8" s="1"/>
  <c r="X41" i="12"/>
  <c r="W41" i="12"/>
  <c r="U41" i="12"/>
  <c r="I41" i="12"/>
  <c r="T41" i="12" s="1"/>
  <c r="H41" i="12"/>
  <c r="G41" i="12"/>
  <c r="R41" i="12" s="1"/>
  <c r="Q28" i="8" s="1"/>
  <c r="F41" i="12"/>
  <c r="Q41" i="12" s="1"/>
  <c r="P28" i="8" s="1"/>
  <c r="E41" i="12"/>
  <c r="D41" i="12"/>
  <c r="O41" i="12" s="1"/>
  <c r="X40" i="12"/>
  <c r="W40" i="12"/>
  <c r="U40" i="12"/>
  <c r="I40" i="12"/>
  <c r="H40" i="12"/>
  <c r="G40" i="12"/>
  <c r="F40" i="12"/>
  <c r="E40" i="12"/>
  <c r="P40" i="12" s="1"/>
  <c r="O27" i="8" s="1"/>
  <c r="D40" i="12"/>
  <c r="X39" i="12"/>
  <c r="W39" i="12"/>
  <c r="U39" i="12"/>
  <c r="R39" i="12"/>
  <c r="Q26" i="8" s="1"/>
  <c r="I39" i="12"/>
  <c r="H39" i="12"/>
  <c r="G39" i="12"/>
  <c r="F39" i="12"/>
  <c r="E39" i="12"/>
  <c r="D39" i="12"/>
  <c r="O39" i="12" s="1"/>
  <c r="X38" i="12"/>
  <c r="W38" i="12"/>
  <c r="V25" i="8" s="1"/>
  <c r="U38" i="12"/>
  <c r="I38" i="12"/>
  <c r="H38" i="12"/>
  <c r="G38" i="12"/>
  <c r="F38" i="12"/>
  <c r="E38" i="12"/>
  <c r="D38" i="12"/>
  <c r="X37" i="12"/>
  <c r="W37" i="12"/>
  <c r="U37" i="12"/>
  <c r="I37" i="12"/>
  <c r="H37" i="12"/>
  <c r="G37" i="12"/>
  <c r="F37" i="12"/>
  <c r="E37" i="12"/>
  <c r="P37" i="12" s="1"/>
  <c r="O24" i="8" s="1"/>
  <c r="D37" i="12"/>
  <c r="O37" i="12" s="1"/>
  <c r="N24" i="8" s="1"/>
  <c r="X36" i="12"/>
  <c r="W36" i="12"/>
  <c r="U36" i="12"/>
  <c r="I36" i="12"/>
  <c r="H36" i="12"/>
  <c r="G36" i="12"/>
  <c r="R36" i="12" s="1"/>
  <c r="Q23" i="8" s="1"/>
  <c r="F36" i="12"/>
  <c r="Q36" i="12" s="1"/>
  <c r="P23" i="8" s="1"/>
  <c r="E36" i="12"/>
  <c r="D36" i="12"/>
  <c r="O36" i="12" s="1"/>
  <c r="N23" i="8" s="1"/>
  <c r="X35" i="12"/>
  <c r="W35" i="12"/>
  <c r="U35" i="12"/>
  <c r="Q35" i="12"/>
  <c r="P22" i="8" s="1"/>
  <c r="I35" i="12"/>
  <c r="T35" i="12" s="1"/>
  <c r="S22" i="8" s="1"/>
  <c r="H35" i="12"/>
  <c r="G35" i="12"/>
  <c r="R35" i="12" s="1"/>
  <c r="Q22" i="8" s="1"/>
  <c r="F35" i="12"/>
  <c r="E35" i="12"/>
  <c r="D35" i="12"/>
  <c r="O35" i="12" s="1"/>
  <c r="N22" i="8" s="1"/>
  <c r="X34" i="12"/>
  <c r="W34" i="12"/>
  <c r="U34" i="12"/>
  <c r="I34" i="12"/>
  <c r="H34" i="12"/>
  <c r="G34" i="12"/>
  <c r="F34" i="12"/>
  <c r="E34" i="12"/>
  <c r="D34" i="12"/>
  <c r="X33" i="12"/>
  <c r="W33" i="12"/>
  <c r="V20" i="8" s="1"/>
  <c r="U33" i="12"/>
  <c r="I33" i="12"/>
  <c r="H33" i="12"/>
  <c r="G33" i="12"/>
  <c r="F33" i="12"/>
  <c r="E33" i="12"/>
  <c r="D33" i="12"/>
  <c r="X32" i="12"/>
  <c r="W32" i="12"/>
  <c r="U32" i="12"/>
  <c r="I32" i="12"/>
  <c r="H32" i="12"/>
  <c r="G32" i="12"/>
  <c r="F32" i="12"/>
  <c r="Q32" i="12" s="1"/>
  <c r="P19" i="8" s="1"/>
  <c r="E32" i="12"/>
  <c r="P32" i="12" s="1"/>
  <c r="O19" i="8" s="1"/>
  <c r="D32" i="12"/>
  <c r="O32" i="12" s="1"/>
  <c r="N19" i="8" s="1"/>
  <c r="X31" i="12"/>
  <c r="W31" i="12"/>
  <c r="U31" i="12"/>
  <c r="I31" i="12"/>
  <c r="H31" i="12"/>
  <c r="G31" i="12"/>
  <c r="R31" i="12" s="1"/>
  <c r="Q18" i="8" s="1"/>
  <c r="F31" i="12"/>
  <c r="E31" i="12"/>
  <c r="P31" i="12" s="1"/>
  <c r="O18" i="8" s="1"/>
  <c r="D31" i="12"/>
  <c r="X30" i="12"/>
  <c r="W30" i="12"/>
  <c r="U30" i="12"/>
  <c r="I30" i="12"/>
  <c r="T30" i="12" s="1"/>
  <c r="S17" i="8" s="1"/>
  <c r="H30" i="12"/>
  <c r="G30" i="12"/>
  <c r="R30" i="12" s="1"/>
  <c r="F30" i="12"/>
  <c r="Q30" i="12" s="1"/>
  <c r="P17" i="8" s="1"/>
  <c r="E30" i="12"/>
  <c r="D30" i="12"/>
  <c r="X29" i="12"/>
  <c r="W29" i="12"/>
  <c r="U29" i="12"/>
  <c r="T16" i="8" s="1"/>
  <c r="I29" i="12"/>
  <c r="T29" i="12" s="1"/>
  <c r="H29" i="12"/>
  <c r="G29" i="12"/>
  <c r="F29" i="12"/>
  <c r="E29" i="12"/>
  <c r="P29" i="12" s="1"/>
  <c r="D29" i="12"/>
  <c r="O29" i="12" s="1"/>
  <c r="N16" i="8" s="1"/>
  <c r="X28" i="12"/>
  <c r="W28" i="12"/>
  <c r="U28" i="12"/>
  <c r="I28" i="12"/>
  <c r="H28" i="12"/>
  <c r="G28" i="12"/>
  <c r="F28" i="12"/>
  <c r="E28" i="12"/>
  <c r="P28" i="12" s="1"/>
  <c r="O15" i="8" s="1"/>
  <c r="D28" i="12"/>
  <c r="O28" i="12" s="1"/>
  <c r="N15" i="8" s="1"/>
  <c r="X27" i="12"/>
  <c r="W27" i="12"/>
  <c r="U27" i="12"/>
  <c r="T14" i="8" s="1"/>
  <c r="I27" i="12"/>
  <c r="H27" i="12"/>
  <c r="G27" i="12"/>
  <c r="F27" i="12"/>
  <c r="Q27" i="12" s="1"/>
  <c r="P14" i="8" s="1"/>
  <c r="E27" i="12"/>
  <c r="D27" i="12"/>
  <c r="X26" i="12"/>
  <c r="W26" i="12"/>
  <c r="U26" i="12"/>
  <c r="T13" i="8" s="1"/>
  <c r="I26" i="12"/>
  <c r="T26" i="12" s="1"/>
  <c r="S13" i="8" s="1"/>
  <c r="H26" i="12"/>
  <c r="G26" i="12"/>
  <c r="R26" i="12" s="1"/>
  <c r="Q13" i="8" s="1"/>
  <c r="F26" i="12"/>
  <c r="E26" i="12"/>
  <c r="D26" i="12"/>
  <c r="X25" i="12"/>
  <c r="W25" i="12"/>
  <c r="U25" i="12"/>
  <c r="I25" i="12"/>
  <c r="T25" i="12" s="1"/>
  <c r="S12" i="8" s="1"/>
  <c r="H25" i="12"/>
  <c r="G25" i="12"/>
  <c r="F25" i="12"/>
  <c r="E25" i="12"/>
  <c r="D25" i="12"/>
  <c r="O25" i="12" s="1"/>
  <c r="N12" i="8" s="1"/>
  <c r="X24" i="12"/>
  <c r="W24" i="12"/>
  <c r="U24" i="12"/>
  <c r="I24" i="12"/>
  <c r="H24" i="12"/>
  <c r="G24" i="12"/>
  <c r="F24" i="12"/>
  <c r="Q24" i="12" s="1"/>
  <c r="P11" i="8" s="1"/>
  <c r="E24" i="12"/>
  <c r="P24" i="12" s="1"/>
  <c r="O11" i="8" s="1"/>
  <c r="D24" i="12"/>
  <c r="O24" i="12" s="1"/>
  <c r="N11" i="8" s="1"/>
  <c r="X23" i="12"/>
  <c r="W23" i="12"/>
  <c r="U23" i="12"/>
  <c r="I23" i="12"/>
  <c r="H23" i="12"/>
  <c r="G23" i="12"/>
  <c r="R23" i="12" s="1"/>
  <c r="Q10" i="8" s="1"/>
  <c r="F23" i="12"/>
  <c r="E23" i="12"/>
  <c r="P23" i="12" s="1"/>
  <c r="O10" i="8" s="1"/>
  <c r="D23" i="12"/>
  <c r="X22" i="12"/>
  <c r="W22" i="12"/>
  <c r="V9" i="8" s="1"/>
  <c r="U22" i="12"/>
  <c r="T9" i="8" s="1"/>
  <c r="I22" i="12"/>
  <c r="T22" i="12" s="1"/>
  <c r="S9" i="8" s="1"/>
  <c r="H22" i="12"/>
  <c r="G22" i="12"/>
  <c r="R22" i="12" s="1"/>
  <c r="F22" i="12"/>
  <c r="E22" i="12"/>
  <c r="D22" i="12"/>
  <c r="X21" i="12"/>
  <c r="W21" i="12"/>
  <c r="V8" i="8" s="1"/>
  <c r="U21" i="12"/>
  <c r="T8" i="8" s="1"/>
  <c r="I21" i="12"/>
  <c r="T21" i="12" s="1"/>
  <c r="S8" i="8" s="1"/>
  <c r="H21" i="12"/>
  <c r="G21" i="12"/>
  <c r="F21" i="12"/>
  <c r="E21" i="12"/>
  <c r="D21" i="12"/>
  <c r="X20" i="12"/>
  <c r="W20" i="12"/>
  <c r="U20" i="12"/>
  <c r="T7" i="8" s="1"/>
  <c r="I20" i="12"/>
  <c r="H20" i="12"/>
  <c r="G20" i="12"/>
  <c r="F20" i="12"/>
  <c r="E20" i="12"/>
  <c r="P20" i="12" s="1"/>
  <c r="D20" i="12"/>
  <c r="O20" i="12" s="1"/>
  <c r="X19" i="12"/>
  <c r="W19" i="12"/>
  <c r="U19" i="12"/>
  <c r="I19" i="12"/>
  <c r="H19" i="12"/>
  <c r="G19" i="12"/>
  <c r="R19" i="12" s="1"/>
  <c r="Q6" i="8" s="1"/>
  <c r="F6" i="8" s="1"/>
  <c r="F19" i="12"/>
  <c r="Q19" i="12" s="1"/>
  <c r="P6" i="8" s="1"/>
  <c r="E19" i="12"/>
  <c r="P19" i="12" s="1"/>
  <c r="D19" i="12"/>
  <c r="O19" i="12" s="1"/>
  <c r="X18" i="12"/>
  <c r="W18" i="12"/>
  <c r="U18" i="12"/>
  <c r="I18" i="12"/>
  <c r="T18" i="12" s="1"/>
  <c r="S5" i="8" s="1"/>
  <c r="H18" i="12"/>
  <c r="G18" i="12"/>
  <c r="R18" i="12" s="1"/>
  <c r="F18" i="12"/>
  <c r="Q18" i="12" s="1"/>
  <c r="P5" i="8" s="1"/>
  <c r="E18" i="12"/>
  <c r="P18" i="12" s="1"/>
  <c r="D18" i="12"/>
  <c r="O18" i="12" s="1"/>
  <c r="V17" i="12"/>
  <c r="U17" i="12"/>
  <c r="T17" i="12"/>
  <c r="S17" i="12"/>
  <c r="R17" i="12"/>
  <c r="Q17" i="12"/>
  <c r="P17" i="12"/>
  <c r="O17" i="12"/>
  <c r="N17" i="12"/>
  <c r="V13" i="12"/>
  <c r="T13" i="12"/>
  <c r="S13" i="12"/>
  <c r="R13" i="12"/>
  <c r="Q13" i="12"/>
  <c r="P13" i="12"/>
  <c r="O13" i="12"/>
  <c r="N13" i="12"/>
  <c r="V12" i="12"/>
  <c r="T12" i="12"/>
  <c r="S12" i="12"/>
  <c r="R12" i="12"/>
  <c r="Q12" i="12"/>
  <c r="P12" i="12"/>
  <c r="O12" i="12"/>
  <c r="V11" i="12"/>
  <c r="V29" i="12" s="1"/>
  <c r="U16" i="8" s="1"/>
  <c r="T11" i="12"/>
  <c r="S11" i="12"/>
  <c r="R11" i="12"/>
  <c r="Q11" i="12"/>
  <c r="P11" i="12"/>
  <c r="O11" i="12"/>
  <c r="V10" i="12"/>
  <c r="T10" i="12"/>
  <c r="S10" i="12"/>
  <c r="R10" i="12"/>
  <c r="Q10" i="12"/>
  <c r="P10" i="12"/>
  <c r="O10" i="12"/>
  <c r="V9" i="12"/>
  <c r="T9" i="12"/>
  <c r="S9" i="12"/>
  <c r="S15" i="12" s="1"/>
  <c r="R9" i="12"/>
  <c r="Q9" i="12"/>
  <c r="P9" i="12"/>
  <c r="O9" i="12"/>
  <c r="V8" i="12"/>
  <c r="T8" i="12"/>
  <c r="S8" i="12"/>
  <c r="R8" i="12"/>
  <c r="Q8" i="12"/>
  <c r="P8" i="12"/>
  <c r="O8" i="12"/>
  <c r="V7" i="12"/>
  <c r="T7" i="12"/>
  <c r="S7" i="12"/>
  <c r="R7" i="12"/>
  <c r="Q7" i="12"/>
  <c r="P7" i="12"/>
  <c r="O7" i="12"/>
  <c r="V6" i="12"/>
  <c r="T6" i="12"/>
  <c r="S6" i="12"/>
  <c r="R6" i="12"/>
  <c r="Q6" i="12"/>
  <c r="P6" i="12"/>
  <c r="O6" i="12"/>
  <c r="V5" i="12"/>
  <c r="T5" i="12"/>
  <c r="S5" i="12"/>
  <c r="R5" i="12"/>
  <c r="Q5" i="12"/>
  <c r="P5" i="12"/>
  <c r="O5" i="12"/>
  <c r="V3" i="12"/>
  <c r="U3" i="12"/>
  <c r="T3" i="12"/>
  <c r="S3" i="12"/>
  <c r="R3" i="12"/>
  <c r="Q3" i="12"/>
  <c r="P3" i="12"/>
  <c r="O3" i="12"/>
  <c r="N3" i="12"/>
  <c r="C13" i="11"/>
  <c r="B2" i="11"/>
  <c r="B5" i="11" s="1"/>
  <c r="F47" i="9" s="1"/>
  <c r="G47" i="9" s="1"/>
  <c r="C15" i="10"/>
  <c r="E9" i="10"/>
  <c r="C9" i="10"/>
  <c r="I6" i="10"/>
  <c r="C5" i="10"/>
  <c r="I5" i="10" s="1"/>
  <c r="I2" i="10"/>
  <c r="N79" i="9"/>
  <c r="N64" i="9"/>
  <c r="J64" i="9"/>
  <c r="S61" i="9"/>
  <c r="E60" i="9"/>
  <c r="P45" i="9"/>
  <c r="J45" i="9"/>
  <c r="G45" i="9"/>
  <c r="E45" i="9"/>
  <c r="C43" i="9"/>
  <c r="D43" i="8"/>
  <c r="D44" i="8" s="1"/>
  <c r="D45" i="8" s="1"/>
  <c r="V35" i="8"/>
  <c r="T35" i="8"/>
  <c r="R35" i="8"/>
  <c r="E35" i="8"/>
  <c r="V34" i="8"/>
  <c r="T34" i="8"/>
  <c r="R34" i="8"/>
  <c r="E34" i="8"/>
  <c r="V33" i="8"/>
  <c r="T33" i="8"/>
  <c r="R33" i="8"/>
  <c r="N33" i="8"/>
  <c r="E33" i="8"/>
  <c r="V32" i="8"/>
  <c r="T32" i="8"/>
  <c r="R32" i="8"/>
  <c r="P32" i="8"/>
  <c r="E32" i="8"/>
  <c r="V31" i="8"/>
  <c r="T31" i="8"/>
  <c r="R31" i="8"/>
  <c r="E31" i="8"/>
  <c r="T30" i="8"/>
  <c r="R30" i="8"/>
  <c r="P30" i="8"/>
  <c r="E30" i="8"/>
  <c r="V29" i="8"/>
  <c r="T29" i="8"/>
  <c r="R29" i="8"/>
  <c r="E29" i="8"/>
  <c r="V28" i="8"/>
  <c r="T28" i="8"/>
  <c r="S28" i="8"/>
  <c r="R28" i="8"/>
  <c r="N28" i="8"/>
  <c r="E28" i="8"/>
  <c r="V27" i="8"/>
  <c r="T27" i="8"/>
  <c r="R27" i="8"/>
  <c r="E27" i="8"/>
  <c r="V26" i="8"/>
  <c r="T26" i="8"/>
  <c r="R26" i="8"/>
  <c r="N26" i="8"/>
  <c r="E26" i="8"/>
  <c r="T25" i="8"/>
  <c r="R25" i="8"/>
  <c r="E25" i="8"/>
  <c r="V24" i="8"/>
  <c r="T24" i="8"/>
  <c r="R24" i="8"/>
  <c r="E24" i="8"/>
  <c r="V23" i="8"/>
  <c r="T23" i="8"/>
  <c r="R23" i="8"/>
  <c r="E23" i="8"/>
  <c r="V22" i="8"/>
  <c r="T22" i="8"/>
  <c r="R22" i="8"/>
  <c r="E22" i="8"/>
  <c r="V21" i="8"/>
  <c r="T21" i="8"/>
  <c r="R21" i="8"/>
  <c r="E21" i="8"/>
  <c r="T20" i="8"/>
  <c r="R20" i="8"/>
  <c r="E20" i="8"/>
  <c r="V19" i="8"/>
  <c r="T19" i="8"/>
  <c r="R19" i="8"/>
  <c r="E19" i="8"/>
  <c r="V18" i="8"/>
  <c r="T18" i="8"/>
  <c r="R18" i="8"/>
  <c r="V17" i="8"/>
  <c r="T17" i="8"/>
  <c r="R17" i="8"/>
  <c r="Q17" i="8"/>
  <c r="V16" i="8"/>
  <c r="S16" i="8"/>
  <c r="R16" i="8"/>
  <c r="O16" i="8"/>
  <c r="V15" i="8"/>
  <c r="T15" i="8"/>
  <c r="R15" i="8"/>
  <c r="V14" i="8"/>
  <c r="R14" i="8"/>
  <c r="V13" i="8"/>
  <c r="R13" i="8"/>
  <c r="V12" i="8"/>
  <c r="T12" i="8"/>
  <c r="R12" i="8"/>
  <c r="V11" i="8"/>
  <c r="T11" i="8"/>
  <c r="R11" i="8"/>
  <c r="V10" i="8"/>
  <c r="T10" i="8"/>
  <c r="R10" i="8"/>
  <c r="R9" i="8"/>
  <c r="Q9" i="8"/>
  <c r="R8" i="8"/>
  <c r="G8" i="8"/>
  <c r="V7" i="8"/>
  <c r="R7" i="8"/>
  <c r="O7" i="8"/>
  <c r="N7" i="8"/>
  <c r="G7" i="8"/>
  <c r="V6" i="8"/>
  <c r="T6" i="8"/>
  <c r="R6" i="8"/>
  <c r="O6" i="8"/>
  <c r="N6" i="8"/>
  <c r="H6" i="8" s="1"/>
  <c r="G6" i="8"/>
  <c r="V5" i="8"/>
  <c r="T5" i="8"/>
  <c r="R5" i="8"/>
  <c r="Q5" i="8"/>
  <c r="O5" i="8"/>
  <c r="N5" i="8"/>
  <c r="G5" i="8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D5" i="8"/>
  <c r="D6" i="8" s="1"/>
  <c r="D7" i="8" s="1"/>
  <c r="D8" i="8" s="1"/>
  <c r="C5" i="8"/>
  <c r="C6" i="8" s="1"/>
  <c r="C7" i="8" s="1"/>
  <c r="F8" i="7"/>
  <c r="E3" i="9" s="1"/>
  <c r="C7" i="7"/>
  <c r="E41" i="6"/>
  <c r="E40" i="6"/>
  <c r="E39" i="6"/>
  <c r="E38" i="6"/>
  <c r="E37" i="6"/>
  <c r="E36" i="6"/>
  <c r="E35" i="6"/>
  <c r="E34" i="6"/>
  <c r="E33" i="6"/>
  <c r="E32" i="6"/>
  <c r="E31" i="6"/>
  <c r="F30" i="6"/>
  <c r="F31" i="6" s="1"/>
  <c r="F32" i="6" s="1"/>
  <c r="F33" i="6" s="1"/>
  <c r="F34" i="6" s="1"/>
  <c r="E30" i="6"/>
  <c r="F29" i="6"/>
  <c r="E29" i="6"/>
  <c r="E28" i="6"/>
  <c r="E27" i="6"/>
  <c r="E26" i="6"/>
  <c r="E25" i="6"/>
  <c r="E24" i="6"/>
  <c r="E23" i="6"/>
  <c r="E22" i="6"/>
  <c r="E21" i="6"/>
  <c r="E20" i="6"/>
  <c r="F19" i="6"/>
  <c r="F20" i="6" s="1"/>
  <c r="F21" i="6" s="1"/>
  <c r="F22" i="6" s="1"/>
  <c r="F23" i="6" s="1"/>
  <c r="F24" i="6" s="1"/>
  <c r="F25" i="6" s="1"/>
  <c r="F26" i="6" s="1"/>
  <c r="F27" i="6" s="1"/>
  <c r="F28" i="6" s="1"/>
  <c r="E19" i="6"/>
  <c r="F18" i="6"/>
  <c r="E18" i="6"/>
  <c r="F17" i="6"/>
  <c r="E17" i="6"/>
  <c r="E16" i="6"/>
  <c r="E15" i="6"/>
  <c r="E14" i="6"/>
  <c r="E13" i="6"/>
  <c r="E12" i="6"/>
  <c r="H4" i="6"/>
  <c r="E4" i="6"/>
  <c r="C4" i="6"/>
  <c r="D11" i="6" s="1"/>
  <c r="B22" i="5"/>
  <c r="B23" i="5" s="1"/>
  <c r="B4" i="5" s="1"/>
  <c r="B9" i="5"/>
  <c r="C9" i="5" s="1"/>
  <c r="B7" i="5"/>
  <c r="C7" i="5" s="1"/>
  <c r="C6" i="5"/>
  <c r="C5" i="5"/>
  <c r="B24" i="4"/>
  <c r="B5" i="4" s="1"/>
  <c r="B23" i="4"/>
  <c r="B10" i="4"/>
  <c r="C10" i="4" s="1"/>
  <c r="C8" i="4"/>
  <c r="C7" i="4"/>
  <c r="C6" i="4"/>
  <c r="B11" i="3"/>
  <c r="E7" i="3"/>
  <c r="E6" i="3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F8" i="2"/>
  <c r="E8" i="2"/>
  <c r="D5" i="2"/>
  <c r="D8" i="2" s="1"/>
  <c r="C8" i="5" l="1"/>
  <c r="C9" i="4"/>
  <c r="N48" i="12"/>
  <c r="M35" i="8" s="1"/>
  <c r="N37" i="12"/>
  <c r="M24" i="8" s="1"/>
  <c r="N33" i="12"/>
  <c r="M20" i="8" s="1"/>
  <c r="N41" i="12"/>
  <c r="M28" i="8" s="1"/>
  <c r="N45" i="12"/>
  <c r="M32" i="8" s="1"/>
  <c r="N29" i="12"/>
  <c r="M16" i="8" s="1"/>
  <c r="N25" i="12"/>
  <c r="M12" i="8" s="1"/>
  <c r="N21" i="12"/>
  <c r="M8" i="8" s="1"/>
  <c r="T15" i="12"/>
  <c r="H7" i="8"/>
  <c r="V48" i="12"/>
  <c r="U35" i="8" s="1"/>
  <c r="Q23" i="12"/>
  <c r="P10" i="8" s="1"/>
  <c r="Q31" i="12"/>
  <c r="P18" i="8" s="1"/>
  <c r="T34" i="12"/>
  <c r="S21" i="8" s="1"/>
  <c r="P36" i="12"/>
  <c r="O23" i="8" s="1"/>
  <c r="T38" i="12"/>
  <c r="S25" i="8" s="1"/>
  <c r="Q40" i="12"/>
  <c r="P27" i="8" s="1"/>
  <c r="P41" i="12"/>
  <c r="O28" i="8" s="1"/>
  <c r="R45" i="12"/>
  <c r="Q32" i="8" s="1"/>
  <c r="P46" i="12"/>
  <c r="O33" i="8" s="1"/>
  <c r="O47" i="12"/>
  <c r="N34" i="8" s="1"/>
  <c r="Q47" i="12"/>
  <c r="P34" i="8" s="1"/>
  <c r="T23" i="12"/>
  <c r="S10" i="8" s="1"/>
  <c r="R27" i="12"/>
  <c r="Q14" i="8" s="1"/>
  <c r="T31" i="12"/>
  <c r="S18" i="8" s="1"/>
  <c r="Q33" i="12"/>
  <c r="P20" i="8" s="1"/>
  <c r="O34" i="12"/>
  <c r="N21" i="8" s="1"/>
  <c r="Q37" i="12"/>
  <c r="P24" i="8" s="1"/>
  <c r="O38" i="12"/>
  <c r="N25" i="8" s="1"/>
  <c r="T40" i="12"/>
  <c r="S27" i="8" s="1"/>
  <c r="Q42" i="12"/>
  <c r="P29" i="8" s="1"/>
  <c r="P43" i="12"/>
  <c r="O30" i="8" s="1"/>
  <c r="P48" i="12"/>
  <c r="O35" i="8" s="1"/>
  <c r="T45" i="12"/>
  <c r="S32" i="8" s="1"/>
  <c r="P15" i="12"/>
  <c r="Q15" i="12"/>
  <c r="Q21" i="12"/>
  <c r="P8" i="8" s="1"/>
  <c r="O22" i="12"/>
  <c r="N9" i="8" s="1"/>
  <c r="Q25" i="12"/>
  <c r="P12" i="8" s="1"/>
  <c r="O26" i="12"/>
  <c r="N13" i="8" s="1"/>
  <c r="T28" i="12"/>
  <c r="S15" i="8" s="1"/>
  <c r="Q29" i="12"/>
  <c r="P16" i="8" s="1"/>
  <c r="T32" i="12"/>
  <c r="S19" i="8" s="1"/>
  <c r="R33" i="12"/>
  <c r="Q20" i="8" s="1"/>
  <c r="P34" i="12"/>
  <c r="O21" i="8" s="1"/>
  <c r="T36" i="12"/>
  <c r="S23" i="8" s="1"/>
  <c r="R37" i="12"/>
  <c r="Q24" i="8" s="1"/>
  <c r="P38" i="12"/>
  <c r="O25" i="8" s="1"/>
  <c r="R42" i="12"/>
  <c r="Q29" i="8" s="1"/>
  <c r="O44" i="12"/>
  <c r="N31" i="8" s="1"/>
  <c r="T46" i="12"/>
  <c r="S33" i="8" s="1"/>
  <c r="Q48" i="12"/>
  <c r="P35" i="8" s="1"/>
  <c r="T20" i="12"/>
  <c r="S7" i="8" s="1"/>
  <c r="R21" i="12"/>
  <c r="Q8" i="8" s="1"/>
  <c r="P22" i="12"/>
  <c r="O9" i="8" s="1"/>
  <c r="T24" i="12"/>
  <c r="S11" i="8" s="1"/>
  <c r="R25" i="12"/>
  <c r="Q12" i="8" s="1"/>
  <c r="P26" i="12"/>
  <c r="O13" i="8" s="1"/>
  <c r="O27" i="12"/>
  <c r="N14" i="8" s="1"/>
  <c r="R29" i="12"/>
  <c r="Q16" i="8" s="1"/>
  <c r="O30" i="12"/>
  <c r="N17" i="8" s="1"/>
  <c r="Q34" i="12"/>
  <c r="P21" i="8" s="1"/>
  <c r="P35" i="12"/>
  <c r="O22" i="8" s="1"/>
  <c r="Q38" i="12"/>
  <c r="P25" i="8" s="1"/>
  <c r="P39" i="12"/>
  <c r="O26" i="8" s="1"/>
  <c r="P44" i="12"/>
  <c r="O31" i="8" s="1"/>
  <c r="O45" i="12"/>
  <c r="N32" i="8" s="1"/>
  <c r="O43" i="12"/>
  <c r="N30" i="8" s="1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G32" i="6"/>
  <c r="C24" i="9" s="1"/>
  <c r="R15" i="12"/>
  <c r="V25" i="12"/>
  <c r="U12" i="8" s="1"/>
  <c r="Q22" i="12"/>
  <c r="P9" i="8" s="1"/>
  <c r="O23" i="12"/>
  <c r="N10" i="8" s="1"/>
  <c r="Q26" i="12"/>
  <c r="P13" i="8" s="1"/>
  <c r="P27" i="12"/>
  <c r="O14" i="8" s="1"/>
  <c r="P30" i="12"/>
  <c r="O17" i="8" s="1"/>
  <c r="O31" i="12"/>
  <c r="N18" i="8" s="1"/>
  <c r="T33" i="12"/>
  <c r="S20" i="8" s="1"/>
  <c r="R34" i="12"/>
  <c r="Q21" i="8" s="1"/>
  <c r="T37" i="12"/>
  <c r="S24" i="8" s="1"/>
  <c r="R38" i="12"/>
  <c r="Q25" i="8" s="1"/>
  <c r="Q39" i="12"/>
  <c r="P26" i="8" s="1"/>
  <c r="O40" i="12"/>
  <c r="N27" i="8" s="1"/>
  <c r="T42" i="12"/>
  <c r="S29" i="8" s="1"/>
  <c r="Q44" i="12"/>
  <c r="P31" i="8" s="1"/>
  <c r="P45" i="12"/>
  <c r="O32" i="8" s="1"/>
  <c r="T48" i="12"/>
  <c r="S35" i="8" s="1"/>
  <c r="G48" i="9"/>
  <c r="G49" i="9" s="1"/>
  <c r="G50" i="9" s="1"/>
  <c r="G51" i="9" s="1"/>
  <c r="G53" i="9" s="1"/>
  <c r="G54" i="9" s="1"/>
  <c r="G55" i="9" s="1"/>
  <c r="C5" i="4"/>
  <c r="C11" i="4" s="1"/>
  <c r="B11" i="4"/>
  <c r="G11" i="6"/>
  <c r="C3" i="9" s="1"/>
  <c r="D12" i="6"/>
  <c r="F35" i="6"/>
  <c r="F36" i="6" s="1"/>
  <c r="F37" i="6" s="1"/>
  <c r="F38" i="6" s="1"/>
  <c r="G34" i="6"/>
  <c r="C26" i="9" s="1"/>
  <c r="B10" i="5"/>
  <c r="C4" i="5"/>
  <c r="C10" i="5" s="1"/>
  <c r="C12" i="10" s="1"/>
  <c r="G33" i="6"/>
  <c r="C25" i="9" s="1"/>
  <c r="I5" i="8"/>
  <c r="D3" i="9" s="1"/>
  <c r="F9" i="7"/>
  <c r="E4" i="9" s="1"/>
  <c r="E5" i="9" s="1"/>
  <c r="F9" i="10"/>
  <c r="I9" i="10" s="1"/>
  <c r="R24" i="12"/>
  <c r="Q11" i="8" s="1"/>
  <c r="T39" i="12"/>
  <c r="S26" i="8" s="1"/>
  <c r="R40" i="12"/>
  <c r="Q27" i="8" s="1"/>
  <c r="T43" i="12"/>
  <c r="S30" i="8" s="1"/>
  <c r="R44" i="12"/>
  <c r="Q31" i="8" s="1"/>
  <c r="T47" i="12"/>
  <c r="S34" i="8" s="1"/>
  <c r="R48" i="12"/>
  <c r="Q35" i="8" s="1"/>
  <c r="T19" i="12"/>
  <c r="S6" i="8" s="1"/>
  <c r="B6" i="8" s="1"/>
  <c r="Q20" i="12"/>
  <c r="P7" i="8" s="1"/>
  <c r="P25" i="12"/>
  <c r="O12" i="8" s="1"/>
  <c r="R32" i="12"/>
  <c r="Q19" i="8" s="1"/>
  <c r="R20" i="12"/>
  <c r="Q7" i="8" s="1"/>
  <c r="F7" i="8" s="1"/>
  <c r="O33" i="12"/>
  <c r="N20" i="8" s="1"/>
  <c r="V45" i="12"/>
  <c r="U32" i="8" s="1"/>
  <c r="V41" i="12"/>
  <c r="U28" i="8" s="1"/>
  <c r="V37" i="12"/>
  <c r="U24" i="8" s="1"/>
  <c r="O21" i="12"/>
  <c r="T27" i="12"/>
  <c r="S14" i="8" s="1"/>
  <c r="Q28" i="12"/>
  <c r="P15" i="8" s="1"/>
  <c r="P33" i="12"/>
  <c r="O20" i="8" s="1"/>
  <c r="V33" i="12"/>
  <c r="U20" i="8" s="1"/>
  <c r="P21" i="12"/>
  <c r="O8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V21" i="12"/>
  <c r="U8" i="8" s="1"/>
  <c r="R28" i="12"/>
  <c r="Q15" i="8" s="1"/>
  <c r="V18" i="12"/>
  <c r="V22" i="12"/>
  <c r="U9" i="8" s="1"/>
  <c r="V26" i="12"/>
  <c r="U13" i="8" s="1"/>
  <c r="V30" i="12"/>
  <c r="U17" i="8" s="1"/>
  <c r="V34" i="12"/>
  <c r="U21" i="8" s="1"/>
  <c r="V38" i="12"/>
  <c r="U25" i="8" s="1"/>
  <c r="V42" i="12"/>
  <c r="U29" i="8" s="1"/>
  <c r="V46" i="12"/>
  <c r="U33" i="8" s="1"/>
  <c r="N18" i="12"/>
  <c r="N22" i="12"/>
  <c r="M9" i="8" s="1"/>
  <c r="N26" i="12"/>
  <c r="M13" i="8" s="1"/>
  <c r="N30" i="12"/>
  <c r="M17" i="8" s="1"/>
  <c r="N34" i="12"/>
  <c r="M21" i="8" s="1"/>
  <c r="N38" i="12"/>
  <c r="M25" i="8" s="1"/>
  <c r="N42" i="12"/>
  <c r="M29" i="8" s="1"/>
  <c r="N46" i="12"/>
  <c r="M33" i="8" s="1"/>
  <c r="V19" i="12"/>
  <c r="U6" i="8" s="1"/>
  <c r="V23" i="12"/>
  <c r="U10" i="8" s="1"/>
  <c r="V27" i="12"/>
  <c r="U14" i="8" s="1"/>
  <c r="V31" i="12"/>
  <c r="U18" i="8" s="1"/>
  <c r="V35" i="12"/>
  <c r="U22" i="8" s="1"/>
  <c r="V39" i="12"/>
  <c r="U26" i="8" s="1"/>
  <c r="V43" i="12"/>
  <c r="U30" i="8" s="1"/>
  <c r="V47" i="12"/>
  <c r="U34" i="8" s="1"/>
  <c r="N19" i="12"/>
  <c r="M6" i="8" s="1"/>
  <c r="N23" i="12"/>
  <c r="M10" i="8" s="1"/>
  <c r="N27" i="12"/>
  <c r="M14" i="8" s="1"/>
  <c r="N31" i="12"/>
  <c r="M18" i="8" s="1"/>
  <c r="N35" i="12"/>
  <c r="M22" i="8" s="1"/>
  <c r="N39" i="12"/>
  <c r="M26" i="8" s="1"/>
  <c r="N43" i="12"/>
  <c r="M30" i="8" s="1"/>
  <c r="N47" i="12"/>
  <c r="M34" i="8" s="1"/>
  <c r="V20" i="12"/>
  <c r="U7" i="8" s="1"/>
  <c r="V24" i="12"/>
  <c r="U11" i="8" s="1"/>
  <c r="V28" i="12"/>
  <c r="U15" i="8" s="1"/>
  <c r="V32" i="12"/>
  <c r="U19" i="8" s="1"/>
  <c r="V36" i="12"/>
  <c r="U23" i="8" s="1"/>
  <c r="V40" i="12"/>
  <c r="U27" i="8" s="1"/>
  <c r="V44" i="12"/>
  <c r="U31" i="8" s="1"/>
  <c r="N20" i="12"/>
  <c r="M7" i="8" s="1"/>
  <c r="N24" i="12"/>
  <c r="M11" i="8" s="1"/>
  <c r="N28" i="12"/>
  <c r="M15" i="8" s="1"/>
  <c r="N32" i="12"/>
  <c r="M19" i="8" s="1"/>
  <c r="N36" i="12"/>
  <c r="M23" i="8" s="1"/>
  <c r="N40" i="12"/>
  <c r="M27" i="8" s="1"/>
  <c r="N44" i="12"/>
  <c r="M31" i="8" s="1"/>
  <c r="G37" i="6" l="1"/>
  <c r="C29" i="9" s="1"/>
  <c r="G36" i="6"/>
  <c r="C28" i="9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B7" i="8"/>
  <c r="I6" i="8"/>
  <c r="D4" i="9" s="1"/>
  <c r="D46" i="8"/>
  <c r="E6" i="9"/>
  <c r="E7" i="9" s="1"/>
  <c r="E8" i="9" s="1"/>
  <c r="E9" i="9" s="1"/>
  <c r="E10" i="9" s="1"/>
  <c r="F39" i="6"/>
  <c r="G38" i="6"/>
  <c r="C30" i="9" s="1"/>
  <c r="D13" i="6"/>
  <c r="G12" i="6"/>
  <c r="C4" i="9" s="1"/>
  <c r="C18" i="12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15" i="3"/>
  <c r="B15" i="3"/>
  <c r="M5" i="8"/>
  <c r="C14" i="3"/>
  <c r="B14" i="3"/>
  <c r="G35" i="6"/>
  <c r="C27" i="9" s="1"/>
  <c r="F3" i="9"/>
  <c r="K18" i="12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U5" i="8"/>
  <c r="F16" i="7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N8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I12" i="10"/>
  <c r="D12" i="10"/>
  <c r="G74" i="9" s="1"/>
  <c r="F4" i="9" l="1"/>
  <c r="F40" i="6"/>
  <c r="G39" i="6"/>
  <c r="C31" i="9" s="1"/>
  <c r="G10" i="8"/>
  <c r="E15" i="3"/>
  <c r="C4" i="10" s="1"/>
  <c r="G3" i="9"/>
  <c r="F62" i="9" s="1"/>
  <c r="G4" i="9"/>
  <c r="D14" i="6"/>
  <c r="G13" i="6"/>
  <c r="C5" i="9" s="1"/>
  <c r="E14" i="3"/>
  <c r="G9" i="8"/>
  <c r="I7" i="8"/>
  <c r="D5" i="9" s="1"/>
  <c r="B8" i="8"/>
  <c r="F63" i="9" l="1"/>
  <c r="H63" i="9" s="1"/>
  <c r="H3" i="9"/>
  <c r="F5" i="9"/>
  <c r="B9" i="8"/>
  <c r="I8" i="8"/>
  <c r="D6" i="9" s="1"/>
  <c r="C3" i="10"/>
  <c r="I3" i="10" s="1"/>
  <c r="E17" i="3"/>
  <c r="D15" i="6"/>
  <c r="G14" i="6"/>
  <c r="C6" i="9" s="1"/>
  <c r="H4" i="9"/>
  <c r="K4" i="9" s="1"/>
  <c r="F41" i="6"/>
  <c r="G41" i="6" s="1"/>
  <c r="C33" i="9" s="1"/>
  <c r="G40" i="6"/>
  <c r="C32" i="9" s="1"/>
  <c r="F6" i="9" l="1"/>
  <c r="K3" i="9"/>
  <c r="C47" i="9"/>
  <c r="L47" i="9" s="1"/>
  <c r="K47" i="9" s="1"/>
  <c r="N47" i="9" s="1"/>
  <c r="K48" i="9" s="1"/>
  <c r="M3" i="9"/>
  <c r="L3" i="9"/>
  <c r="N3" i="9" s="1"/>
  <c r="G5" i="9"/>
  <c r="F64" i="9" s="1"/>
  <c r="H64" i="9" s="1"/>
  <c r="H65" i="9" s="1"/>
  <c r="L66" i="9"/>
  <c r="K66" i="9" s="1"/>
  <c r="N66" i="9" s="1"/>
  <c r="K67" i="9" s="1"/>
  <c r="B10" i="8"/>
  <c r="I9" i="8"/>
  <c r="D7" i="9" s="1"/>
  <c r="D4" i="10"/>
  <c r="I4" i="10" s="1"/>
  <c r="G6" i="9"/>
  <c r="F65" i="9" s="1"/>
  <c r="D16" i="6"/>
  <c r="G15" i="6"/>
  <c r="C7" i="9" s="1"/>
  <c r="C48" i="9"/>
  <c r="M4" i="9"/>
  <c r="L4" i="9"/>
  <c r="N4" i="9" s="1"/>
  <c r="R47" i="9" l="1"/>
  <c r="Q47" i="9" s="1"/>
  <c r="T47" i="9" s="1"/>
  <c r="Q48" i="9" s="1"/>
  <c r="L67" i="9"/>
  <c r="R48" i="9"/>
  <c r="T48" i="9" s="1"/>
  <c r="Q49" i="9" s="1"/>
  <c r="L48" i="9"/>
  <c r="N48" i="9" s="1"/>
  <c r="K49" i="9" s="1"/>
  <c r="N67" i="9"/>
  <c r="K68" i="9" s="1"/>
  <c r="B11" i="8"/>
  <c r="I10" i="8"/>
  <c r="D8" i="9" s="1"/>
  <c r="F7" i="9"/>
  <c r="G16" i="6"/>
  <c r="C8" i="9" s="1"/>
  <c r="D17" i="6"/>
  <c r="H6" i="9"/>
  <c r="H5" i="9"/>
  <c r="B12" i="8" l="1"/>
  <c r="I11" i="8"/>
  <c r="D9" i="9" s="1"/>
  <c r="F8" i="9"/>
  <c r="D18" i="6"/>
  <c r="G17" i="6"/>
  <c r="C9" i="9" s="1"/>
  <c r="F9" i="9" s="1"/>
  <c r="G7" i="9"/>
  <c r="F66" i="9" s="1"/>
  <c r="H66" i="9" s="1"/>
  <c r="H7" i="9"/>
  <c r="C49" i="9"/>
  <c r="M5" i="9"/>
  <c r="L5" i="9"/>
  <c r="K5" i="9"/>
  <c r="C50" i="9"/>
  <c r="K6" i="9"/>
  <c r="M6" i="9"/>
  <c r="L6" i="9"/>
  <c r="N5" i="9" l="1"/>
  <c r="N6" i="9"/>
  <c r="L50" i="9"/>
  <c r="L69" i="9"/>
  <c r="R50" i="9"/>
  <c r="G8" i="9"/>
  <c r="F67" i="9" s="1"/>
  <c r="H67" i="9" s="1"/>
  <c r="G9" i="9"/>
  <c r="F68" i="9" s="1"/>
  <c r="I12" i="8"/>
  <c r="D10" i="9" s="1"/>
  <c r="B13" i="8"/>
  <c r="G18" i="6"/>
  <c r="C10" i="9" s="1"/>
  <c r="D19" i="6"/>
  <c r="L68" i="9"/>
  <c r="N68" i="9" s="1"/>
  <c r="K69" i="9" s="1"/>
  <c r="N69" i="9" s="1"/>
  <c r="K70" i="9" s="1"/>
  <c r="L49" i="9"/>
  <c r="N49" i="9" s="1"/>
  <c r="K50" i="9" s="1"/>
  <c r="N50" i="9" s="1"/>
  <c r="K51" i="9" s="1"/>
  <c r="R49" i="9"/>
  <c r="T49" i="9" s="1"/>
  <c r="Q50" i="9" s="1"/>
  <c r="T50" i="9" s="1"/>
  <c r="Q51" i="9" s="1"/>
  <c r="C51" i="9"/>
  <c r="M7" i="9"/>
  <c r="K7" i="9"/>
  <c r="L7" i="9"/>
  <c r="N7" i="9" l="1"/>
  <c r="H68" i="9"/>
  <c r="L51" i="9"/>
  <c r="L70" i="9"/>
  <c r="N70" i="9" s="1"/>
  <c r="K71" i="9" s="1"/>
  <c r="R51" i="9"/>
  <c r="H8" i="9"/>
  <c r="N51" i="9"/>
  <c r="K52" i="9" s="1"/>
  <c r="T51" i="9"/>
  <c r="Q52" i="9" s="1"/>
  <c r="H9" i="9"/>
  <c r="F10" i="9"/>
  <c r="D20" i="6"/>
  <c r="G19" i="6"/>
  <c r="C11" i="9" s="1"/>
  <c r="F11" i="9" s="1"/>
  <c r="I13" i="8"/>
  <c r="D11" i="9" s="1"/>
  <c r="B14" i="8"/>
  <c r="G11" i="9" l="1"/>
  <c r="F70" i="9" s="1"/>
  <c r="C53" i="9"/>
  <c r="M9" i="9"/>
  <c r="L9" i="9"/>
  <c r="K9" i="9"/>
  <c r="N9" i="9"/>
  <c r="I14" i="8"/>
  <c r="D12" i="9" s="1"/>
  <c r="B15" i="8"/>
  <c r="C52" i="9"/>
  <c r="M8" i="9"/>
  <c r="L8" i="9"/>
  <c r="K8" i="9"/>
  <c r="G20" i="6"/>
  <c r="C12" i="9" s="1"/>
  <c r="D21" i="6"/>
  <c r="G10" i="9"/>
  <c r="F69" i="9" s="1"/>
  <c r="H69" i="9" s="1"/>
  <c r="H70" i="9" l="1"/>
  <c r="N8" i="9"/>
  <c r="F12" i="9"/>
  <c r="G12" i="9" s="1"/>
  <c r="F71" i="9" s="1"/>
  <c r="H11" i="9"/>
  <c r="L11" i="9" s="1"/>
  <c r="L53" i="9"/>
  <c r="L72" i="9"/>
  <c r="R53" i="9"/>
  <c r="D22" i="6"/>
  <c r="G21" i="6"/>
  <c r="C13" i="9" s="1"/>
  <c r="F13" i="9" s="1"/>
  <c r="H10" i="9"/>
  <c r="L52" i="9"/>
  <c r="N52" i="9" s="1"/>
  <c r="K53" i="9" s="1"/>
  <c r="L71" i="9"/>
  <c r="N71" i="9" s="1"/>
  <c r="K72" i="9" s="1"/>
  <c r="R52" i="9"/>
  <c r="T52" i="9" s="1"/>
  <c r="Q53" i="9" s="1"/>
  <c r="B16" i="8"/>
  <c r="I15" i="8"/>
  <c r="D13" i="9" s="1"/>
  <c r="K11" i="9" l="1"/>
  <c r="N72" i="9"/>
  <c r="K73" i="9" s="1"/>
  <c r="N53" i="9"/>
  <c r="K54" i="9" s="1"/>
  <c r="H71" i="9"/>
  <c r="M11" i="9"/>
  <c r="N11" i="9"/>
  <c r="C55" i="9"/>
  <c r="R55" i="9" s="1"/>
  <c r="L74" i="9"/>
  <c r="G22" i="6"/>
  <c r="C14" i="9" s="1"/>
  <c r="D23" i="6"/>
  <c r="C54" i="9"/>
  <c r="K10" i="9"/>
  <c r="M10" i="9"/>
  <c r="L10" i="9"/>
  <c r="H12" i="9"/>
  <c r="B17" i="8"/>
  <c r="I16" i="8"/>
  <c r="D14" i="9" s="1"/>
  <c r="G13" i="9"/>
  <c r="T53" i="9"/>
  <c r="Q54" i="9" s="1"/>
  <c r="L55" i="9" l="1"/>
  <c r="N10" i="9"/>
  <c r="C56" i="9"/>
  <c r="M12" i="9"/>
  <c r="L12" i="9"/>
  <c r="K12" i="9"/>
  <c r="B18" i="8"/>
  <c r="I17" i="8"/>
  <c r="D15" i="9" s="1"/>
  <c r="F14" i="9"/>
  <c r="D24" i="6"/>
  <c r="G23" i="6"/>
  <c r="C15" i="9" s="1"/>
  <c r="H13" i="9"/>
  <c r="L54" i="9"/>
  <c r="N54" i="9" s="1"/>
  <c r="K55" i="9" s="1"/>
  <c r="N55" i="9" s="1"/>
  <c r="K56" i="9" s="1"/>
  <c r="L73" i="9"/>
  <c r="N73" i="9" s="1"/>
  <c r="K74" i="9" s="1"/>
  <c r="N74" i="9" s="1"/>
  <c r="K75" i="9" s="1"/>
  <c r="R54" i="9"/>
  <c r="T54" i="9" s="1"/>
  <c r="Q55" i="9" s="1"/>
  <c r="T55" i="9" s="1"/>
  <c r="Q56" i="9" s="1"/>
  <c r="N12" i="9" l="1"/>
  <c r="C57" i="9"/>
  <c r="L81" i="9" s="1"/>
  <c r="K81" i="9" s="1"/>
  <c r="M13" i="9"/>
  <c r="L13" i="9"/>
  <c r="K13" i="9"/>
  <c r="N13" i="9"/>
  <c r="G14" i="9"/>
  <c r="F73" i="9" s="1"/>
  <c r="B19" i="8"/>
  <c r="I18" i="8"/>
  <c r="D16" i="9" s="1"/>
  <c r="F15" i="9"/>
  <c r="G24" i="6"/>
  <c r="C16" i="9" s="1"/>
  <c r="F16" i="9" s="1"/>
  <c r="D25" i="6"/>
  <c r="L75" i="9"/>
  <c r="N75" i="9" s="1"/>
  <c r="N77" i="9" s="1"/>
  <c r="L56" i="9"/>
  <c r="N56" i="9" s="1"/>
  <c r="K57" i="9" s="1"/>
  <c r="R56" i="9"/>
  <c r="T56" i="9" s="1"/>
  <c r="Q57" i="9" s="1"/>
  <c r="H14" i="9" l="1"/>
  <c r="F72" i="9"/>
  <c r="H72" i="9" s="1"/>
  <c r="H73" i="9" s="1"/>
  <c r="G15" i="9"/>
  <c r="F74" i="9" s="1"/>
  <c r="H15" i="9"/>
  <c r="G16" i="9"/>
  <c r="F75" i="9" s="1"/>
  <c r="H16" i="9"/>
  <c r="C58" i="9"/>
  <c r="K14" i="9"/>
  <c r="M14" i="9"/>
  <c r="L14" i="9"/>
  <c r="L57" i="9"/>
  <c r="N57" i="9" s="1"/>
  <c r="K58" i="9" s="1"/>
  <c r="N81" i="9"/>
  <c r="K82" i="9" s="1"/>
  <c r="R57" i="9"/>
  <c r="T57" i="9" s="1"/>
  <c r="Q58" i="9" s="1"/>
  <c r="B20" i="8"/>
  <c r="I19" i="8"/>
  <c r="D17" i="9" s="1"/>
  <c r="D26" i="6"/>
  <c r="G25" i="6"/>
  <c r="C17" i="9" s="1"/>
  <c r="F17" i="9" s="1"/>
  <c r="N14" i="9" l="1"/>
  <c r="H74" i="9"/>
  <c r="H75" i="9" s="1"/>
  <c r="R58" i="9"/>
  <c r="T58" i="9" s="1"/>
  <c r="Q59" i="9" s="1"/>
  <c r="L58" i="9"/>
  <c r="N58" i="9" s="1"/>
  <c r="K59" i="9" s="1"/>
  <c r="G17" i="9"/>
  <c r="F76" i="9" s="1"/>
  <c r="I20" i="8"/>
  <c r="D18" i="9" s="1"/>
  <c r="B21" i="8"/>
  <c r="M16" i="9"/>
  <c r="L16" i="9"/>
  <c r="K16" i="9"/>
  <c r="C60" i="9"/>
  <c r="M15" i="9"/>
  <c r="C59" i="9"/>
  <c r="K15" i="9"/>
  <c r="L15" i="9"/>
  <c r="G26" i="6"/>
  <c r="C18" i="9" s="1"/>
  <c r="F18" i="9" s="1"/>
  <c r="D27" i="6"/>
  <c r="H76" i="9" l="1"/>
  <c r="N15" i="9"/>
  <c r="N16" i="9"/>
  <c r="H17" i="9"/>
  <c r="G18" i="9"/>
  <c r="C8" i="6"/>
  <c r="D28" i="6"/>
  <c r="G27" i="6"/>
  <c r="C19" i="9" s="1"/>
  <c r="I21" i="8"/>
  <c r="D19" i="9" s="1"/>
  <c r="B22" i="8"/>
  <c r="R60" i="9"/>
  <c r="L60" i="9"/>
  <c r="R59" i="9"/>
  <c r="T59" i="9" s="1"/>
  <c r="Q60" i="9" s="1"/>
  <c r="T60" i="9" s="1"/>
  <c r="Q61" i="9" s="1"/>
  <c r="L59" i="9"/>
  <c r="N59" i="9" s="1"/>
  <c r="K60" i="9" s="1"/>
  <c r="N60" i="9" s="1"/>
  <c r="K61" i="9" s="1"/>
  <c r="I22" i="8" l="1"/>
  <c r="D20" i="9" s="1"/>
  <c r="B23" i="8"/>
  <c r="G28" i="6"/>
  <c r="C20" i="9" s="1"/>
  <c r="F20" i="9" s="1"/>
  <c r="D29" i="6"/>
  <c r="H18" i="9"/>
  <c r="M17" i="9"/>
  <c r="L17" i="9"/>
  <c r="K17" i="9"/>
  <c r="N17" i="9" s="1"/>
  <c r="C61" i="9"/>
  <c r="F19" i="9"/>
  <c r="M18" i="9" l="1"/>
  <c r="G20" i="9"/>
  <c r="H20" i="9" s="1"/>
  <c r="C62" i="9"/>
  <c r="R62" i="9" s="1"/>
  <c r="K18" i="9"/>
  <c r="D30" i="6"/>
  <c r="G29" i="6"/>
  <c r="C21" i="9" s="1"/>
  <c r="B24" i="8"/>
  <c r="I23" i="8"/>
  <c r="D21" i="9" s="1"/>
  <c r="G19" i="9"/>
  <c r="R61" i="9"/>
  <c r="T61" i="9" s="1"/>
  <c r="Q62" i="9" s="1"/>
  <c r="L61" i="9"/>
  <c r="N61" i="9" s="1"/>
  <c r="D15" i="10" s="1"/>
  <c r="T62" i="9" l="1"/>
  <c r="Q63" i="9" s="1"/>
  <c r="N18" i="9"/>
  <c r="F77" i="9" s="1"/>
  <c r="H77" i="9" s="1"/>
  <c r="F21" i="9"/>
  <c r="G21" i="9"/>
  <c r="I15" i="10"/>
  <c r="C16" i="10"/>
  <c r="H19" i="9"/>
  <c r="C64" i="9"/>
  <c r="K20" i="9"/>
  <c r="M20" i="9"/>
  <c r="G30" i="6"/>
  <c r="C22" i="9" s="1"/>
  <c r="D31" i="6"/>
  <c r="G31" i="6" s="1"/>
  <c r="C23" i="9" s="1"/>
  <c r="B25" i="8"/>
  <c r="I24" i="8"/>
  <c r="D22" i="9" s="1"/>
  <c r="N20" i="9" l="1"/>
  <c r="F79" i="9" s="1"/>
  <c r="B26" i="8"/>
  <c r="I25" i="8"/>
  <c r="D23" i="9" s="1"/>
  <c r="C63" i="9"/>
  <c r="M19" i="9"/>
  <c r="K19" i="9"/>
  <c r="N19" i="9"/>
  <c r="F78" i="9" s="1"/>
  <c r="H78" i="9" s="1"/>
  <c r="H79" i="9" s="1"/>
  <c r="F22" i="9"/>
  <c r="F23" i="9"/>
  <c r="H21" i="9"/>
  <c r="L83" i="9"/>
  <c r="R64" i="9"/>
  <c r="G23" i="9" l="1"/>
  <c r="L82" i="9"/>
  <c r="N82" i="9" s="1"/>
  <c r="K83" i="9" s="1"/>
  <c r="N83" i="9" s="1"/>
  <c r="K84" i="9" s="1"/>
  <c r="R63" i="9"/>
  <c r="T63" i="9" s="1"/>
  <c r="Q64" i="9" s="1"/>
  <c r="T64" i="9" s="1"/>
  <c r="Q65" i="9" s="1"/>
  <c r="G22" i="9"/>
  <c r="H22" i="9"/>
  <c r="C65" i="9"/>
  <c r="M21" i="9"/>
  <c r="K21" i="9"/>
  <c r="N21" i="9" s="1"/>
  <c r="F80" i="9" s="1"/>
  <c r="H80" i="9" s="1"/>
  <c r="B27" i="8"/>
  <c r="I26" i="8"/>
  <c r="D24" i="9" s="1"/>
  <c r="F24" i="9" s="1"/>
  <c r="M22" i="9" l="1"/>
  <c r="K22" i="9"/>
  <c r="N22" i="9" s="1"/>
  <c r="C66" i="9"/>
  <c r="B28" i="8"/>
  <c r="I27" i="8"/>
  <c r="D25" i="9" s="1"/>
  <c r="F25" i="9" s="1"/>
  <c r="G24" i="9"/>
  <c r="R65" i="9"/>
  <c r="T65" i="9" s="1"/>
  <c r="Q66" i="9" s="1"/>
  <c r="L84" i="9"/>
  <c r="N84" i="9" s="1"/>
  <c r="K85" i="9" s="1"/>
  <c r="H23" i="9"/>
  <c r="C67" i="9" l="1"/>
  <c r="K23" i="9"/>
  <c r="N23" i="9" s="1"/>
  <c r="F82" i="9" s="1"/>
  <c r="I28" i="8"/>
  <c r="D26" i="9" s="1"/>
  <c r="F26" i="9" s="1"/>
  <c r="B29" i="8"/>
  <c r="G25" i="9"/>
  <c r="L85" i="9"/>
  <c r="N85" i="9" s="1"/>
  <c r="K86" i="9" s="1"/>
  <c r="R66" i="9"/>
  <c r="T66" i="9" s="1"/>
  <c r="Q67" i="9" s="1"/>
  <c r="H24" i="9"/>
  <c r="C68" i="9" l="1"/>
  <c r="K24" i="9"/>
  <c r="N24" i="9" s="1"/>
  <c r="F83" i="9" s="1"/>
  <c r="G26" i="9"/>
  <c r="I29" i="8"/>
  <c r="D27" i="9" s="1"/>
  <c r="F27" i="9" s="1"/>
  <c r="B30" i="8"/>
  <c r="L86" i="9"/>
  <c r="N86" i="9" s="1"/>
  <c r="K87" i="9" s="1"/>
  <c r="R67" i="9"/>
  <c r="T67" i="9" s="1"/>
  <c r="H25" i="9"/>
  <c r="F22" i="10" l="1"/>
  <c r="Q68" i="9"/>
  <c r="L87" i="9"/>
  <c r="N87" i="9" s="1"/>
  <c r="K88" i="9" s="1"/>
  <c r="R68" i="9"/>
  <c r="C69" i="9"/>
  <c r="K25" i="9"/>
  <c r="N25" i="9" s="1"/>
  <c r="F84" i="9" s="1"/>
  <c r="I30" i="8"/>
  <c r="D28" i="9" s="1"/>
  <c r="F28" i="9" s="1"/>
  <c r="B31" i="8"/>
  <c r="H26" i="9"/>
  <c r="G27" i="9"/>
  <c r="H27" i="9" s="1"/>
  <c r="C71" i="9" l="1"/>
  <c r="K27" i="9"/>
  <c r="N27" i="9" s="1"/>
  <c r="F86" i="9" s="1"/>
  <c r="B32" i="8"/>
  <c r="I31" i="8"/>
  <c r="D29" i="9" s="1"/>
  <c r="F29" i="9" s="1"/>
  <c r="C70" i="9"/>
  <c r="K26" i="9"/>
  <c r="N26" i="9" s="1"/>
  <c r="F85" i="9" s="1"/>
  <c r="T68" i="9"/>
  <c r="Q69" i="9" s="1"/>
  <c r="L88" i="9"/>
  <c r="N88" i="9" s="1"/>
  <c r="K89" i="9" s="1"/>
  <c r="R69" i="9"/>
  <c r="G28" i="9"/>
  <c r="H28" i="9" s="1"/>
  <c r="C72" i="9" l="1"/>
  <c r="R72" i="9" s="1"/>
  <c r="K28" i="9"/>
  <c r="N28" i="9" s="1"/>
  <c r="F87" i="9" s="1"/>
  <c r="L89" i="9"/>
  <c r="N89" i="9" s="1"/>
  <c r="K90" i="9" s="1"/>
  <c r="R70" i="9"/>
  <c r="B33" i="8"/>
  <c r="I32" i="8"/>
  <c r="D30" i="9" s="1"/>
  <c r="F30" i="9" s="1"/>
  <c r="G29" i="9"/>
  <c r="H29" i="9" s="1"/>
  <c r="T69" i="9"/>
  <c r="Q70" i="9" s="1"/>
  <c r="R71" i="9"/>
  <c r="L90" i="9"/>
  <c r="N90" i="9" l="1"/>
  <c r="F81" i="9" s="1"/>
  <c r="H81" i="9" s="1"/>
  <c r="H82" i="9" s="1"/>
  <c r="E22" i="10" s="1"/>
  <c r="G22" i="10" s="1"/>
  <c r="C73" i="9"/>
  <c r="R73" i="9" s="1"/>
  <c r="K29" i="9"/>
  <c r="N29" i="9" s="1"/>
  <c r="F88" i="9" s="1"/>
  <c r="B34" i="8"/>
  <c r="I33" i="8"/>
  <c r="D31" i="9" s="1"/>
  <c r="F31" i="9" s="1"/>
  <c r="T70" i="9"/>
  <c r="Q71" i="9" s="1"/>
  <c r="T71" i="9" s="1"/>
  <c r="Q72" i="9" s="1"/>
  <c r="T72" i="9" s="1"/>
  <c r="Q73" i="9" s="1"/>
  <c r="T73" i="9" s="1"/>
  <c r="Q74" i="9" s="1"/>
  <c r="G30" i="9"/>
  <c r="H30" i="9" s="1"/>
  <c r="H83" i="9" l="1"/>
  <c r="H84" i="9" s="1"/>
  <c r="H85" i="9" s="1"/>
  <c r="H86" i="9" s="1"/>
  <c r="H87" i="9" s="1"/>
  <c r="H88" i="9" s="1"/>
  <c r="K30" i="9"/>
  <c r="N30" i="9" s="1"/>
  <c r="F89" i="9" s="1"/>
  <c r="C74" i="9"/>
  <c r="R74" i="9" s="1"/>
  <c r="T74" i="9" s="1"/>
  <c r="Q75" i="9" s="1"/>
  <c r="B35" i="8"/>
  <c r="I35" i="8" s="1"/>
  <c r="D33" i="9" s="1"/>
  <c r="F33" i="9" s="1"/>
  <c r="I34" i="8"/>
  <c r="D32" i="9" s="1"/>
  <c r="F32" i="9" s="1"/>
  <c r="G31" i="9"/>
  <c r="H31" i="9" s="1"/>
  <c r="C75" i="9" l="1"/>
  <c r="R75" i="9" s="1"/>
  <c r="T75" i="9" s="1"/>
  <c r="Q76" i="9" s="1"/>
  <c r="K31" i="9"/>
  <c r="N31" i="9" s="1"/>
  <c r="F90" i="9" s="1"/>
  <c r="G32" i="9"/>
  <c r="G33" i="9"/>
  <c r="H89" i="9"/>
  <c r="H33" i="9" l="1"/>
  <c r="H32" i="9"/>
  <c r="H90" i="9"/>
  <c r="C77" i="9" l="1"/>
  <c r="R77" i="9" s="1"/>
  <c r="K33" i="9"/>
  <c r="N33" i="9" s="1"/>
  <c r="F92" i="9" s="1"/>
  <c r="C76" i="9"/>
  <c r="R76" i="9" s="1"/>
  <c r="T76" i="9" s="1"/>
  <c r="Q77" i="9" s="1"/>
  <c r="K32" i="9"/>
  <c r="N32" i="9" s="1"/>
  <c r="F91" i="9" s="1"/>
  <c r="H91" i="9" s="1"/>
  <c r="H92" i="9" s="1"/>
  <c r="E23" i="10" s="1"/>
  <c r="T77" i="9" l="1"/>
  <c r="F23" i="10" s="1"/>
  <c r="G2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700-000003000000}">
      <text>
        <r>
          <rPr>
            <sz val="12"/>
            <color theme="1"/>
            <rFont val="Calibri"/>
            <family val="2"/>
            <scheme val="minor"/>
          </rPr>
          <t>======
ID#AAABGDI9k_0
Microsoft Office User    (2024-03-01 10:03:27)
daughter starts earning, takes care of her own expenses</t>
        </r>
      </text>
    </comment>
    <comment ref="A15" authorId="0" shapeId="0" xr:uid="{00000000-0006-0000-0700-000001000000}">
      <text>
        <r>
          <rPr>
            <sz val="12"/>
            <color theme="1"/>
            <rFont val="Calibri"/>
            <family val="2"/>
            <scheme val="minor"/>
          </rPr>
          <t>======
ID#AAABGDd_nMo
Microsoft Office User    (2024-03-01 10:03:27)
daughter marriage</t>
        </r>
      </text>
    </comment>
    <comment ref="A17" authorId="0" shapeId="0" xr:uid="{00000000-0006-0000-0700-000002000000}">
      <text>
        <r>
          <rPr>
            <sz val="12"/>
            <color theme="1"/>
            <rFont val="Calibri"/>
            <family val="2"/>
            <scheme val="minor"/>
          </rPr>
          <t>======
ID#AAABGDI9k_4
Microsoft Office User    (2024-03-01 10:03:27)
son marriage, increase expenses</t>
        </r>
      </text>
    </comment>
    <comment ref="E19" authorId="0" shapeId="0" xr:uid="{00000000-0006-0000-0700-000004000000}">
      <text>
        <r>
          <rPr>
            <sz val="12"/>
            <color theme="1"/>
            <rFont val="Calibri"/>
            <family val="2"/>
            <scheme val="minor"/>
          </rPr>
          <t>======
ID#AAABGDI9k_w
Microsoft Office User    (2024-03-01 10:03:27)
EMI for new home starts from here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f9acaz85u/jXdQv09MAVI3CE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800-000003000000}">
      <text>
        <r>
          <rPr>
            <sz val="12"/>
            <color theme="1"/>
            <rFont val="Calibri"/>
            <family val="2"/>
            <scheme val="minor"/>
          </rPr>
          <t>======
ID#AAABGDd_nMg
Microsoft Office User    (2024-03-01 10:03:27)
daughter starts working, pays her own premium
&amp; son becomes 25 so gets out og floater policy</t>
        </r>
      </text>
    </comment>
    <comment ref="S61" authorId="0" shapeId="0" xr:uid="{00000000-0006-0000-0800-000002000000}">
      <text>
        <r>
          <rPr>
            <sz val="12"/>
            <color theme="1"/>
            <rFont val="Calibri"/>
            <family val="2"/>
            <scheme val="minor"/>
          </rPr>
          <t>======
ID#AAABGDd_nMs
Microsoft Office User    (2024-03-01 10:03:27)
for downpayment of house</t>
        </r>
      </text>
    </comment>
    <comment ref="G74" authorId="0" shapeId="0" xr:uid="{00000000-0006-0000-0800-000001000000}">
      <text>
        <r>
          <rPr>
            <sz val="12"/>
            <color theme="1"/>
            <rFont val="Calibri"/>
            <family val="2"/>
            <scheme val="minor"/>
          </rPr>
          <t>======
ID#AAABGD7BT4A
Anonymous    (2024-03-01 14:04:20)
Darsh's Wedding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H0Q3lxZtRnBOhwUOA/ehCrxYpw=="/>
    </ext>
  </extLst>
</comments>
</file>

<file path=xl/sharedStrings.xml><?xml version="1.0" encoding="utf-8"?>
<sst xmlns="http://schemas.openxmlformats.org/spreadsheetml/2006/main" count="343" uniqueCount="247">
  <si>
    <t xml:space="preserve">Name </t>
  </si>
  <si>
    <t>Age  (2019)</t>
  </si>
  <si>
    <t xml:space="preserve">Female security guard </t>
  </si>
  <si>
    <t>Bhagwati Patil</t>
  </si>
  <si>
    <t>Son</t>
  </si>
  <si>
    <t>Darsh Patil</t>
  </si>
  <si>
    <t xml:space="preserve">Daughter </t>
  </si>
  <si>
    <t>Divya Patil</t>
  </si>
  <si>
    <t xml:space="preserve">Late Husband </t>
  </si>
  <si>
    <t>Jayesh Patil</t>
  </si>
  <si>
    <t xml:space="preserve">Timeline </t>
  </si>
  <si>
    <t>YEAR</t>
  </si>
  <si>
    <t>PARTICULARS</t>
  </si>
  <si>
    <t>AGE</t>
  </si>
  <si>
    <t>Mom</t>
  </si>
  <si>
    <t>Daughter</t>
  </si>
  <si>
    <t>TODAY</t>
  </si>
  <si>
    <t xml:space="preserve">1) Divya enrolls for diploma in elementary education course </t>
  </si>
  <si>
    <t xml:space="preserve">Darsh starts to work as a super market salesman </t>
  </si>
  <si>
    <t xml:space="preserve">2) College Fees for Divya's education year 1 </t>
  </si>
  <si>
    <t>2) College Fees for Divya's education year 2</t>
  </si>
  <si>
    <t xml:space="preserve">daughter starts working as primary school teacher's  assistant </t>
  </si>
  <si>
    <t>daughter starts working full time as Primary school teacher</t>
  </si>
  <si>
    <t xml:space="preserve">4) Daughter marriage </t>
  </si>
  <si>
    <t xml:space="preserve">5) Son marriage  </t>
  </si>
  <si>
    <t>RETIREMENT</t>
  </si>
  <si>
    <t>DEATH</t>
  </si>
  <si>
    <t xml:space="preserve">Divya's diploma in elementary education course </t>
  </si>
  <si>
    <t xml:space="preserve">Diploma </t>
  </si>
  <si>
    <t xml:space="preserve">Fees </t>
  </si>
  <si>
    <t>Books and stationary</t>
  </si>
  <si>
    <t xml:space="preserve">Travel p.m. </t>
  </si>
  <si>
    <t>Travel annual</t>
  </si>
  <si>
    <t>as of 2024 admission</t>
  </si>
  <si>
    <t xml:space="preserve">TOTAL EDUCATION COST 2024 </t>
  </si>
  <si>
    <t>INFLATED COSTS</t>
  </si>
  <si>
    <t>Total</t>
  </si>
  <si>
    <t xml:space="preserve">Note: </t>
  </si>
  <si>
    <t>College in Chembur (Chembur Sarvankash Shikshan Shastra Mahavidyalaya)</t>
  </si>
  <si>
    <t>She stays in Nalasopara</t>
  </si>
  <si>
    <t>Wedding expenses estimation - 2034 when Jyoti is 23</t>
  </si>
  <si>
    <t xml:space="preserve">Wedding </t>
  </si>
  <si>
    <t>2034 INFLATED</t>
  </si>
  <si>
    <t>Jewellery - inflate at gold rate + making charges  ( 2 tola gold 22k for girl + 1 tola gold 22k for son in law)</t>
  </si>
  <si>
    <t>Function 2 - Main wedding day (Hall booking cost + decorations + catering)</t>
  </si>
  <si>
    <t xml:space="preserve">Function 1 - Haldi/Engagment which happens at a smaller scale </t>
  </si>
  <si>
    <t>Gifts</t>
  </si>
  <si>
    <t>Clothes</t>
  </si>
  <si>
    <t xml:space="preserve">Wedding Cards </t>
  </si>
  <si>
    <t>TOTAL COSTS</t>
  </si>
  <si>
    <t xml:space="preserve">150,000 is hall booking costs in Ratnagiri for wedding </t>
  </si>
  <si>
    <t>cost includes decoration and caterating  in place for 200-300 guests capacity for engagement and wedding</t>
  </si>
  <si>
    <t xml:space="preserve">Half is borne by boys side and half by girls side </t>
  </si>
  <si>
    <t xml:space="preserve">Wedding is happening in their village : Ratnagiri </t>
  </si>
  <si>
    <t>GOLD COST CALCULATION</t>
  </si>
  <si>
    <t>Cost per gram (22k gold)</t>
  </si>
  <si>
    <t xml:space="preserve">Making Charges per gram </t>
  </si>
  <si>
    <t>3 Tola (in grams)</t>
  </si>
  <si>
    <t>Total Cost 2024</t>
  </si>
  <si>
    <t xml:space="preserve">Darsh's wedding </t>
  </si>
  <si>
    <t>2036 (Inflated Costs)</t>
  </si>
  <si>
    <t>Jewellery - inflate at gold rate + making charges  (5 tola 22k gold for daughter in law)</t>
  </si>
  <si>
    <t>Function 1 - Main wedding day (Hall booking cost + decorations + catering)</t>
  </si>
  <si>
    <t xml:space="preserve">Function 2 - Haldi/Engagment which happens at a smaller scale </t>
  </si>
  <si>
    <t xml:space="preserve">Bhagwati - Mother </t>
  </si>
  <si>
    <t xml:space="preserve">Darsh - Son - Salesman </t>
  </si>
  <si>
    <t>Divya - Daughter - Teacher</t>
  </si>
  <si>
    <t xml:space="preserve">Per month </t>
  </si>
  <si>
    <t>Monthly Salary as Salesman</t>
  </si>
  <si>
    <t xml:space="preserve">Per annum </t>
  </si>
  <si>
    <t>Annual Salary as Salesman</t>
  </si>
  <si>
    <t xml:space="preserve">Per year </t>
  </si>
  <si>
    <t>Income Growth Rate</t>
  </si>
  <si>
    <t xml:space="preserve">Increment </t>
  </si>
  <si>
    <t>Darsh gets promoted to assistant manager at 30</t>
  </si>
  <si>
    <t>Divya starts working full time when she is 21, gets promoted to Head of Department when she is 32</t>
  </si>
  <si>
    <t>Monthly Salary  (2040)</t>
  </si>
  <si>
    <t xml:space="preserve">salary after promotion </t>
  </si>
  <si>
    <t>Salary after full time</t>
  </si>
  <si>
    <t>Salary when HOD</t>
  </si>
  <si>
    <t>(From 29000 adjusted for inflation)</t>
  </si>
  <si>
    <t xml:space="preserve">Years </t>
  </si>
  <si>
    <t xml:space="preserve">Mother age </t>
  </si>
  <si>
    <t xml:space="preserve">Darsh - Son </t>
  </si>
  <si>
    <t xml:space="preserve">Divya - Daughter </t>
  </si>
  <si>
    <t xml:space="preserve">TOTAL HOUSEHOLD INCOME </t>
  </si>
  <si>
    <t>LIFE EXPECTANCY</t>
  </si>
  <si>
    <t>An individual opting for the new tax regime and having taxable income of up to Rs 7 lakh will not be required to pay any taxes at the time of filing ITR. Earlier, the rebate under section 87A was available for taxable income up to Rs 5 lakh in the new tax regime. Hence, in 2024 when you file ITR for FY2023-24 (AY 2024-25) and opt for the new tax regime with taxable income not exceeding Rs 7 lakh, then no taxes will be payable.</t>
  </si>
  <si>
    <t>Life Insurance</t>
  </si>
  <si>
    <t>Health Insurance</t>
  </si>
  <si>
    <t>PRADHAN MANTRI JEEVAN JYOTI BIMA YOJANA (PMJJBY)</t>
  </si>
  <si>
    <t>Smart Health Pro - Star Health Insurance</t>
  </si>
  <si>
    <t>Sum Assured</t>
  </si>
  <si>
    <t>Sum Insured</t>
  </si>
  <si>
    <t>Annual Premium (enrolment in Jan) for mother 2024</t>
  </si>
  <si>
    <t>2024 ANNUAL PREMIUM for all three members</t>
  </si>
  <si>
    <t>https://health.policybazaar.com/product-detail?encenq=N3AzMGlwcFBhcHVRTTdMdm9HWDVKczFmYTVJTUQ2RDdDWm1GU0h6OWlyaz0&amp;enquiryid=NTY5OTQzMjIy&amp;featurePlanId=49322&amp;featureSumInsured=500000&amp;featureSupplierId=17&amp;gad_source=1&amp;gclid=EAIaIQobChMI5LP9v7_IhAMVE6JmAh3rkgkSEAAYAiAAEgL0OfD_BwE&amp;isFeatureModalOpen=true&amp;k=eyJhbGciOiJSUzI1NiIsInR5cCI6IkpXVCJ9.eyJFbnF1aXJ5SWQiOjU2OTk0MzIyMiwiRXhwaXJ5VGltZSI6MTcxNjcwOTAzOX0.AIOUaLACIgAgPw9-8EzTOLxvVtGVeGnQwitLZApt5zNn3VJ-KbwBVQ6aum-mOpFFFZgoGsNl_vdeJBLbg3wHIMbae-9S4s1cqEOtEX8tfLw6MSTMrOb3wqp8kGaWTcr_D3eKMPQfBz6ebbm4kx0TE_8LmCq02adBa1XhNsx3xFM&amp;loc_interest_ms=&amp;loc_physical_ms=1007785&amp;offerid=5&amp;pb_campaign=Longtail_Generic_Family00Generic_Family_networkg&amp;pb_medium=cpc&amp;pb_source=google&amp;pb_term=Health%20insurance%20family%20floater&amp;profileid=113073619</t>
  </si>
  <si>
    <t>Annual Premium (enrolment in Jan) for Darsh 2025</t>
  </si>
  <si>
    <t>TOTAL INSURANCE PREMIUM for 2024</t>
  </si>
  <si>
    <t>TOTAL INSURANCE PREMIUM after 2025</t>
  </si>
  <si>
    <t>post 2032</t>
  </si>
  <si>
    <t>daughter pays own premium</t>
  </si>
  <si>
    <t>son turns 25 so gets out of floater policy</t>
  </si>
  <si>
    <t>New Insurance Premium for mother (2024 costs)</t>
  </si>
  <si>
    <t>New Insurance Premium for mother (2032 costs)</t>
  </si>
  <si>
    <t xml:space="preserve">EXPENSES SHEET </t>
  </si>
  <si>
    <t>EXPECTED INFLATION RATES</t>
  </si>
  <si>
    <t>YEARS</t>
  </si>
  <si>
    <t>Electricity &amp; Gas</t>
  </si>
  <si>
    <t>Food &amp; Beverages</t>
  </si>
  <si>
    <t xml:space="preserve">Miscellaneous </t>
  </si>
  <si>
    <t>Rent / (EMI after 2038)</t>
  </si>
  <si>
    <t xml:space="preserve">Transport </t>
  </si>
  <si>
    <t>School fees (Darsh - 2024, Divya - 2026 &amp; 2027)</t>
  </si>
  <si>
    <t>Medical Expenses</t>
  </si>
  <si>
    <t>Total Annual Expenses</t>
  </si>
  <si>
    <t>Education</t>
  </si>
  <si>
    <t>Health</t>
  </si>
  <si>
    <t>Recreation &amp; Amusement</t>
  </si>
  <si>
    <t>Transport &amp; Communication</t>
  </si>
  <si>
    <t>Clothing &amp; Footwear</t>
  </si>
  <si>
    <t>Rent</t>
  </si>
  <si>
    <t xml:space="preserve">Real Residential Property </t>
  </si>
  <si>
    <t>General Overall Inflation</t>
  </si>
  <si>
    <t xml:space="preserve">Note: Daughter </t>
  </si>
  <si>
    <t>College in matunga (VJTI)</t>
  </si>
  <si>
    <t xml:space="preserve">She stays in chembur </t>
  </si>
  <si>
    <t xml:space="preserve">Chembur to Matunga tarvel cost by train </t>
  </si>
  <si>
    <t xml:space="preserve">Avg cost 1 way: </t>
  </si>
  <si>
    <t xml:space="preserve">2 way cost </t>
  </si>
  <si>
    <t>Monthly</t>
  </si>
  <si>
    <t>CURRENT COST (2024)</t>
  </si>
  <si>
    <t>INFLATED COST (2028)</t>
  </si>
  <si>
    <t>growth at transportation inflation</t>
  </si>
  <si>
    <t xml:space="preserve">Note: Son and mother work near the house so they walk and travel </t>
  </si>
  <si>
    <t>EMI Calculation for Home Loan</t>
  </si>
  <si>
    <t>Current price of 2BHK in Virar(2024)</t>
  </si>
  <si>
    <t>33 lacs</t>
  </si>
  <si>
    <t>Estimated price in 2038 assuming property prices double in 10 years</t>
  </si>
  <si>
    <t>80 lacs</t>
  </si>
  <si>
    <t>Term</t>
  </si>
  <si>
    <t>30 years</t>
  </si>
  <si>
    <t>Interest rate</t>
  </si>
  <si>
    <t xml:space="preserve">down payment </t>
  </si>
  <si>
    <t xml:space="preserve">EMI </t>
  </si>
  <si>
    <t>(detailed working explained ahead )</t>
  </si>
  <si>
    <t>Year</t>
  </si>
  <si>
    <t>Total Household Income</t>
  </si>
  <si>
    <t>Total Household Expenses</t>
  </si>
  <si>
    <t>Insurance Premium (Life + Health)</t>
  </si>
  <si>
    <t>Balance Income</t>
  </si>
  <si>
    <t>Addition to Liquid Savings</t>
  </si>
  <si>
    <t>Net Investment Surplus</t>
  </si>
  <si>
    <t>Investment in Mutual Funds</t>
  </si>
  <si>
    <t>Investment in PPF</t>
  </si>
  <si>
    <t>Investment in NSC</t>
  </si>
  <si>
    <t>Balance Available</t>
  </si>
  <si>
    <t>balance transferred to savings A/c</t>
  </si>
  <si>
    <t>Weights %</t>
  </si>
  <si>
    <t>Returns %</t>
  </si>
  <si>
    <t>Compounding Frequency</t>
  </si>
  <si>
    <t>Post Office Savings A/c</t>
  </si>
  <si>
    <t>Emergency Funds</t>
  </si>
  <si>
    <t>Annually</t>
  </si>
  <si>
    <t>5 year Time Deposit (Post Office)</t>
  </si>
  <si>
    <t>Jayesh assets</t>
  </si>
  <si>
    <t>PPF (Post Office)</t>
  </si>
  <si>
    <t>5 year NSC (Post Office)</t>
  </si>
  <si>
    <t>Return p.a.</t>
  </si>
  <si>
    <t>Expense Ratio</t>
  </si>
  <si>
    <t>Exit Load</t>
  </si>
  <si>
    <t>1% for more than 10% investments redeemed within 1 year</t>
  </si>
  <si>
    <t>Investment</t>
  </si>
  <si>
    <t>Closing Value</t>
  </si>
  <si>
    <t>Opening Value</t>
  </si>
  <si>
    <t>Withdrawal</t>
  </si>
  <si>
    <t>reinvest in 5 yr FD</t>
  </si>
  <si>
    <t>used for Daughter's Wedding</t>
  </si>
  <si>
    <t>Deposit</t>
  </si>
  <si>
    <t>used for downpayment</t>
  </si>
  <si>
    <t>from 2024 - 2033</t>
  </si>
  <si>
    <t>reinvested</t>
  </si>
  <si>
    <t>used for Daughter's Wedding 2034</t>
  </si>
  <si>
    <t>Remaining Balance deposited in Savings A/c 2034</t>
  </si>
  <si>
    <t>from 2034 - 2043</t>
  </si>
  <si>
    <t>maturity amount transferred to Savings A/c</t>
  </si>
  <si>
    <t>GOAL</t>
  </si>
  <si>
    <t>Amount Required</t>
  </si>
  <si>
    <t>BALANCE</t>
  </si>
  <si>
    <t>Daughter Education</t>
  </si>
  <si>
    <t>FD Maturity at 2033</t>
  </si>
  <si>
    <t>NSC Maturity at 2033</t>
  </si>
  <si>
    <t>Daughter Marriage</t>
  </si>
  <si>
    <t>Son Marriage</t>
  </si>
  <si>
    <t>Down Payment met by PPF Maturity</t>
  </si>
  <si>
    <t>Down Payment met by Mutual Fund Portfolio</t>
  </si>
  <si>
    <t>BUY 2BHK in Panvel</t>
  </si>
  <si>
    <t xml:space="preserve">loan amount </t>
  </si>
  <si>
    <t>interest</t>
  </si>
  <si>
    <t xml:space="preserve">term </t>
  </si>
  <si>
    <t xml:space="preserve">30 years </t>
  </si>
  <si>
    <t>EMI</t>
  </si>
  <si>
    <t>Post Office Savings A/c Bal</t>
  </si>
  <si>
    <t xml:space="preserve">Mutual Funds Portfolio </t>
  </si>
  <si>
    <t>ON RETIREMENT</t>
  </si>
  <si>
    <t>ON DEATH</t>
  </si>
  <si>
    <t>Amt. (2022)</t>
  </si>
  <si>
    <t>NPS Lumpsum Amount Received</t>
  </si>
  <si>
    <t>invested in NPS at age 25, died at 39</t>
  </si>
  <si>
    <t>Life Insurance Cover</t>
  </si>
  <si>
    <r>
      <rPr>
        <sz val="11"/>
        <color rgb="FFFF0000"/>
        <rFont val="Calibri"/>
        <family val="2"/>
      </rPr>
      <t xml:space="preserve">PMJJBY offers one- year term </t>
    </r>
    <r>
      <rPr>
        <sz val="11"/>
        <color rgb="FFFF0000"/>
        <rFont val="Calibri"/>
        <family val="2"/>
      </rPr>
      <t>life cover of ₹ 2.00 Lakh</t>
    </r>
    <r>
      <rPr>
        <sz val="11"/>
        <color rgb="FFFF0000"/>
        <rFont val="Calibri"/>
        <family val="2"/>
      </rPr>
      <t xml:space="preserve"> to all the subscribers in the age group of 18-50 years. It covers death due to any reason. Premium payable is ₹ 436/- per annum per subscriber, to be auto debited from the subscriber’s bank/post office account.</t>
    </r>
  </si>
  <si>
    <t>Savings A/c Balance</t>
  </si>
  <si>
    <t>NPS Amount Received calculation:</t>
  </si>
  <si>
    <t>Interest rate = 10%</t>
  </si>
  <si>
    <t>Tenure= 14 years</t>
  </si>
  <si>
    <t>Monthly Investment = 500 rupees</t>
  </si>
  <si>
    <t>Amount Received</t>
  </si>
  <si>
    <t>CPI</t>
  </si>
  <si>
    <t>INFLATION RATES</t>
  </si>
  <si>
    <t>Gold</t>
  </si>
  <si>
    <t>Transport &amp;Communication</t>
  </si>
  <si>
    <t>Fuel &amp; Light</t>
  </si>
  <si>
    <t>source:FRED</t>
  </si>
  <si>
    <t>Source: CEIC</t>
  </si>
  <si>
    <t>Average Expected Inflation</t>
  </si>
  <si>
    <t>EXPECTED CPI</t>
  </si>
  <si>
    <t>GOLD</t>
  </si>
  <si>
    <t>Mutual Funds (HSBC FlexiCap) for Darsh</t>
  </si>
  <si>
    <t>BUY A HOUSE IN Virar</t>
  </si>
  <si>
    <t xml:space="preserve">father died + insurance claim </t>
  </si>
  <si>
    <t>Individual</t>
  </si>
  <si>
    <t>Details:</t>
  </si>
  <si>
    <t xml:space="preserve">Financial Plan for female (40 years), working as a security guard with 2 dependents - 1 son, 1 daughter. </t>
  </si>
  <si>
    <t>Comprehensive Financial Plan for Wealth Management</t>
  </si>
  <si>
    <t>Note:</t>
  </si>
  <si>
    <t xml:space="preserve">1. Timeline </t>
  </si>
  <si>
    <t>2. Cost of education for daughter adjusted for inflation and other factors</t>
  </si>
  <si>
    <t xml:space="preserve">3. Wedding expense estimation for daughter's wedding adjusted for inflation </t>
  </si>
  <si>
    <t xml:space="preserve">4. Son's wedding expense estimation adjusted for inflation </t>
  </si>
  <si>
    <t>5. Detailed Income estimation sheet</t>
  </si>
  <si>
    <t xml:space="preserve">6. Cost of insurance </t>
  </si>
  <si>
    <t xml:space="preserve">7. Detailed expense estimation sheet </t>
  </si>
  <si>
    <t xml:space="preserve">8. Investment sheet </t>
  </si>
  <si>
    <t xml:space="preserve">9. Goal fulfilment sheet </t>
  </si>
  <si>
    <t xml:space="preserve">10. Calculation of worth of Jayesh's assets </t>
  </si>
  <si>
    <t>11. Backend - Inflation estimation sheet</t>
  </si>
  <si>
    <t>This document includes the following details for wealth management of the Patil family: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</si>
</sst>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₹&quot;* #,##0.00_);_(&quot;₹&quot;* \(#,##0.00\);_(&quot;₹&quot;* &quot;-&quot;??_);_(@_)"/>
    <numFmt numFmtId="165" formatCode="&quot;₹&quot;#,##0.00"/>
    <numFmt numFmtId="166" formatCode="_-* #,##0.00_-;\-* #,##0.00_-;_-* &quot;-&quot;??_-;_-@"/>
    <numFmt numFmtId="167" formatCode="_(&quot;₹&quot;* #,##0_);_(&quot;₹&quot;* \(#,##0\);_(&quot;₹&quot;* &quot;-&quot;??_);_(@_)"/>
    <numFmt numFmtId="168" formatCode="0.0%"/>
    <numFmt numFmtId="169" formatCode="_(* #,##0.00_);_(* \(#,##0.00\);_(* &quot;-&quot;??_);_(@_)"/>
    <numFmt numFmtId="170" formatCode="0.000%"/>
    <numFmt numFmtId="171" formatCode="0.0000%"/>
    <numFmt numFmtId="172" formatCode="&quot;₹&quot;#,##0_);[Red]\(&quot;₹&quot;#,##0\)"/>
    <numFmt numFmtId="173" formatCode="&quot;₹&quot;#,##0.00_);[Red]\(&quot;₹&quot;#,##0.00\)"/>
  </numFmts>
  <fonts count="35" x14ac:knownFonts="1">
    <font>
      <sz val="12"/>
      <color theme="1"/>
      <name val="Calibri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"/>
      <color theme="10"/>
      <name val="Calibri"/>
      <family val="2"/>
    </font>
    <font>
      <sz val="12"/>
      <color theme="0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sz val="11"/>
      <color rgb="FFFF0000"/>
      <name val="Calibri"/>
      <family val="2"/>
    </font>
    <font>
      <sz val="14"/>
      <color rgb="FF000000"/>
      <name val="Arial"/>
      <family val="2"/>
    </font>
    <font>
      <sz val="14"/>
      <color rgb="FF323B41"/>
      <name val="Arial"/>
      <family val="2"/>
    </font>
    <font>
      <b/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sz val="16"/>
      <color rgb="FF34495E"/>
      <name val="Arial"/>
      <family val="2"/>
    </font>
    <font>
      <b/>
      <sz val="14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b/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i/>
      <sz val="22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2" tint="-0.34998626667073579"/>
        <bgColor indexed="64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000000"/>
      </bottom>
      <diagonal/>
    </border>
    <border>
      <left/>
      <right/>
      <top style="medium">
        <color rgb="FF505050"/>
      </top>
      <bottom style="medium">
        <color rgb="FF000000"/>
      </bottom>
      <diagonal/>
    </border>
    <border>
      <left style="medium">
        <color rgb="FF000000"/>
      </left>
      <right/>
      <top style="medium">
        <color rgb="FF505050"/>
      </top>
      <bottom style="medium">
        <color rgb="FF00000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000000"/>
      </bottom>
      <diagonal/>
    </border>
    <border>
      <left style="medium">
        <color rgb="FF505050"/>
      </left>
      <right/>
      <top style="medium">
        <color rgb="FF00000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98">
    <xf numFmtId="0" fontId="0" fillId="0" borderId="0" xfId="0"/>
    <xf numFmtId="0" fontId="3" fillId="0" borderId="0" xfId="0" applyFont="1"/>
    <xf numFmtId="0" fontId="2" fillId="0" borderId="13" xfId="0" applyFont="1" applyBorder="1"/>
    <xf numFmtId="0" fontId="2" fillId="0" borderId="14" xfId="0" applyFont="1" applyBorder="1"/>
    <xf numFmtId="0" fontId="5" fillId="0" borderId="14" xfId="0" applyFont="1" applyBorder="1"/>
    <xf numFmtId="0" fontId="2" fillId="0" borderId="12" xfId="0" applyFont="1" applyBorder="1"/>
    <xf numFmtId="0" fontId="2" fillId="2" borderId="14" xfId="0" applyFont="1" applyFill="1" applyBorder="1" applyAlignment="1">
      <alignment horizontal="center"/>
    </xf>
    <xf numFmtId="0" fontId="2" fillId="0" borderId="21" xfId="0" applyFont="1" applyBorder="1"/>
    <xf numFmtId="0" fontId="6" fillId="0" borderId="0" xfId="0" applyFont="1"/>
    <xf numFmtId="0" fontId="2" fillId="0" borderId="28" xfId="0" applyFont="1" applyBorder="1"/>
    <xf numFmtId="0" fontId="2" fillId="0" borderId="13" xfId="0" applyFont="1" applyBorder="1" applyAlignment="1">
      <alignment horizontal="right"/>
    </xf>
    <xf numFmtId="164" fontId="2" fillId="0" borderId="0" xfId="0" applyNumberFormat="1" applyFont="1"/>
    <xf numFmtId="3" fontId="2" fillId="0" borderId="0" xfId="0" applyNumberFormat="1" applyFont="1"/>
    <xf numFmtId="0" fontId="4" fillId="0" borderId="13" xfId="0" applyFont="1" applyBorder="1" applyAlignment="1">
      <alignment horizontal="center"/>
    </xf>
    <xf numFmtId="0" fontId="4" fillId="0" borderId="0" xfId="0" applyFont="1"/>
    <xf numFmtId="0" fontId="4" fillId="0" borderId="13" xfId="0" applyFont="1" applyBorder="1" applyAlignment="1">
      <alignment horizontal="right"/>
    </xf>
    <xf numFmtId="164" fontId="4" fillId="0" borderId="0" xfId="0" applyNumberFormat="1" applyFont="1"/>
    <xf numFmtId="164" fontId="4" fillId="0" borderId="29" xfId="0" applyNumberFormat="1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30" xfId="0" applyFont="1" applyBorder="1"/>
    <xf numFmtId="0" fontId="2" fillId="0" borderId="27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3" xfId="0" applyFont="1" applyBorder="1"/>
    <xf numFmtId="164" fontId="4" fillId="5" borderId="31" xfId="0" applyNumberFormat="1" applyFont="1" applyFill="1" applyBorder="1"/>
    <xf numFmtId="0" fontId="2" fillId="0" borderId="25" xfId="0" applyFont="1" applyBorder="1"/>
    <xf numFmtId="0" fontId="3" fillId="0" borderId="0" xfId="0" applyFont="1" applyAlignment="1">
      <alignment vertical="center"/>
    </xf>
    <xf numFmtId="0" fontId="2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5" xfId="0" applyFont="1" applyBorder="1"/>
    <xf numFmtId="0" fontId="2" fillId="0" borderId="0" xfId="0" applyFont="1"/>
    <xf numFmtId="0" fontId="2" fillId="0" borderId="36" xfId="0" applyFont="1" applyBorder="1"/>
    <xf numFmtId="0" fontId="4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165" fontId="2" fillId="0" borderId="0" xfId="0" applyNumberFormat="1" applyFont="1" applyAlignment="1">
      <alignment horizontal="left"/>
    </xf>
    <xf numFmtId="10" fontId="2" fillId="0" borderId="0" xfId="0" applyNumberFormat="1" applyFont="1"/>
    <xf numFmtId="10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4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4" fillId="6" borderId="44" xfId="0" applyFont="1" applyFill="1" applyBorder="1" applyAlignment="1">
      <alignment horizontal="center"/>
    </xf>
    <xf numFmtId="164" fontId="2" fillId="7" borderId="31" xfId="0" applyNumberFormat="1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164" fontId="2" fillId="4" borderId="31" xfId="0" applyNumberFormat="1" applyFont="1" applyFill="1" applyBorder="1" applyAlignment="1">
      <alignment horizontal="center"/>
    </xf>
    <xf numFmtId="164" fontId="11" fillId="0" borderId="0" xfId="0" applyNumberFormat="1" applyFont="1"/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164" fontId="2" fillId="4" borderId="46" xfId="0" applyNumberFormat="1" applyFont="1" applyFill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0" fontId="11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0" fontId="2" fillId="0" borderId="0" xfId="0" applyNumberFormat="1" applyFont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4" xfId="0" applyNumberFormat="1" applyFont="1" applyBorder="1"/>
    <xf numFmtId="168" fontId="2" fillId="0" borderId="14" xfId="0" applyNumberFormat="1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169" fontId="2" fillId="0" borderId="0" xfId="0" applyNumberFormat="1" applyFont="1"/>
    <xf numFmtId="169" fontId="4" fillId="0" borderId="0" xfId="0" applyNumberFormat="1" applyFont="1"/>
    <xf numFmtId="0" fontId="12" fillId="0" borderId="0" xfId="0" applyFont="1"/>
    <xf numFmtId="9" fontId="6" fillId="0" borderId="0" xfId="0" applyNumberFormat="1" applyFont="1"/>
    <xf numFmtId="0" fontId="2" fillId="0" borderId="47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12" xfId="0" applyNumberFormat="1" applyFont="1" applyBorder="1" applyAlignment="1">
      <alignment horizontal="right"/>
    </xf>
    <xf numFmtId="167" fontId="2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164" fontId="2" fillId="0" borderId="14" xfId="0" applyNumberFormat="1" applyFont="1" applyBorder="1" applyAlignment="1">
      <alignment horizontal="right"/>
    </xf>
    <xf numFmtId="167" fontId="2" fillId="0" borderId="14" xfId="0" applyNumberFormat="1" applyFont="1" applyBorder="1" applyAlignment="1">
      <alignment horizontal="right"/>
    </xf>
    <xf numFmtId="0" fontId="2" fillId="6" borderId="1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2" fillId="0" borderId="21" xfId="0" applyNumberFormat="1" applyFont="1" applyBorder="1" applyAlignment="1">
      <alignment horizontal="right"/>
    </xf>
    <xf numFmtId="164" fontId="2" fillId="0" borderId="51" xfId="0" applyNumberFormat="1" applyFont="1" applyBorder="1" applyAlignment="1">
      <alignment horizontal="right"/>
    </xf>
    <xf numFmtId="164" fontId="4" fillId="0" borderId="51" xfId="0" applyNumberFormat="1" applyFont="1" applyBorder="1" applyAlignment="1">
      <alignment horizontal="right"/>
    </xf>
    <xf numFmtId="164" fontId="4" fillId="0" borderId="52" xfId="0" applyNumberFormat="1" applyFont="1" applyBorder="1" applyAlignment="1">
      <alignment horizontal="right"/>
    </xf>
    <xf numFmtId="171" fontId="2" fillId="0" borderId="0" xfId="0" applyNumberFormat="1" applyFont="1" applyAlignment="1">
      <alignment horizontal="center"/>
    </xf>
    <xf numFmtId="0" fontId="2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2" fillId="0" borderId="14" xfId="0" applyNumberFormat="1" applyFont="1" applyBorder="1" applyAlignment="1">
      <alignment horizontal="center"/>
    </xf>
    <xf numFmtId="9" fontId="4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4" fillId="4" borderId="57" xfId="0" applyFont="1" applyFill="1" applyBorder="1" applyAlignment="1">
      <alignment horizontal="center"/>
    </xf>
    <xf numFmtId="0" fontId="4" fillId="0" borderId="58" xfId="0" applyFont="1" applyBorder="1" applyAlignment="1">
      <alignment horizontal="right"/>
    </xf>
    <xf numFmtId="10" fontId="4" fillId="0" borderId="59" xfId="0" applyNumberFormat="1" applyFont="1" applyBorder="1" applyAlignment="1">
      <alignment horizontal="center"/>
    </xf>
    <xf numFmtId="0" fontId="4" fillId="4" borderId="61" xfId="0" applyFont="1" applyFill="1" applyBorder="1"/>
    <xf numFmtId="0" fontId="4" fillId="0" borderId="62" xfId="0" applyFont="1" applyBorder="1" applyAlignment="1">
      <alignment horizontal="right"/>
    </xf>
    <xf numFmtId="10" fontId="4" fillId="0" borderId="60" xfId="0" applyNumberFormat="1" applyFont="1" applyBorder="1" applyAlignment="1">
      <alignment horizontal="left"/>
    </xf>
    <xf numFmtId="10" fontId="4" fillId="0" borderId="59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72" fontId="2" fillId="0" borderId="54" xfId="0" applyNumberFormat="1" applyFont="1" applyBorder="1"/>
    <xf numFmtId="172" fontId="2" fillId="0" borderId="55" xfId="0" applyNumberFormat="1" applyFont="1" applyBorder="1" applyAlignment="1">
      <alignment horizontal="right"/>
    </xf>
    <xf numFmtId="167" fontId="2" fillId="0" borderId="12" xfId="0" applyNumberFormat="1" applyFont="1" applyBorder="1"/>
    <xf numFmtId="172" fontId="2" fillId="0" borderId="50" xfId="0" applyNumberFormat="1" applyFont="1" applyBorder="1" applyAlignment="1">
      <alignment horizontal="right"/>
    </xf>
    <xf numFmtId="172" fontId="2" fillId="0" borderId="12" xfId="0" applyNumberFormat="1" applyFont="1" applyBorder="1" applyAlignment="1">
      <alignment horizontal="right"/>
    </xf>
    <xf numFmtId="172" fontId="2" fillId="0" borderId="14" xfId="0" applyNumberFormat="1" applyFont="1" applyBorder="1"/>
    <xf numFmtId="172" fontId="2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2" fontId="2" fillId="0" borderId="14" xfId="0" applyNumberFormat="1" applyFont="1" applyBorder="1" applyAlignment="1">
      <alignment horizontal="right"/>
    </xf>
    <xf numFmtId="0" fontId="2" fillId="0" borderId="63" xfId="0" applyFont="1" applyBorder="1" applyAlignment="1">
      <alignment horizontal="center"/>
    </xf>
    <xf numFmtId="172" fontId="2" fillId="0" borderId="17" xfId="0" applyNumberFormat="1" applyFont="1" applyBorder="1"/>
    <xf numFmtId="0" fontId="11" fillId="0" borderId="0" xfId="0" applyFont="1" applyAlignment="1">
      <alignment horizontal="right"/>
    </xf>
    <xf numFmtId="172" fontId="2" fillId="0" borderId="21" xfId="0" applyNumberFormat="1" applyFont="1" applyBorder="1"/>
    <xf numFmtId="172" fontId="4" fillId="8" borderId="56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172" fontId="2" fillId="0" borderId="0" xfId="0" applyNumberFormat="1" applyFont="1"/>
    <xf numFmtId="172" fontId="4" fillId="0" borderId="0" xfId="0" applyNumberFormat="1" applyFont="1" applyAlignment="1">
      <alignment horizontal="right"/>
    </xf>
    <xf numFmtId="167" fontId="2" fillId="0" borderId="21" xfId="0" applyNumberFormat="1" applyFont="1" applyBorder="1" applyAlignment="1">
      <alignment horizontal="right"/>
    </xf>
    <xf numFmtId="167" fontId="2" fillId="0" borderId="51" xfId="0" applyNumberFormat="1" applyFont="1" applyBorder="1"/>
    <xf numFmtId="172" fontId="2" fillId="0" borderId="52" xfId="0" applyNumberFormat="1" applyFont="1" applyBorder="1" applyAlignment="1">
      <alignment horizontal="right"/>
    </xf>
    <xf numFmtId="164" fontId="2" fillId="0" borderId="50" xfId="0" applyNumberFormat="1" applyFont="1" applyBorder="1" applyAlignment="1">
      <alignment horizontal="right"/>
    </xf>
    <xf numFmtId="167" fontId="2" fillId="0" borderId="54" xfId="0" applyNumberFormat="1" applyFont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167" fontId="2" fillId="4" borderId="14" xfId="0" applyNumberFormat="1" applyFont="1" applyFill="1" applyBorder="1" applyAlignment="1">
      <alignment horizontal="right"/>
    </xf>
    <xf numFmtId="167" fontId="2" fillId="4" borderId="14" xfId="0" applyNumberFormat="1" applyFont="1" applyFill="1" applyBorder="1"/>
    <xf numFmtId="172" fontId="2" fillId="4" borderId="14" xfId="0" applyNumberFormat="1" applyFont="1" applyFill="1" applyBorder="1" applyAlignment="1">
      <alignment horizontal="right"/>
    </xf>
    <xf numFmtId="172" fontId="4" fillId="4" borderId="15" xfId="0" applyNumberFormat="1" applyFont="1" applyFill="1" applyBorder="1" applyAlignment="1">
      <alignment horizontal="right"/>
    </xf>
    <xf numFmtId="167" fontId="2" fillId="0" borderId="21" xfId="0" applyNumberFormat="1" applyFont="1" applyBorder="1"/>
    <xf numFmtId="172" fontId="4" fillId="0" borderId="56" xfId="0" applyNumberFormat="1" applyFont="1" applyBorder="1" applyAlignment="1">
      <alignment horizontal="right"/>
    </xf>
    <xf numFmtId="167" fontId="4" fillId="0" borderId="54" xfId="0" applyNumberFormat="1" applyFont="1" applyBorder="1" applyAlignment="1">
      <alignment horizontal="right"/>
    </xf>
    <xf numFmtId="167" fontId="2" fillId="0" borderId="54" xfId="0" applyNumberFormat="1" applyFont="1" applyBorder="1"/>
    <xf numFmtId="167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2" fontId="14" fillId="0" borderId="0" xfId="0" applyNumberFormat="1" applyFont="1" applyAlignment="1">
      <alignment horizontal="center"/>
    </xf>
    <xf numFmtId="0" fontId="2" fillId="4" borderId="20" xfId="0" applyFont="1" applyFill="1" applyBorder="1" applyAlignment="1">
      <alignment horizontal="center"/>
    </xf>
    <xf numFmtId="167" fontId="2" fillId="4" borderId="21" xfId="0" applyNumberFormat="1" applyFont="1" applyFill="1" applyBorder="1" applyAlignment="1">
      <alignment horizontal="right"/>
    </xf>
    <xf numFmtId="167" fontId="2" fillId="4" borderId="21" xfId="0" applyNumberFormat="1" applyFont="1" applyFill="1" applyBorder="1"/>
    <xf numFmtId="172" fontId="2" fillId="4" borderId="21" xfId="0" applyNumberFormat="1" applyFont="1" applyFill="1" applyBorder="1" applyAlignment="1">
      <alignment horizontal="right"/>
    </xf>
    <xf numFmtId="172" fontId="4" fillId="4" borderId="56" xfId="0" applyNumberFormat="1" applyFont="1" applyFill="1" applyBorder="1" applyAlignment="1">
      <alignment horizontal="right"/>
    </xf>
    <xf numFmtId="167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0" fontId="4" fillId="4" borderId="16" xfId="0" applyFont="1" applyFill="1" applyBorder="1" applyAlignment="1">
      <alignment horizontal="center"/>
    </xf>
    <xf numFmtId="167" fontId="4" fillId="4" borderId="64" xfId="0" applyNumberFormat="1" applyFont="1" applyFill="1" applyBorder="1"/>
    <xf numFmtId="172" fontId="4" fillId="4" borderId="65" xfId="0" applyNumberFormat="1" applyFont="1" applyFill="1" applyBorder="1" applyAlignment="1">
      <alignment horizontal="right"/>
    </xf>
    <xf numFmtId="167" fontId="2" fillId="0" borderId="17" xfId="0" applyNumberFormat="1" applyFont="1" applyBorder="1" applyAlignment="1">
      <alignment horizontal="right"/>
    </xf>
    <xf numFmtId="167" fontId="2" fillId="0" borderId="17" xfId="0" applyNumberFormat="1" applyFont="1" applyBorder="1"/>
    <xf numFmtId="172" fontId="2" fillId="0" borderId="66" xfId="0" applyNumberFormat="1" applyFont="1" applyBorder="1" applyAlignment="1">
      <alignment horizontal="right"/>
    </xf>
    <xf numFmtId="172" fontId="2" fillId="0" borderId="18" xfId="0" applyNumberFormat="1" applyFont="1" applyBorder="1" applyAlignment="1">
      <alignment horizontal="right"/>
    </xf>
    <xf numFmtId="0" fontId="4" fillId="4" borderId="20" xfId="0" applyFont="1" applyFill="1" applyBorder="1" applyAlignment="1">
      <alignment horizontal="center"/>
    </xf>
    <xf numFmtId="167" fontId="4" fillId="4" borderId="67" xfId="0" applyNumberFormat="1" applyFont="1" applyFill="1" applyBorder="1"/>
    <xf numFmtId="172" fontId="4" fillId="4" borderId="68" xfId="0" applyNumberFormat="1" applyFont="1" applyFill="1" applyBorder="1" applyAlignment="1">
      <alignment horizontal="right"/>
    </xf>
    <xf numFmtId="167" fontId="2" fillId="0" borderId="0" xfId="0" applyNumberFormat="1" applyFont="1" applyAlignment="1">
      <alignment horizontal="center"/>
    </xf>
    <xf numFmtId="0" fontId="2" fillId="0" borderId="25" xfId="0" applyFont="1" applyBorder="1" applyAlignment="1">
      <alignment horizontal="center"/>
    </xf>
    <xf numFmtId="167" fontId="2" fillId="0" borderId="26" xfId="0" applyNumberFormat="1" applyFont="1" applyBorder="1" applyAlignment="1">
      <alignment horizontal="center"/>
    </xf>
    <xf numFmtId="167" fontId="2" fillId="0" borderId="27" xfId="0" applyNumberFormat="1" applyFont="1" applyBorder="1" applyAlignment="1">
      <alignment horizontal="center"/>
    </xf>
    <xf numFmtId="172" fontId="2" fillId="0" borderId="26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72" fontId="2" fillId="0" borderId="14" xfId="0" applyNumberFormat="1" applyFont="1" applyBorder="1" applyAlignment="1">
      <alignment horizontal="center"/>
    </xf>
    <xf numFmtId="172" fontId="2" fillId="0" borderId="15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72" fontId="2" fillId="0" borderId="21" xfId="0" applyNumberFormat="1" applyFont="1" applyBorder="1" applyAlignment="1">
      <alignment horizontal="center"/>
    </xf>
    <xf numFmtId="172" fontId="2" fillId="0" borderId="56" xfId="0" applyNumberFormat="1" applyFont="1" applyBorder="1" applyAlignment="1">
      <alignment horizontal="center"/>
    </xf>
    <xf numFmtId="173" fontId="15" fillId="0" borderId="0" xfId="0" applyNumberFormat="1" applyFont="1"/>
    <xf numFmtId="0" fontId="15" fillId="0" borderId="0" xfId="0" applyFont="1"/>
    <xf numFmtId="173" fontId="16" fillId="0" borderId="0" xfId="0" applyNumberFormat="1" applyFont="1"/>
    <xf numFmtId="172" fontId="7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3" borderId="14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0" fontId="23" fillId="0" borderId="14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168" fontId="2" fillId="0" borderId="21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4" borderId="31" xfId="0" applyNumberFormat="1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8" fontId="2" fillId="4" borderId="14" xfId="0" applyNumberFormat="1" applyFont="1" applyFill="1" applyBorder="1" applyAlignment="1">
      <alignment horizontal="center"/>
    </xf>
    <xf numFmtId="10" fontId="2" fillId="4" borderId="14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11" borderId="64" xfId="0" applyFont="1" applyFill="1" applyBorder="1" applyAlignment="1">
      <alignment horizontal="center"/>
    </xf>
    <xf numFmtId="0" fontId="4" fillId="11" borderId="65" xfId="0" applyFont="1" applyFill="1" applyBorder="1" applyAlignment="1">
      <alignment horizontal="center"/>
    </xf>
    <xf numFmtId="0" fontId="4" fillId="10" borderId="72" xfId="0" applyFont="1" applyFill="1" applyBorder="1" applyAlignment="1">
      <alignment horizontal="center"/>
    </xf>
    <xf numFmtId="0" fontId="4" fillId="10" borderId="73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64" xfId="0" applyFont="1" applyFill="1" applyBorder="1"/>
    <xf numFmtId="0" fontId="2" fillId="12" borderId="14" xfId="0" applyFont="1" applyFill="1" applyBorder="1"/>
    <xf numFmtId="0" fontId="2" fillId="12" borderId="17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5" fillId="12" borderId="19" xfId="0" applyFont="1" applyFill="1" applyBorder="1"/>
    <xf numFmtId="0" fontId="2" fillId="12" borderId="7" xfId="0" applyFont="1" applyFill="1" applyBorder="1" applyAlignment="1">
      <alignment horizontal="center"/>
    </xf>
    <xf numFmtId="164" fontId="2" fillId="0" borderId="77" xfId="0" applyNumberFormat="1" applyFont="1" applyBorder="1" applyAlignment="1">
      <alignment horizontal="center"/>
    </xf>
    <xf numFmtId="0" fontId="12" fillId="0" borderId="78" xfId="0" applyFont="1" applyBorder="1" applyAlignment="1">
      <alignment horizontal="center"/>
    </xf>
    <xf numFmtId="0" fontId="0" fillId="0" borderId="31" xfId="0" applyBorder="1"/>
    <xf numFmtId="0" fontId="28" fillId="0" borderId="0" xfId="0" applyFont="1"/>
    <xf numFmtId="0" fontId="4" fillId="0" borderId="82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164" fontId="4" fillId="0" borderId="77" xfId="0" applyNumberFormat="1" applyFont="1" applyBorder="1" applyAlignment="1">
      <alignment horizontal="center"/>
    </xf>
    <xf numFmtId="0" fontId="29" fillId="0" borderId="0" xfId="0" applyFont="1"/>
    <xf numFmtId="0" fontId="26" fillId="9" borderId="42" xfId="0" applyFont="1" applyFill="1" applyBorder="1" applyAlignment="1">
      <alignment horizontal="center"/>
    </xf>
    <xf numFmtId="0" fontId="26" fillId="9" borderId="39" xfId="0" applyFont="1" applyFill="1" applyBorder="1" applyAlignment="1">
      <alignment horizontal="center"/>
    </xf>
    <xf numFmtId="0" fontId="26" fillId="9" borderId="40" xfId="0" applyFont="1" applyFill="1" applyBorder="1" applyAlignment="1">
      <alignment horizontal="center"/>
    </xf>
    <xf numFmtId="0" fontId="26" fillId="9" borderId="41" xfId="0" applyFont="1" applyFill="1" applyBorder="1" applyAlignment="1">
      <alignment horizontal="center"/>
    </xf>
    <xf numFmtId="0" fontId="6" fillId="0" borderId="85" xfId="0" applyFont="1" applyBorder="1"/>
    <xf numFmtId="0" fontId="6" fillId="0" borderId="86" xfId="0" applyFont="1" applyBorder="1"/>
    <xf numFmtId="0" fontId="6" fillId="0" borderId="87" xfId="0" applyFont="1" applyBorder="1"/>
    <xf numFmtId="2" fontId="2" fillId="0" borderId="88" xfId="0" applyNumberFormat="1" applyFont="1" applyBorder="1"/>
    <xf numFmtId="0" fontId="2" fillId="0" borderId="85" xfId="0" applyFont="1" applyBorder="1" applyAlignment="1">
      <alignment wrapText="1"/>
    </xf>
    <xf numFmtId="3" fontId="2" fillId="0" borderId="86" xfId="0" applyNumberFormat="1" applyFont="1" applyBorder="1"/>
    <xf numFmtId="9" fontId="2" fillId="0" borderId="88" xfId="0" applyNumberFormat="1" applyFont="1" applyBorder="1"/>
    <xf numFmtId="3" fontId="2" fillId="0" borderId="86" xfId="0" applyNumberFormat="1" applyFont="1" applyBorder="1" applyAlignment="1">
      <alignment horizontal="left"/>
    </xf>
    <xf numFmtId="0" fontId="2" fillId="0" borderId="86" xfId="0" applyFont="1" applyBorder="1" applyAlignment="1">
      <alignment horizontal="left"/>
    </xf>
    <xf numFmtId="9" fontId="2" fillId="0" borderId="88" xfId="0" applyNumberFormat="1" applyFont="1" applyBorder="1" applyAlignment="1">
      <alignment horizontal="left"/>
    </xf>
    <xf numFmtId="167" fontId="2" fillId="0" borderId="86" xfId="0" applyNumberFormat="1" applyFont="1" applyBorder="1"/>
    <xf numFmtId="0" fontId="0" fillId="0" borderId="85" xfId="0" applyBorder="1"/>
    <xf numFmtId="0" fontId="0" fillId="0" borderId="86" xfId="0" applyBorder="1"/>
    <xf numFmtId="167" fontId="2" fillId="0" borderId="88" xfId="0" applyNumberFormat="1" applyFont="1" applyBorder="1"/>
    <xf numFmtId="0" fontId="4" fillId="0" borderId="85" xfId="0" applyFont="1" applyBorder="1"/>
    <xf numFmtId="164" fontId="4" fillId="0" borderId="88" xfId="0" applyNumberFormat="1" applyFont="1" applyBorder="1"/>
    <xf numFmtId="164" fontId="4" fillId="10" borderId="14" xfId="0" applyNumberFormat="1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4" fontId="4" fillId="10" borderId="14" xfId="0" applyNumberFormat="1" applyFont="1" applyFill="1" applyBorder="1"/>
    <xf numFmtId="0" fontId="2" fillId="0" borderId="77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2" fillId="6" borderId="89" xfId="0" applyFont="1" applyFill="1" applyBorder="1" applyAlignment="1">
      <alignment horizontal="center"/>
    </xf>
    <xf numFmtId="0" fontId="2" fillId="6" borderId="91" xfId="0" applyFont="1" applyFill="1" applyBorder="1" applyAlignment="1">
      <alignment horizontal="center"/>
    </xf>
    <xf numFmtId="164" fontId="2" fillId="0" borderId="92" xfId="0" applyNumberFormat="1" applyFont="1" applyBorder="1" applyAlignment="1">
      <alignment horizontal="center"/>
    </xf>
    <xf numFmtId="170" fontId="2" fillId="0" borderId="92" xfId="0" applyNumberFormat="1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164" fontId="2" fillId="0" borderId="78" xfId="0" applyNumberFormat="1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48" xfId="0" applyFont="1" applyFill="1" applyBorder="1" applyAlignment="1">
      <alignment horizontal="center"/>
    </xf>
    <xf numFmtId="0" fontId="4" fillId="10" borderId="48" xfId="0" applyFont="1" applyFill="1" applyBorder="1" applyAlignment="1">
      <alignment horizontal="center"/>
    </xf>
    <xf numFmtId="0" fontId="4" fillId="10" borderId="49" xfId="0" applyFont="1" applyFill="1" applyBorder="1" applyAlignment="1">
      <alignment horizontal="center"/>
    </xf>
    <xf numFmtId="0" fontId="4" fillId="10" borderId="96" xfId="0" applyFont="1" applyFill="1" applyBorder="1" applyAlignment="1">
      <alignment horizontal="center"/>
    </xf>
    <xf numFmtId="0" fontId="4" fillId="10" borderId="97" xfId="0" applyFont="1" applyFill="1" applyBorder="1" applyAlignment="1">
      <alignment horizontal="center"/>
    </xf>
    <xf numFmtId="0" fontId="2" fillId="10" borderId="98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167" fontId="2" fillId="0" borderId="77" xfId="0" applyNumberFormat="1" applyFont="1" applyBorder="1" applyAlignment="1">
      <alignment horizontal="center"/>
    </xf>
    <xf numFmtId="167" fontId="2" fillId="0" borderId="90" xfId="0" applyNumberFormat="1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167" fontId="2" fillId="0" borderId="92" xfId="0" applyNumberFormat="1" applyFont="1" applyBorder="1" applyAlignment="1">
      <alignment horizontal="center"/>
    </xf>
    <xf numFmtId="0" fontId="4" fillId="0" borderId="92" xfId="0" applyFont="1" applyBorder="1" applyAlignment="1">
      <alignment horizontal="center"/>
    </xf>
    <xf numFmtId="167" fontId="2" fillId="0" borderId="93" xfId="0" applyNumberFormat="1" applyFont="1" applyBorder="1" applyAlignment="1">
      <alignment horizontal="center"/>
    </xf>
    <xf numFmtId="167" fontId="2" fillId="0" borderId="78" xfId="0" applyNumberFormat="1" applyFont="1" applyBorder="1" applyAlignment="1">
      <alignment horizontal="center"/>
    </xf>
    <xf numFmtId="167" fontId="2" fillId="0" borderId="95" xfId="0" applyNumberFormat="1" applyFont="1" applyBorder="1" applyAlignment="1">
      <alignment horizontal="center"/>
    </xf>
    <xf numFmtId="167" fontId="2" fillId="16" borderId="26" xfId="0" applyNumberFormat="1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4" fillId="0" borderId="90" xfId="0" applyFont="1" applyBorder="1" applyAlignment="1">
      <alignment horizontal="center"/>
    </xf>
    <xf numFmtId="167" fontId="4" fillId="0" borderId="93" xfId="0" applyNumberFormat="1" applyFont="1" applyBorder="1" applyAlignment="1">
      <alignment horizontal="center"/>
    </xf>
    <xf numFmtId="172" fontId="2" fillId="0" borderId="78" xfId="0" applyNumberFormat="1" applyFont="1" applyBorder="1" applyAlignment="1">
      <alignment horizontal="center"/>
    </xf>
    <xf numFmtId="0" fontId="26" fillId="9" borderId="96" xfId="0" applyFont="1" applyFill="1" applyBorder="1" applyAlignment="1">
      <alignment horizontal="center"/>
    </xf>
    <xf numFmtId="0" fontId="26" fillId="9" borderId="97" xfId="0" applyFont="1" applyFill="1" applyBorder="1" applyAlignment="1">
      <alignment horizontal="center"/>
    </xf>
    <xf numFmtId="0" fontId="26" fillId="9" borderId="98" xfId="0" applyFont="1" applyFill="1" applyBorder="1" applyAlignment="1">
      <alignment horizontal="center"/>
    </xf>
    <xf numFmtId="0" fontId="26" fillId="9" borderId="22" xfId="0" applyFont="1" applyFill="1" applyBorder="1" applyAlignment="1">
      <alignment horizontal="center"/>
    </xf>
    <xf numFmtId="0" fontId="26" fillId="9" borderId="23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26" fillId="9" borderId="24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11" borderId="78" xfId="0" applyFont="1" applyFill="1" applyBorder="1" applyAlignment="1">
      <alignment horizontal="center"/>
    </xf>
    <xf numFmtId="0" fontId="2" fillId="11" borderId="77" xfId="0" applyFont="1" applyFill="1" applyBorder="1" applyAlignment="1">
      <alignment horizontal="center"/>
    </xf>
    <xf numFmtId="0" fontId="2" fillId="11" borderId="92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6" fillId="9" borderId="96" xfId="0" applyFont="1" applyFill="1" applyBorder="1" applyAlignment="1">
      <alignment horizontal="center" vertical="center" wrapText="1"/>
    </xf>
    <xf numFmtId="0" fontId="26" fillId="9" borderId="97" xfId="0" applyFont="1" applyFill="1" applyBorder="1" applyAlignment="1">
      <alignment horizontal="center" vertical="center" wrapText="1"/>
    </xf>
    <xf numFmtId="0" fontId="9" fillId="9" borderId="97" xfId="0" applyFont="1" applyFill="1" applyBorder="1" applyAlignment="1">
      <alignment horizontal="center" vertical="center" wrapText="1"/>
    </xf>
    <xf numFmtId="0" fontId="26" fillId="9" borderId="9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6" fillId="9" borderId="22" xfId="0" applyFont="1" applyFill="1" applyBorder="1" applyAlignment="1">
      <alignment horizontal="center" wrapText="1"/>
    </xf>
    <xf numFmtId="0" fontId="26" fillId="9" borderId="23" xfId="0" applyFont="1" applyFill="1" applyBorder="1" applyAlignment="1">
      <alignment horizontal="center" wrapText="1"/>
    </xf>
    <xf numFmtId="0" fontId="26" fillId="9" borderId="24" xfId="0" applyFont="1" applyFill="1" applyBorder="1" applyAlignment="1">
      <alignment horizontal="center" wrapText="1"/>
    </xf>
    <xf numFmtId="0" fontId="9" fillId="9" borderId="53" xfId="0" applyFont="1" applyFill="1" applyBorder="1" applyAlignment="1">
      <alignment horizontal="center" wrapText="1"/>
    </xf>
    <xf numFmtId="0" fontId="26" fillId="9" borderId="54" xfId="0" applyFont="1" applyFill="1" applyBorder="1" applyAlignment="1">
      <alignment horizontal="center" wrapText="1"/>
    </xf>
    <xf numFmtId="0" fontId="26" fillId="9" borderId="55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9" fontId="6" fillId="0" borderId="77" xfId="0" applyNumberFormat="1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12" fillId="0" borderId="82" xfId="0" applyFont="1" applyBorder="1" applyAlignment="1">
      <alignment horizontal="center"/>
    </xf>
    <xf numFmtId="4" fontId="12" fillId="0" borderId="0" xfId="0" applyNumberFormat="1" applyFont="1"/>
    <xf numFmtId="0" fontId="31" fillId="0" borderId="0" xfId="0" applyFont="1"/>
    <xf numFmtId="0" fontId="2" fillId="0" borderId="106" xfId="0" applyFont="1" applyBorder="1" applyAlignment="1">
      <alignment horizontal="center"/>
    </xf>
    <xf numFmtId="1" fontId="2" fillId="0" borderId="107" xfId="0" applyNumberFormat="1" applyFont="1" applyBorder="1" applyAlignment="1">
      <alignment horizontal="center"/>
    </xf>
    <xf numFmtId="0" fontId="2" fillId="0" borderId="108" xfId="0" applyFont="1" applyBorder="1" applyAlignment="1">
      <alignment horizontal="center"/>
    </xf>
    <xf numFmtId="2" fontId="2" fillId="0" borderId="109" xfId="0" applyNumberFormat="1" applyFont="1" applyBorder="1" applyAlignment="1">
      <alignment horizontal="center"/>
    </xf>
    <xf numFmtId="1" fontId="2" fillId="0" borderId="109" xfId="0" applyNumberFormat="1" applyFont="1" applyBorder="1" applyAlignment="1">
      <alignment horizontal="center"/>
    </xf>
    <xf numFmtId="1" fontId="2" fillId="0" borderId="110" xfId="0" applyNumberFormat="1" applyFont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10" borderId="50" xfId="0" applyFont="1" applyFill="1" applyBorder="1" applyAlignment="1">
      <alignment horizontal="center"/>
    </xf>
    <xf numFmtId="0" fontId="4" fillId="10" borderId="104" xfId="0" applyFont="1" applyFill="1" applyBorder="1" applyAlignment="1">
      <alignment horizontal="center"/>
    </xf>
    <xf numFmtId="0" fontId="4" fillId="10" borderId="64" xfId="0" applyFont="1" applyFill="1" applyBorder="1" applyAlignment="1">
      <alignment horizontal="center"/>
    </xf>
    <xf numFmtId="0" fontId="4" fillId="10" borderId="105" xfId="0" applyFont="1" applyFill="1" applyBorder="1" applyAlignment="1">
      <alignment horizontal="center"/>
    </xf>
    <xf numFmtId="0" fontId="2" fillId="0" borderId="77" xfId="0" applyFont="1" applyBorder="1"/>
    <xf numFmtId="0" fontId="33" fillId="0" borderId="31" xfId="0" applyFont="1" applyBorder="1" applyAlignment="1">
      <alignment horizontal="center" vertical="center"/>
    </xf>
    <xf numFmtId="0" fontId="24" fillId="9" borderId="69" xfId="0" applyFont="1" applyFill="1" applyBorder="1" applyAlignment="1">
      <alignment horizontal="center"/>
    </xf>
    <xf numFmtId="0" fontId="9" fillId="9" borderId="70" xfId="0" applyFont="1" applyFill="1" applyBorder="1"/>
    <xf numFmtId="0" fontId="9" fillId="9" borderId="71" xfId="0" applyFont="1" applyFill="1" applyBorder="1"/>
    <xf numFmtId="0" fontId="4" fillId="10" borderId="74" xfId="0" applyFont="1" applyFill="1" applyBorder="1" applyAlignment="1">
      <alignment horizontal="center"/>
    </xf>
    <xf numFmtId="0" fontId="1" fillId="10" borderId="75" xfId="0" applyFont="1" applyFill="1" applyBorder="1" applyAlignment="1">
      <alignment horizontal="center"/>
    </xf>
    <xf numFmtId="0" fontId="1" fillId="10" borderId="76" xfId="0" applyFont="1" applyFill="1" applyBorder="1" applyAlignment="1">
      <alignment horizontal="center"/>
    </xf>
    <xf numFmtId="0" fontId="25" fillId="9" borderId="22" xfId="0" applyFont="1" applyFill="1" applyBorder="1" applyAlignment="1">
      <alignment horizontal="center" vertical="center"/>
    </xf>
    <xf numFmtId="0" fontId="26" fillId="9" borderId="23" xfId="0" applyFont="1" applyFill="1" applyBorder="1"/>
    <xf numFmtId="0" fontId="26" fillId="9" borderId="24" xfId="0" applyFont="1" applyFill="1" applyBorder="1"/>
    <xf numFmtId="0" fontId="26" fillId="9" borderId="25" xfId="0" applyFont="1" applyFill="1" applyBorder="1"/>
    <xf numFmtId="0" fontId="26" fillId="9" borderId="26" xfId="0" applyFont="1" applyFill="1" applyBorder="1"/>
    <xf numFmtId="0" fontId="26" fillId="9" borderId="27" xfId="0" applyFont="1" applyFill="1" applyBorder="1"/>
    <xf numFmtId="0" fontId="4" fillId="13" borderId="79" xfId="0" applyFont="1" applyFill="1" applyBorder="1" applyAlignment="1">
      <alignment horizontal="center"/>
    </xf>
    <xf numFmtId="0" fontId="27" fillId="11" borderId="80" xfId="0" applyFont="1" applyFill="1" applyBorder="1"/>
    <xf numFmtId="0" fontId="27" fillId="11" borderId="81" xfId="0" applyFont="1" applyFill="1" applyBorder="1"/>
    <xf numFmtId="0" fontId="9" fillId="9" borderId="23" xfId="0" applyFont="1" applyFill="1" applyBorder="1"/>
    <xf numFmtId="0" fontId="9" fillId="9" borderId="24" xfId="0" applyFont="1" applyFill="1" applyBorder="1"/>
    <xf numFmtId="0" fontId="9" fillId="9" borderId="25" xfId="0" applyFont="1" applyFill="1" applyBorder="1"/>
    <xf numFmtId="0" fontId="9" fillId="9" borderId="26" xfId="0" applyFont="1" applyFill="1" applyBorder="1"/>
    <xf numFmtId="0" fontId="9" fillId="9" borderId="27" xfId="0" applyFont="1" applyFill="1" applyBorder="1"/>
    <xf numFmtId="0" fontId="4" fillId="4" borderId="8" xfId="0" applyFont="1" applyFill="1" applyBorder="1" applyAlignment="1">
      <alignment horizontal="center"/>
    </xf>
    <xf numFmtId="0" fontId="27" fillId="0" borderId="9" xfId="0" applyFont="1" applyBorder="1"/>
    <xf numFmtId="0" fontId="27" fillId="0" borderId="10" xfId="0" applyFont="1" applyBorder="1"/>
    <xf numFmtId="0" fontId="24" fillId="14" borderId="32" xfId="0" applyFont="1" applyFill="1" applyBorder="1" applyAlignment="1">
      <alignment horizontal="center" vertical="center"/>
    </xf>
    <xf numFmtId="0" fontId="26" fillId="9" borderId="33" xfId="0" applyFont="1" applyFill="1" applyBorder="1"/>
    <xf numFmtId="0" fontId="26" fillId="9" borderId="34" xfId="0" applyFont="1" applyFill="1" applyBorder="1"/>
    <xf numFmtId="0" fontId="10" fillId="0" borderId="0" xfId="0" applyFont="1" applyAlignment="1">
      <alignment horizontal="center" vertical="top" wrapText="1"/>
    </xf>
    <xf numFmtId="0" fontId="0" fillId="0" borderId="0" xfId="0"/>
    <xf numFmtId="0" fontId="12" fillId="10" borderId="83" xfId="0" applyFont="1" applyFill="1" applyBorder="1" applyAlignment="1">
      <alignment horizontal="center"/>
    </xf>
    <xf numFmtId="0" fontId="12" fillId="10" borderId="84" xfId="0" applyFont="1" applyFill="1" applyBorder="1" applyAlignment="1">
      <alignment horizontal="center"/>
    </xf>
    <xf numFmtId="0" fontId="26" fillId="9" borderId="83" xfId="0" applyFont="1" applyFill="1" applyBorder="1" applyAlignment="1">
      <alignment horizontal="center"/>
    </xf>
    <xf numFmtId="0" fontId="30" fillId="9" borderId="84" xfId="0" applyFont="1" applyFill="1" applyBorder="1"/>
    <xf numFmtId="0" fontId="7" fillId="10" borderId="85" xfId="0" applyFont="1" applyFill="1" applyBorder="1" applyAlignment="1">
      <alignment horizontal="center"/>
    </xf>
    <xf numFmtId="0" fontId="0" fillId="10" borderId="86" xfId="0" applyFill="1" applyBorder="1"/>
    <xf numFmtId="0" fontId="4" fillId="10" borderId="85" xfId="0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 vertical="center"/>
    </xf>
    <xf numFmtId="0" fontId="9" fillId="9" borderId="2" xfId="0" applyFont="1" applyFill="1" applyBorder="1"/>
    <xf numFmtId="0" fontId="9" fillId="9" borderId="3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9" fillId="9" borderId="6" xfId="0" applyFont="1" applyFill="1" applyBorder="1"/>
    <xf numFmtId="0" fontId="4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3" fillId="0" borderId="90" xfId="0" applyFont="1" applyBorder="1" applyAlignment="1">
      <alignment horizontal="center" vertical="center" wrapText="1"/>
    </xf>
    <xf numFmtId="0" fontId="0" fillId="0" borderId="90" xfId="0" applyBorder="1"/>
    <xf numFmtId="0" fontId="0" fillId="0" borderId="93" xfId="0" applyBorder="1"/>
    <xf numFmtId="0" fontId="1" fillId="0" borderId="60" xfId="0" applyFont="1" applyBorder="1"/>
    <xf numFmtId="0" fontId="2" fillId="11" borderId="78" xfId="0" applyFont="1" applyFill="1" applyBorder="1" applyAlignment="1">
      <alignment horizontal="center" vertical="center"/>
    </xf>
    <xf numFmtId="0" fontId="0" fillId="11" borderId="77" xfId="0" applyFill="1" applyBorder="1" applyAlignment="1">
      <alignment horizontal="center"/>
    </xf>
    <xf numFmtId="0" fontId="1" fillId="11" borderId="92" xfId="0" applyFont="1" applyFill="1" applyBorder="1" applyAlignment="1">
      <alignment horizontal="center"/>
    </xf>
    <xf numFmtId="0" fontId="6" fillId="0" borderId="92" xfId="0" applyFont="1" applyBorder="1" applyAlignment="1">
      <alignment horizontal="center"/>
    </xf>
    <xf numFmtId="0" fontId="0" fillId="0" borderId="92" xfId="0" applyBorder="1" applyAlignment="1">
      <alignment horizontal="center"/>
    </xf>
    <xf numFmtId="0" fontId="4" fillId="16" borderId="99" xfId="0" applyFont="1" applyFill="1" applyBorder="1" applyAlignment="1">
      <alignment horizontal="center"/>
    </xf>
    <xf numFmtId="0" fontId="4" fillId="16" borderId="100" xfId="0" applyFont="1" applyFill="1" applyBorder="1" applyAlignment="1">
      <alignment horizontal="center"/>
    </xf>
    <xf numFmtId="0" fontId="4" fillId="16" borderId="101" xfId="0" applyFont="1" applyFill="1" applyBorder="1" applyAlignment="1">
      <alignment horizontal="center"/>
    </xf>
    <xf numFmtId="0" fontId="4" fillId="16" borderId="8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86" xfId="0" applyFont="1" applyFill="1" applyBorder="1" applyAlignment="1">
      <alignment horizontal="center"/>
    </xf>
    <xf numFmtId="0" fontId="4" fillId="16" borderId="102" xfId="0" applyFont="1" applyFill="1" applyBorder="1" applyAlignment="1">
      <alignment horizontal="center"/>
    </xf>
    <xf numFmtId="0" fontId="4" fillId="16" borderId="75" xfId="0" applyFont="1" applyFill="1" applyBorder="1" applyAlignment="1">
      <alignment horizontal="center"/>
    </xf>
    <xf numFmtId="0" fontId="4" fillId="16" borderId="103" xfId="0" applyFont="1" applyFill="1" applyBorder="1" applyAlignment="1">
      <alignment horizontal="center"/>
    </xf>
    <xf numFmtId="164" fontId="2" fillId="16" borderId="99" xfId="0" applyNumberFormat="1" applyFont="1" applyFill="1" applyBorder="1" applyAlignment="1">
      <alignment horizontal="center"/>
    </xf>
    <xf numFmtId="164" fontId="2" fillId="16" borderId="100" xfId="0" applyNumberFormat="1" applyFont="1" applyFill="1" applyBorder="1" applyAlignment="1">
      <alignment horizontal="center"/>
    </xf>
    <xf numFmtId="164" fontId="2" fillId="16" borderId="101" xfId="0" applyNumberFormat="1" applyFont="1" applyFill="1" applyBorder="1" applyAlignment="1">
      <alignment horizontal="center"/>
    </xf>
    <xf numFmtId="164" fontId="2" fillId="16" borderId="85" xfId="0" applyNumberFormat="1" applyFont="1" applyFill="1" applyBorder="1" applyAlignment="1">
      <alignment horizontal="center"/>
    </xf>
    <xf numFmtId="164" fontId="2" fillId="16" borderId="31" xfId="0" applyNumberFormat="1" applyFont="1" applyFill="1" applyBorder="1" applyAlignment="1">
      <alignment horizontal="center"/>
    </xf>
    <xf numFmtId="164" fontId="2" fillId="16" borderId="86" xfId="0" applyNumberFormat="1" applyFont="1" applyFill="1" applyBorder="1" applyAlignment="1">
      <alignment horizontal="center"/>
    </xf>
    <xf numFmtId="164" fontId="2" fillId="16" borderId="102" xfId="0" applyNumberFormat="1" applyFont="1" applyFill="1" applyBorder="1" applyAlignment="1">
      <alignment horizontal="center"/>
    </xf>
    <xf numFmtId="164" fontId="2" fillId="16" borderId="75" xfId="0" applyNumberFormat="1" applyFont="1" applyFill="1" applyBorder="1" applyAlignment="1">
      <alignment horizontal="center"/>
    </xf>
    <xf numFmtId="164" fontId="2" fillId="16" borderId="103" xfId="0" applyNumberFormat="1" applyFont="1" applyFill="1" applyBorder="1" applyAlignment="1">
      <alignment horizontal="center"/>
    </xf>
    <xf numFmtId="0" fontId="32" fillId="9" borderId="8" xfId="0" applyFont="1" applyFill="1" applyBorder="1" applyAlignment="1">
      <alignment horizontal="center"/>
    </xf>
    <xf numFmtId="0" fontId="9" fillId="9" borderId="9" xfId="0" applyFont="1" applyFill="1" applyBorder="1"/>
    <xf numFmtId="0" fontId="9" fillId="9" borderId="10" xfId="0" applyFont="1" applyFill="1" applyBorder="1"/>
    <xf numFmtId="0" fontId="32" fillId="9" borderId="69" xfId="0" applyFont="1" applyFill="1" applyBorder="1" applyAlignment="1">
      <alignment horizontal="center"/>
    </xf>
    <xf numFmtId="0" fontId="6" fillId="0" borderId="31" xfId="0" applyFont="1" applyFill="1" applyBorder="1"/>
    <xf numFmtId="0" fontId="3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10</xdr:row>
      <xdr:rowOff>0</xdr:rowOff>
    </xdr:from>
    <xdr:ext cx="7162800" cy="429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37</xdr:row>
      <xdr:rowOff>0</xdr:rowOff>
    </xdr:from>
    <xdr:ext cx="7153275" cy="43053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976C-DCB0-4490-AA68-1F700DEDE067}">
  <dimension ref="B3:H27"/>
  <sheetViews>
    <sheetView showGridLines="0" workbookViewId="0">
      <selection activeCell="K23" sqref="K23"/>
    </sheetView>
  </sheetViews>
  <sheetFormatPr defaultRowHeight="15.5" x14ac:dyDescent="0.35"/>
  <cols>
    <col min="2" max="2" width="21.6640625" customWidth="1"/>
    <col min="3" max="3" width="13.75" customWidth="1"/>
    <col min="4" max="4" width="12.6640625" customWidth="1"/>
    <col min="8" max="8" width="11.1640625" customWidth="1"/>
  </cols>
  <sheetData>
    <row r="3" spans="2:8" ht="15.5" customHeight="1" x14ac:dyDescent="0.35">
      <c r="B3" s="320" t="s">
        <v>233</v>
      </c>
      <c r="C3" s="320"/>
      <c r="D3" s="320"/>
      <c r="E3" s="320"/>
      <c r="F3" s="320"/>
      <c r="G3" s="320"/>
      <c r="H3" s="320"/>
    </row>
    <row r="4" spans="2:8" ht="15.5" customHeight="1" x14ac:dyDescent="0.35">
      <c r="B4" s="320"/>
      <c r="C4" s="320"/>
      <c r="D4" s="320"/>
      <c r="E4" s="320"/>
      <c r="F4" s="320"/>
      <c r="G4" s="320"/>
      <c r="H4" s="320"/>
    </row>
    <row r="6" spans="2:8" x14ac:dyDescent="0.35">
      <c r="B6" s="71" t="s">
        <v>232</v>
      </c>
    </row>
    <row r="8" spans="2:8" x14ac:dyDescent="0.35">
      <c r="B8" s="8" t="s">
        <v>231</v>
      </c>
    </row>
    <row r="9" spans="2:8" x14ac:dyDescent="0.35">
      <c r="B9" s="217" t="s">
        <v>230</v>
      </c>
      <c r="C9" s="217" t="s">
        <v>0</v>
      </c>
      <c r="D9" s="217" t="s">
        <v>1</v>
      </c>
    </row>
    <row r="10" spans="2:8" x14ac:dyDescent="0.35">
      <c r="B10" s="319" t="s">
        <v>2</v>
      </c>
      <c r="C10" s="243" t="s">
        <v>3</v>
      </c>
      <c r="D10" s="243">
        <v>35</v>
      </c>
    </row>
    <row r="11" spans="2:8" x14ac:dyDescent="0.35">
      <c r="B11" s="319" t="s">
        <v>4</v>
      </c>
      <c r="C11" s="243" t="s">
        <v>5</v>
      </c>
      <c r="D11" s="243">
        <v>10</v>
      </c>
    </row>
    <row r="12" spans="2:8" x14ac:dyDescent="0.35">
      <c r="B12" s="319" t="s">
        <v>6</v>
      </c>
      <c r="C12" s="243" t="s">
        <v>7</v>
      </c>
      <c r="D12" s="243">
        <v>8</v>
      </c>
    </row>
    <row r="13" spans="2:8" x14ac:dyDescent="0.35">
      <c r="B13" s="319" t="s">
        <v>8</v>
      </c>
      <c r="C13" s="243" t="s">
        <v>9</v>
      </c>
      <c r="D13" s="243">
        <v>36</v>
      </c>
    </row>
    <row r="15" spans="2:8" x14ac:dyDescent="0.35">
      <c r="B15" s="397" t="s">
        <v>234</v>
      </c>
    </row>
    <row r="16" spans="2:8" x14ac:dyDescent="0.35">
      <c r="B16" s="396" t="s">
        <v>246</v>
      </c>
    </row>
    <row r="17" spans="2:2" x14ac:dyDescent="0.35">
      <c r="B17" s="396" t="s">
        <v>235</v>
      </c>
    </row>
    <row r="18" spans="2:2" x14ac:dyDescent="0.35">
      <c r="B18" s="396" t="s">
        <v>236</v>
      </c>
    </row>
    <row r="19" spans="2:2" x14ac:dyDescent="0.35">
      <c r="B19" s="396" t="s">
        <v>237</v>
      </c>
    </row>
    <row r="20" spans="2:2" x14ac:dyDescent="0.35">
      <c r="B20" s="8" t="s">
        <v>238</v>
      </c>
    </row>
    <row r="21" spans="2:2" x14ac:dyDescent="0.35">
      <c r="B21" s="8" t="s">
        <v>239</v>
      </c>
    </row>
    <row r="22" spans="2:2" x14ac:dyDescent="0.35">
      <c r="B22" s="8" t="s">
        <v>240</v>
      </c>
    </row>
    <row r="23" spans="2:2" x14ac:dyDescent="0.35">
      <c r="B23" s="8" t="s">
        <v>241</v>
      </c>
    </row>
    <row r="24" spans="2:2" x14ac:dyDescent="0.35">
      <c r="B24" s="8" t="s">
        <v>242</v>
      </c>
    </row>
    <row r="25" spans="2:2" x14ac:dyDescent="0.35">
      <c r="B25" s="8" t="s">
        <v>243</v>
      </c>
    </row>
    <row r="26" spans="2:2" x14ac:dyDescent="0.35">
      <c r="B26" s="8" t="s">
        <v>244</v>
      </c>
    </row>
    <row r="27" spans="2:2" x14ac:dyDescent="0.35">
      <c r="B27" s="8" t="s">
        <v>245</v>
      </c>
    </row>
  </sheetData>
  <mergeCells count="1">
    <mergeCell ref="B3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93"/>
  <sheetViews>
    <sheetView showGridLines="0" workbookViewId="0">
      <selection activeCell="J5" sqref="J5"/>
    </sheetView>
  </sheetViews>
  <sheetFormatPr defaultColWidth="11.1640625" defaultRowHeight="15" customHeight="1" x14ac:dyDescent="0.35"/>
  <cols>
    <col min="1" max="1" width="10.25" style="198" customWidth="1"/>
    <col min="2" max="2" width="17.33203125" style="198" bestFit="1" customWidth="1"/>
    <col min="3" max="3" width="15.75" style="198" bestFit="1" customWidth="1"/>
    <col min="4" max="4" width="20.75" style="198" customWidth="1"/>
    <col min="5" max="5" width="16" style="198" customWidth="1"/>
    <col min="6" max="6" width="17.75" style="198" customWidth="1"/>
    <col min="7" max="7" width="11.83203125" style="198" bestFit="1" customWidth="1"/>
    <col min="8" max="8" width="9.83203125" style="198" customWidth="1"/>
    <col min="9" max="9" width="10.9140625" style="198" bestFit="1" customWidth="1"/>
    <col min="10" max="10" width="28.08203125" style="198" customWidth="1"/>
    <col min="11" max="11" width="10.9140625" style="198" customWidth="1"/>
    <col min="12" max="12" width="29.33203125" style="198" customWidth="1"/>
    <col min="13" max="13" width="20.6640625" style="198" customWidth="1"/>
    <col min="14" max="26" width="10.9140625" style="198" customWidth="1"/>
    <col min="27" max="16384" width="11.1640625" style="198"/>
  </cols>
  <sheetData>
    <row r="1" spans="1:26" ht="16" thickBot="1" x14ac:dyDescent="0.4">
      <c r="A1" s="275" t="s">
        <v>11</v>
      </c>
      <c r="B1" s="276" t="s">
        <v>186</v>
      </c>
      <c r="C1" s="276" t="s">
        <v>187</v>
      </c>
      <c r="D1" s="276"/>
      <c r="E1" s="276"/>
      <c r="F1" s="276"/>
      <c r="G1" s="276"/>
      <c r="H1" s="276"/>
      <c r="I1" s="277" t="s">
        <v>188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5" x14ac:dyDescent="0.35">
      <c r="A2" s="251">
        <v>2026</v>
      </c>
      <c r="B2" s="369" t="s">
        <v>189</v>
      </c>
      <c r="C2" s="268"/>
      <c r="D2" s="268"/>
      <c r="E2" s="374"/>
      <c r="F2" s="375"/>
      <c r="G2" s="375"/>
      <c r="H2" s="376"/>
      <c r="I2" s="269">
        <f t="shared" ref="I2:I6" si="0">C2-SUM(D2:H2)</f>
        <v>0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5" x14ac:dyDescent="0.35">
      <c r="A3" s="244">
        <v>2028</v>
      </c>
      <c r="B3" s="370"/>
      <c r="C3" s="262">
        <f>'Divya (daughter) - Education '!E14</f>
        <v>18953.850245793805</v>
      </c>
      <c r="D3" s="262"/>
      <c r="E3" s="377"/>
      <c r="F3" s="378"/>
      <c r="G3" s="378"/>
      <c r="H3" s="379"/>
      <c r="I3" s="263">
        <f t="shared" si="0"/>
        <v>18953.850245793805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5" x14ac:dyDescent="0.35">
      <c r="A4" s="244">
        <v>2029</v>
      </c>
      <c r="B4" s="370"/>
      <c r="C4" s="262">
        <f>'Divya (daughter) - Education '!E15</f>
        <v>20095.508097107755</v>
      </c>
      <c r="D4" s="262">
        <f>SUM(C4,C3,)</f>
        <v>39049.358342901556</v>
      </c>
      <c r="E4" s="377"/>
      <c r="F4" s="378"/>
      <c r="G4" s="378"/>
      <c r="H4" s="379"/>
      <c r="I4" s="263">
        <f t="shared" si="0"/>
        <v>-18953.850245793801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5" x14ac:dyDescent="0.35">
      <c r="A5" s="244">
        <v>2030</v>
      </c>
      <c r="B5" s="370"/>
      <c r="C5" s="262">
        <f>'Divya (daughter) - Education '!E16</f>
        <v>0</v>
      </c>
      <c r="D5" s="262"/>
      <c r="E5" s="377"/>
      <c r="F5" s="378"/>
      <c r="G5" s="378"/>
      <c r="H5" s="379"/>
      <c r="I5" s="263">
        <f t="shared" si="0"/>
        <v>0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" thickBot="1" x14ac:dyDescent="0.4">
      <c r="A6" s="264">
        <v>2031</v>
      </c>
      <c r="B6" s="371"/>
      <c r="C6" s="265"/>
      <c r="D6" s="266"/>
      <c r="E6" s="380"/>
      <c r="F6" s="381"/>
      <c r="G6" s="381"/>
      <c r="H6" s="382"/>
      <c r="I6" s="267">
        <f t="shared" si="0"/>
        <v>0</v>
      </c>
      <c r="J6" s="261"/>
      <c r="K6" s="261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" thickBot="1" x14ac:dyDescent="0.4">
      <c r="A7" s="33"/>
      <c r="B7" s="33"/>
      <c r="C7" s="26"/>
      <c r="D7" s="26"/>
      <c r="E7" s="26"/>
      <c r="F7" s="26"/>
      <c r="G7" s="26"/>
      <c r="H7" s="26"/>
      <c r="I7" s="16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s="300" customFormat="1" ht="31" x14ac:dyDescent="0.35">
      <c r="A8" s="294" t="s">
        <v>11</v>
      </c>
      <c r="B8" s="295" t="s">
        <v>186</v>
      </c>
      <c r="C8" s="295" t="s">
        <v>187</v>
      </c>
      <c r="D8" s="295"/>
      <c r="E8" s="295" t="s">
        <v>190</v>
      </c>
      <c r="F8" s="295" t="s">
        <v>191</v>
      </c>
      <c r="G8" s="295"/>
      <c r="H8" s="295"/>
      <c r="I8" s="296" t="s">
        <v>188</v>
      </c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</row>
    <row r="9" spans="1:26" ht="16" thickBot="1" x14ac:dyDescent="0.4">
      <c r="A9" s="163">
        <v>2034</v>
      </c>
      <c r="B9" s="282" t="s">
        <v>192</v>
      </c>
      <c r="C9" s="164">
        <f>0.5*1039269.11</f>
        <v>519634.55499999999</v>
      </c>
      <c r="D9" s="164"/>
      <c r="E9" s="166">
        <f>Investments!G56</f>
        <v>519634.55499999999</v>
      </c>
      <c r="F9" s="164">
        <f>C9-SUM(D9:E9)</f>
        <v>0</v>
      </c>
      <c r="G9" s="270"/>
      <c r="H9" s="270"/>
      <c r="I9" s="165">
        <f>C9-SUM(D9:H9)</f>
        <v>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5" x14ac:dyDescent="0.35">
      <c r="A10" s="33"/>
      <c r="B10" s="33"/>
      <c r="C10" s="162"/>
      <c r="D10" s="162"/>
      <c r="E10" s="167"/>
      <c r="F10" s="162"/>
      <c r="G10" s="162"/>
      <c r="H10" s="162"/>
      <c r="I10" s="16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5" x14ac:dyDescent="0.35">
      <c r="A11" s="278" t="s">
        <v>11</v>
      </c>
      <c r="B11" s="279" t="s">
        <v>186</v>
      </c>
      <c r="C11" s="279" t="s">
        <v>187</v>
      </c>
      <c r="D11" s="279" t="s">
        <v>161</v>
      </c>
      <c r="E11" s="280"/>
      <c r="F11" s="280"/>
      <c r="G11" s="280"/>
      <c r="H11" s="280"/>
      <c r="I11" s="281" t="s">
        <v>188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5" x14ac:dyDescent="0.35">
      <c r="A12" s="163">
        <v>2036</v>
      </c>
      <c r="B12" s="282" t="s">
        <v>193</v>
      </c>
      <c r="C12" s="164">
        <f>'Darsh (son) - Wedding '!C10*0.5</f>
        <v>600726.26738048415</v>
      </c>
      <c r="D12" s="164">
        <f>C12</f>
        <v>600726.26738048415</v>
      </c>
      <c r="E12" s="271"/>
      <c r="F12" s="270"/>
      <c r="G12" s="271"/>
      <c r="H12" s="270"/>
      <c r="I12" s="165">
        <f>C12-SUM(D12:H12)</f>
        <v>0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" thickBot="1" x14ac:dyDescent="0.4">
      <c r="A13" s="33"/>
      <c r="B13" s="33"/>
      <c r="C13" s="162"/>
      <c r="D13" s="162"/>
      <c r="E13" s="33"/>
      <c r="F13" s="162"/>
      <c r="G13" s="33"/>
      <c r="H13" s="162"/>
      <c r="I13" s="16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01" customFormat="1" ht="47" thickBot="1" x14ac:dyDescent="0.4">
      <c r="A14" s="289" t="s">
        <v>11</v>
      </c>
      <c r="B14" s="290" t="s">
        <v>186</v>
      </c>
      <c r="C14" s="290" t="s">
        <v>187</v>
      </c>
      <c r="D14" s="290" t="s">
        <v>194</v>
      </c>
      <c r="E14" s="290" t="s">
        <v>195</v>
      </c>
      <c r="F14" s="290"/>
      <c r="G14" s="290"/>
      <c r="H14" s="291"/>
      <c r="I14" s="292" t="s">
        <v>188</v>
      </c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</row>
    <row r="15" spans="1:26" ht="15.5" x14ac:dyDescent="0.35">
      <c r="A15" s="251">
        <v>2038</v>
      </c>
      <c r="B15" s="283" t="s">
        <v>196</v>
      </c>
      <c r="C15" s="268">
        <f>8000000</f>
        <v>8000000</v>
      </c>
      <c r="D15" s="274">
        <f>Investments!N61</f>
        <v>1970642.7435076945</v>
      </c>
      <c r="E15" s="268">
        <v>1849434.4117455063</v>
      </c>
      <c r="F15" s="383"/>
      <c r="G15" s="384"/>
      <c r="H15" s="385"/>
      <c r="I15" s="269">
        <f>C15-SUM(D15:H15)</f>
        <v>4179922.8447467992</v>
      </c>
      <c r="J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5" x14ac:dyDescent="0.35">
      <c r="A16" s="244"/>
      <c r="B16" s="284" t="s">
        <v>197</v>
      </c>
      <c r="C16" s="262">
        <f>C15-D15-E15</f>
        <v>4179922.8447467992</v>
      </c>
      <c r="D16" s="243"/>
      <c r="E16" s="243"/>
      <c r="F16" s="386"/>
      <c r="G16" s="387"/>
      <c r="H16" s="388"/>
      <c r="I16" s="245"/>
      <c r="J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5" x14ac:dyDescent="0.35">
      <c r="A17" s="244"/>
      <c r="B17" s="284" t="s">
        <v>198</v>
      </c>
      <c r="C17" s="302">
        <v>7.0000000000000007E-2</v>
      </c>
      <c r="D17" s="303"/>
      <c r="E17" s="303"/>
      <c r="F17" s="386"/>
      <c r="G17" s="387"/>
      <c r="H17" s="388"/>
      <c r="I17" s="245"/>
      <c r="J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5" x14ac:dyDescent="0.35">
      <c r="A18" s="244"/>
      <c r="B18" s="284" t="s">
        <v>199</v>
      </c>
      <c r="C18" s="243" t="s">
        <v>200</v>
      </c>
      <c r="D18" s="243"/>
      <c r="E18" s="217"/>
      <c r="F18" s="386"/>
      <c r="G18" s="387"/>
      <c r="H18" s="388"/>
      <c r="I18" s="272"/>
      <c r="J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thickBot="1" x14ac:dyDescent="0.4">
      <c r="A19" s="264"/>
      <c r="B19" s="285" t="s">
        <v>201</v>
      </c>
      <c r="C19" s="372">
        <v>28027</v>
      </c>
      <c r="D19" s="373"/>
      <c r="E19" s="250"/>
      <c r="F19" s="389"/>
      <c r="G19" s="390"/>
      <c r="H19" s="391"/>
      <c r="I19" s="273"/>
      <c r="J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thickBot="1" x14ac:dyDescent="0.4">
      <c r="A20" s="33"/>
      <c r="B20" s="33"/>
      <c r="C20" s="33"/>
      <c r="D20" s="33"/>
      <c r="E20" s="33"/>
      <c r="F20" s="33"/>
      <c r="G20" s="33"/>
      <c r="H20" s="33"/>
      <c r="I20" s="33"/>
      <c r="J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00" customFormat="1" ht="31" x14ac:dyDescent="0.35">
      <c r="A21" s="288"/>
      <c r="B21" s="297"/>
      <c r="C21" s="298" t="s">
        <v>13</v>
      </c>
      <c r="D21" s="298" t="s">
        <v>11</v>
      </c>
      <c r="E21" s="298" t="s">
        <v>202</v>
      </c>
      <c r="F21" s="299" t="s">
        <v>203</v>
      </c>
      <c r="G21" s="288"/>
      <c r="H21" s="288"/>
      <c r="I21" s="288"/>
      <c r="J21" s="288"/>
      <c r="R21" s="288"/>
      <c r="S21" s="288"/>
      <c r="T21" s="288"/>
      <c r="U21" s="288"/>
      <c r="V21" s="288"/>
      <c r="W21" s="288"/>
      <c r="X21" s="288"/>
      <c r="Y21" s="288"/>
      <c r="Z21" s="288"/>
    </row>
    <row r="22" spans="1:26" ht="15.75" customHeight="1" x14ac:dyDescent="0.35">
      <c r="A22" s="33"/>
      <c r="B22" s="286" t="s">
        <v>204</v>
      </c>
      <c r="C22" s="65">
        <v>60</v>
      </c>
      <c r="D22" s="65">
        <v>2044</v>
      </c>
      <c r="E22" s="168">
        <f>Investments!H82</f>
        <v>10132089.826608239</v>
      </c>
      <c r="F22" s="169">
        <f>Investments!T67</f>
        <v>3128049.6825535218</v>
      </c>
      <c r="G22" s="167">
        <f t="shared" ref="G22:G23" si="1">E22+F22</f>
        <v>13260139.509161761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35">
      <c r="A23" s="33"/>
      <c r="B23" s="287" t="s">
        <v>205</v>
      </c>
      <c r="C23" s="98">
        <v>70</v>
      </c>
      <c r="D23" s="98">
        <v>2054</v>
      </c>
      <c r="E23" s="171">
        <f>Investments!H92</f>
        <v>23750868.851639006</v>
      </c>
      <c r="F23" s="172">
        <f>Investments!T77</f>
        <v>17213503.601184815</v>
      </c>
      <c r="G23" s="167">
        <f t="shared" si="1"/>
        <v>40964372.452823818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3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3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3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3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3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3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3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3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3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3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3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3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3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3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3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3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3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3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3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3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3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3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3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3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3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3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3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3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3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3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3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3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3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3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3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3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3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3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3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3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3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3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3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3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3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3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3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3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3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3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3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3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3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3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3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3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3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3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3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3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3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3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3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3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3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3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3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3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3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3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3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3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3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3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3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3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3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3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3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3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3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3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3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3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3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3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3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3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3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3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3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3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3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3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3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3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3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3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3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3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3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3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3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3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3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3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3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3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3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3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3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3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3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3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3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3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3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3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3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3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3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3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3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3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3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3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3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3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3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3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3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3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3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3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3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3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3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3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3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3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3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3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3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3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3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3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3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3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3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3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3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3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3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3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3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3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3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3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3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3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3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3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3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3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3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3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3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3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3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3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3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3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3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3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3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3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3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3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3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3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3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3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3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3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3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3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3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3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3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3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3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3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3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3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3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3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3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3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3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3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3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3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3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3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3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3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3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3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3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3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3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3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3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3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3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3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3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3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3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3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3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3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3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3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3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3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3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3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3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3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3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3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3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3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3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3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3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3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3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3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3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3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3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3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3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3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3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3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3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3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3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3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3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3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3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3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3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3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3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3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3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3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3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3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3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3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3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3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3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3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3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3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3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3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3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3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3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3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3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3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3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3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3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3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3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3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3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3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3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3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3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3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3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3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3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3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3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3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3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3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3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3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3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3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3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3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3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3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3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3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3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3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3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3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3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3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3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3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3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3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3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3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3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3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3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3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3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3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3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3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3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3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3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3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3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3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3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3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3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3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3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3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3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3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3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3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3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3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3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3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3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3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3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3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3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3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3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3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3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3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3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3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3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3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3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3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3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3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3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3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3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3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3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3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3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3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3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3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3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3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3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3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3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3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3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3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3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3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3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3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3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3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3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3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3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3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3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3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3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3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3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3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3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3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3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3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3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3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3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3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3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3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3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3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3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3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3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3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3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3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3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3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3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3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3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3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3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3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3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3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3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3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3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3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3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3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3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3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3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3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3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3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3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3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3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3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3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3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3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3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3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3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3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3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3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3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3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3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3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3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3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3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3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3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3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3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3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3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3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3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3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3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3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3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3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3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3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3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3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3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3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3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3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3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3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3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3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3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3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3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3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3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3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3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3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3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3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3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3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3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3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3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3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3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3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3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3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3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3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3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3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3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3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3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3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3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3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3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3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3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3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3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3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3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3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3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3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3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3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3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3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3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3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3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3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3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3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3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3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3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3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3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3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3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3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3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3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3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3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3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3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3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3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3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3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3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3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3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3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3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3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3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3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3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3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3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3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3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3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3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3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3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3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3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3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3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3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3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3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3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3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3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3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3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3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3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3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3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3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3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3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3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3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3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3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3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3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3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3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3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3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3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3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3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3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3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3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3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3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3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3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3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3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3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3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3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3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3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3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3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3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3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3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3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3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3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3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3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3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3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3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3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3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3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3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3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3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3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3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3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3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3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3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3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3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3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3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3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3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3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3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3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3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3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3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3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3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3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3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3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3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3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3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3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3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3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3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3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3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3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3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3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3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3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3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3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3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3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3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3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3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3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3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3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3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3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3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3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3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3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3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3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3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3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3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3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3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3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3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3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3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3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3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3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3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3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3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3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3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3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3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3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3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3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3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3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3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3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3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3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3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3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3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3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3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3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3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3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3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3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3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3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3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3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3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3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3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3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3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3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3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3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3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3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3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3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3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3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3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3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3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3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3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3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3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3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3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3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3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3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3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3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3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3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3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3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3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3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3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3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3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3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3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3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3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3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3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3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3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3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3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3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3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3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3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3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3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</sheetData>
  <mergeCells count="4">
    <mergeCell ref="B2:B6"/>
    <mergeCell ref="C19:D19"/>
    <mergeCell ref="E2:H6"/>
    <mergeCell ref="F15:H1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showGridLines="0" workbookViewId="0">
      <selection activeCell="A11" sqref="A11"/>
    </sheetView>
  </sheetViews>
  <sheetFormatPr defaultColWidth="11.1640625" defaultRowHeight="15" customHeight="1" x14ac:dyDescent="0.35"/>
  <cols>
    <col min="1" max="1" width="67.4140625" customWidth="1"/>
    <col min="2" max="2" width="31.33203125" customWidth="1"/>
    <col min="3" max="3" width="28.58203125" customWidth="1"/>
    <col min="4" max="26" width="10.9140625" customWidth="1"/>
  </cols>
  <sheetData>
    <row r="1" spans="1:3" ht="15.5" x14ac:dyDescent="0.35">
      <c r="B1" s="304" t="s">
        <v>206</v>
      </c>
    </row>
    <row r="2" spans="1:3" ht="15.5" x14ac:dyDescent="0.35">
      <c r="A2" s="8" t="s">
        <v>207</v>
      </c>
      <c r="B2" s="126">
        <f>C13</f>
        <v>181904.60037091907</v>
      </c>
      <c r="C2" s="173" t="s">
        <v>208</v>
      </c>
    </row>
    <row r="3" spans="1:3" ht="15.5" x14ac:dyDescent="0.35">
      <c r="A3" s="8" t="s">
        <v>209</v>
      </c>
      <c r="B3" s="126">
        <v>200000</v>
      </c>
      <c r="C3" s="174" t="s">
        <v>210</v>
      </c>
    </row>
    <row r="4" spans="1:3" ht="17.5" x14ac:dyDescent="0.35">
      <c r="A4" s="8" t="s">
        <v>211</v>
      </c>
      <c r="B4" s="126">
        <v>80000</v>
      </c>
      <c r="C4" s="175"/>
    </row>
    <row r="5" spans="1:3" ht="17.5" x14ac:dyDescent="0.35">
      <c r="A5" s="24" t="s">
        <v>36</v>
      </c>
      <c r="B5" s="176">
        <f>SUM(B2:B4)</f>
        <v>461904.6003709191</v>
      </c>
      <c r="C5" s="177"/>
    </row>
    <row r="9" spans="1:3" ht="15.5" x14ac:dyDescent="0.35">
      <c r="A9" s="14"/>
      <c r="B9" s="306" t="s">
        <v>212</v>
      </c>
    </row>
    <row r="10" spans="1:3" ht="20" x14ac:dyDescent="0.4">
      <c r="A10" s="178"/>
      <c r="B10" s="179" t="s">
        <v>213</v>
      </c>
    </row>
    <row r="11" spans="1:3" ht="20" x14ac:dyDescent="0.4">
      <c r="A11" s="178"/>
      <c r="B11" s="179" t="s">
        <v>214</v>
      </c>
    </row>
    <row r="12" spans="1:3" ht="15.5" x14ac:dyDescent="0.35">
      <c r="B12" t="s">
        <v>215</v>
      </c>
    </row>
    <row r="13" spans="1:3" ht="20" x14ac:dyDescent="0.4">
      <c r="A13" s="180"/>
      <c r="B13" s="179" t="s">
        <v>216</v>
      </c>
      <c r="C13" s="305">
        <f>FV(0.1/12,168,-500,,0)</f>
        <v>181904.60037091907</v>
      </c>
    </row>
    <row r="14" spans="1:3" ht="20" x14ac:dyDescent="0.4">
      <c r="A14" s="180"/>
      <c r="B14" s="180"/>
    </row>
    <row r="15" spans="1:3" ht="20" x14ac:dyDescent="0.4">
      <c r="A15" s="180"/>
      <c r="B15" s="180"/>
    </row>
    <row r="16" spans="1:3" ht="20" x14ac:dyDescent="0.4">
      <c r="A16" s="180"/>
      <c r="B16" s="180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1000"/>
  <sheetViews>
    <sheetView showGridLines="0" tabSelected="1" workbookViewId="0">
      <selection activeCell="AA2" sqref="AA2:AB2"/>
    </sheetView>
  </sheetViews>
  <sheetFormatPr defaultColWidth="11.1640625" defaultRowHeight="15" customHeight="1" x14ac:dyDescent="0.35"/>
  <cols>
    <col min="1" max="1" width="10.9140625" customWidth="1"/>
    <col min="2" max="2" width="12.1640625" customWidth="1"/>
    <col min="3" max="3" width="10" customWidth="1"/>
    <col min="4" max="4" width="7" customWidth="1"/>
    <col min="5" max="5" width="16.1640625" customWidth="1"/>
    <col min="6" max="6" width="23.33203125" customWidth="1"/>
    <col min="7" max="7" width="26" customWidth="1"/>
    <col min="8" max="8" width="19.33203125" customWidth="1"/>
    <col min="9" max="9" width="11" customWidth="1"/>
    <col min="10" max="10" width="8" customWidth="1"/>
    <col min="11" max="11" width="23.33203125" customWidth="1"/>
    <col min="12" max="12" width="22.6640625" customWidth="1"/>
    <col min="13" max="13" width="23.6640625" customWidth="1"/>
    <col min="14" max="14" width="10" customWidth="1"/>
    <col min="15" max="15" width="7" customWidth="1"/>
    <col min="16" max="16" width="16.1640625" customWidth="1"/>
    <col min="17" max="17" width="23.33203125" customWidth="1"/>
    <col min="18" max="18" width="26" customWidth="1"/>
    <col min="19" max="19" width="19.33203125" customWidth="1"/>
    <col min="20" max="20" width="11" customWidth="1"/>
    <col min="21" max="21" width="9.4140625" customWidth="1"/>
    <col min="22" max="22" width="23.33203125" customWidth="1"/>
    <col min="23" max="23" width="21.6640625" customWidth="1"/>
    <col min="24" max="24" width="10.9140625" customWidth="1"/>
    <col min="25" max="25" width="16" customWidth="1"/>
    <col min="26" max="30" width="10.9140625" customWidth="1"/>
  </cols>
  <sheetData>
    <row r="1" spans="1:30" ht="15.5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ht="18.5" x14ac:dyDescent="0.45">
      <c r="A2" s="33"/>
      <c r="B2" s="392" t="s">
        <v>217</v>
      </c>
      <c r="C2" s="393"/>
      <c r="D2" s="393"/>
      <c r="E2" s="393"/>
      <c r="F2" s="393"/>
      <c r="G2" s="393"/>
      <c r="H2" s="393"/>
      <c r="I2" s="393"/>
      <c r="J2" s="393"/>
      <c r="K2" s="394"/>
      <c r="L2" s="181"/>
      <c r="M2" s="392" t="s">
        <v>218</v>
      </c>
      <c r="N2" s="393"/>
      <c r="O2" s="393"/>
      <c r="P2" s="393"/>
      <c r="Q2" s="393"/>
      <c r="R2" s="393"/>
      <c r="S2" s="393"/>
      <c r="T2" s="393"/>
      <c r="U2" s="393"/>
      <c r="V2" s="393"/>
      <c r="W2" s="394"/>
      <c r="X2" s="33"/>
      <c r="Y2" s="33"/>
      <c r="Z2" s="33"/>
      <c r="AA2" s="182" t="s">
        <v>146</v>
      </c>
      <c r="AB2" s="182" t="s">
        <v>219</v>
      </c>
      <c r="AC2" s="33"/>
      <c r="AD2" s="33"/>
    </row>
    <row r="3" spans="1:30" ht="15.5" x14ac:dyDescent="0.35">
      <c r="A3" s="33"/>
      <c r="B3" s="196"/>
      <c r="C3" s="199" t="s">
        <v>116</v>
      </c>
      <c r="D3" s="199" t="s">
        <v>117</v>
      </c>
      <c r="E3" s="199" t="s">
        <v>109</v>
      </c>
      <c r="F3" s="199" t="s">
        <v>118</v>
      </c>
      <c r="G3" s="199" t="s">
        <v>220</v>
      </c>
      <c r="H3" s="199" t="s">
        <v>120</v>
      </c>
      <c r="I3" s="199" t="s">
        <v>221</v>
      </c>
      <c r="J3" s="199" t="s">
        <v>121</v>
      </c>
      <c r="K3" s="315" t="s">
        <v>122</v>
      </c>
      <c r="L3" s="33"/>
      <c r="M3" s="196"/>
      <c r="N3" s="199" t="str">
        <f t="shared" ref="N3:V3" si="0">C3</f>
        <v>Education</v>
      </c>
      <c r="O3" s="199" t="str">
        <f t="shared" si="0"/>
        <v>Health</v>
      </c>
      <c r="P3" s="199" t="str">
        <f t="shared" si="0"/>
        <v>Food &amp; Beverages</v>
      </c>
      <c r="Q3" s="199" t="str">
        <f t="shared" si="0"/>
        <v>Recreation &amp; Amusement</v>
      </c>
      <c r="R3" s="199" t="str">
        <f t="shared" si="0"/>
        <v>Transport &amp;Communication</v>
      </c>
      <c r="S3" s="199" t="str">
        <f t="shared" si="0"/>
        <v>Clothing &amp; Footwear</v>
      </c>
      <c r="T3" s="199" t="str">
        <f t="shared" si="0"/>
        <v>Fuel &amp; Light</v>
      </c>
      <c r="U3" s="199" t="str">
        <f t="shared" si="0"/>
        <v>Rent</v>
      </c>
      <c r="V3" s="199" t="str">
        <f t="shared" si="0"/>
        <v xml:space="preserve">Real Residential Property </v>
      </c>
      <c r="W3" s="315" t="s">
        <v>123</v>
      </c>
      <c r="X3" s="33"/>
      <c r="Y3" s="33"/>
      <c r="Z3" s="33"/>
      <c r="AA3" s="184">
        <v>1965</v>
      </c>
      <c r="AB3" s="185">
        <v>0.12609999999999999</v>
      </c>
      <c r="AC3" s="33"/>
      <c r="AD3" s="33"/>
    </row>
    <row r="4" spans="1:30" ht="15.5" x14ac:dyDescent="0.35">
      <c r="A4" s="33"/>
      <c r="B4" s="80">
        <v>2014</v>
      </c>
      <c r="C4" s="65"/>
      <c r="D4" s="65">
        <v>110</v>
      </c>
      <c r="E4" s="65">
        <v>120</v>
      </c>
      <c r="F4" s="65">
        <v>110</v>
      </c>
      <c r="G4" s="65">
        <v>110</v>
      </c>
      <c r="H4" s="65">
        <v>116</v>
      </c>
      <c r="I4" s="65">
        <v>111</v>
      </c>
      <c r="J4" s="65"/>
      <c r="K4" s="95">
        <v>139</v>
      </c>
      <c r="L4" s="33"/>
      <c r="M4" s="80">
        <v>2014</v>
      </c>
      <c r="N4" s="65"/>
      <c r="O4" s="65"/>
      <c r="P4" s="65"/>
      <c r="Q4" s="65"/>
      <c r="R4" s="65"/>
      <c r="S4" s="65"/>
      <c r="T4" s="65"/>
      <c r="U4" s="65"/>
      <c r="V4" s="65"/>
      <c r="W4" s="95"/>
      <c r="X4" s="33"/>
      <c r="Y4" s="33"/>
      <c r="Z4" s="33"/>
      <c r="AA4" s="184">
        <v>1966</v>
      </c>
      <c r="AB4" s="185">
        <v>0.15459999999999999</v>
      </c>
      <c r="AC4" s="33"/>
      <c r="AD4" s="33"/>
    </row>
    <row r="5" spans="1:30" ht="15.5" x14ac:dyDescent="0.35">
      <c r="A5" s="33"/>
      <c r="B5" s="80">
        <v>2015</v>
      </c>
      <c r="C5" s="65"/>
      <c r="D5" s="65">
        <v>116</v>
      </c>
      <c r="E5" s="65">
        <v>123</v>
      </c>
      <c r="F5" s="65">
        <v>113</v>
      </c>
      <c r="G5" s="65">
        <v>109</v>
      </c>
      <c r="H5" s="65">
        <v>122</v>
      </c>
      <c r="I5" s="65">
        <v>116</v>
      </c>
      <c r="J5" s="65"/>
      <c r="K5" s="95">
        <v>154.5</v>
      </c>
      <c r="L5" s="33"/>
      <c r="M5" s="80">
        <v>2015</v>
      </c>
      <c r="N5" s="67"/>
      <c r="O5" s="67">
        <f t="shared" ref="O5:T5" si="1">D5/D4-1</f>
        <v>5.4545454545454453E-2</v>
      </c>
      <c r="P5" s="67">
        <f t="shared" si="1"/>
        <v>2.4999999999999911E-2</v>
      </c>
      <c r="Q5" s="67">
        <f t="shared" si="1"/>
        <v>2.7272727272727337E-2</v>
      </c>
      <c r="R5" s="67">
        <f t="shared" si="1"/>
        <v>-9.0909090909090384E-3</v>
      </c>
      <c r="S5" s="67">
        <f t="shared" si="1"/>
        <v>5.1724137931034475E-2</v>
      </c>
      <c r="T5" s="67">
        <f t="shared" si="1"/>
        <v>4.5045045045045029E-2</v>
      </c>
      <c r="U5" s="67"/>
      <c r="V5" s="67">
        <f t="shared" ref="V5:V13" si="2">K5/K4-1</f>
        <v>0.11151079136690645</v>
      </c>
      <c r="W5" s="186">
        <v>4.9069700000000001E-2</v>
      </c>
      <c r="X5" s="33"/>
      <c r="Y5" s="33"/>
      <c r="Z5" s="33"/>
      <c r="AA5" s="184">
        <v>1967</v>
      </c>
      <c r="AB5" s="185">
        <v>0.20200000000000001</v>
      </c>
      <c r="AC5" s="33"/>
      <c r="AD5" s="33"/>
    </row>
    <row r="6" spans="1:30" ht="15.5" x14ac:dyDescent="0.35">
      <c r="A6" s="33"/>
      <c r="B6" s="80">
        <v>2016</v>
      </c>
      <c r="C6" s="65"/>
      <c r="D6" s="65">
        <v>122</v>
      </c>
      <c r="E6" s="65">
        <v>126</v>
      </c>
      <c r="F6" s="65">
        <v>120</v>
      </c>
      <c r="G6" s="65">
        <v>111</v>
      </c>
      <c r="H6" s="65">
        <v>130</v>
      </c>
      <c r="I6" s="65">
        <v>122</v>
      </c>
      <c r="J6" s="65"/>
      <c r="K6" s="95">
        <v>160.5</v>
      </c>
      <c r="L6" s="33"/>
      <c r="M6" s="80">
        <v>2016</v>
      </c>
      <c r="N6" s="67"/>
      <c r="O6" s="67">
        <f t="shared" ref="O6:T6" si="3">D6/D5-1</f>
        <v>5.1724137931034475E-2</v>
      </c>
      <c r="P6" s="67">
        <f t="shared" si="3"/>
        <v>2.4390243902439046E-2</v>
      </c>
      <c r="Q6" s="67">
        <f t="shared" si="3"/>
        <v>6.1946902654867353E-2</v>
      </c>
      <c r="R6" s="67">
        <f t="shared" si="3"/>
        <v>1.8348623853210899E-2</v>
      </c>
      <c r="S6" s="67">
        <f t="shared" si="3"/>
        <v>6.5573770491803351E-2</v>
      </c>
      <c r="T6" s="67">
        <f t="shared" si="3"/>
        <v>5.1724137931034475E-2</v>
      </c>
      <c r="U6" s="67"/>
      <c r="V6" s="67">
        <f t="shared" si="2"/>
        <v>3.8834951456310662E-2</v>
      </c>
      <c r="W6" s="186">
        <v>4.9482199999999997E-2</v>
      </c>
      <c r="X6" s="33"/>
      <c r="Y6" s="33"/>
      <c r="Z6" s="33"/>
      <c r="AA6" s="184">
        <v>1968</v>
      </c>
      <c r="AB6" s="185">
        <v>0.4577</v>
      </c>
      <c r="AC6" s="33"/>
      <c r="AD6" s="33"/>
    </row>
    <row r="7" spans="1:30" ht="15.5" x14ac:dyDescent="0.35">
      <c r="A7" s="33"/>
      <c r="B7" s="80">
        <v>2017</v>
      </c>
      <c r="C7" s="65"/>
      <c r="D7" s="65">
        <v>128</v>
      </c>
      <c r="E7" s="65">
        <v>132</v>
      </c>
      <c r="F7" s="65">
        <v>124</v>
      </c>
      <c r="G7" s="65">
        <v>117</v>
      </c>
      <c r="H7" s="65">
        <v>136</v>
      </c>
      <c r="I7" s="65">
        <v>127</v>
      </c>
      <c r="J7" s="65"/>
      <c r="K7" s="95">
        <v>169</v>
      </c>
      <c r="L7" s="33"/>
      <c r="M7" s="80">
        <v>2017</v>
      </c>
      <c r="N7" s="67"/>
      <c r="O7" s="67">
        <f t="shared" ref="O7:T7" si="4">D7/D6-1</f>
        <v>4.9180327868852514E-2</v>
      </c>
      <c r="P7" s="67">
        <f t="shared" si="4"/>
        <v>4.7619047619047672E-2</v>
      </c>
      <c r="Q7" s="67">
        <f t="shared" si="4"/>
        <v>3.3333333333333437E-2</v>
      </c>
      <c r="R7" s="67">
        <f t="shared" si="4"/>
        <v>5.4054054054053946E-2</v>
      </c>
      <c r="S7" s="67">
        <f t="shared" si="4"/>
        <v>4.6153846153846212E-2</v>
      </c>
      <c r="T7" s="67">
        <f t="shared" si="4"/>
        <v>4.0983606557376984E-2</v>
      </c>
      <c r="U7" s="67"/>
      <c r="V7" s="67">
        <f t="shared" si="2"/>
        <v>5.2959501557632294E-2</v>
      </c>
      <c r="W7" s="186">
        <v>3.3281699999999997E-2</v>
      </c>
      <c r="X7" s="33"/>
      <c r="Y7" s="33"/>
      <c r="Z7" s="33"/>
      <c r="AA7" s="184">
        <v>1969</v>
      </c>
      <c r="AB7" s="185">
        <v>8.2900000000000001E-2</v>
      </c>
      <c r="AC7" s="33"/>
      <c r="AD7" s="33"/>
    </row>
    <row r="8" spans="1:30" ht="15.5" x14ac:dyDescent="0.35">
      <c r="A8" s="33"/>
      <c r="B8" s="80">
        <v>2018</v>
      </c>
      <c r="C8" s="65"/>
      <c r="D8" s="65">
        <v>133</v>
      </c>
      <c r="E8" s="65">
        <v>136</v>
      </c>
      <c r="F8" s="65">
        <v>130</v>
      </c>
      <c r="G8" s="65">
        <v>120</v>
      </c>
      <c r="H8" s="65">
        <v>141.5</v>
      </c>
      <c r="I8" s="65">
        <v>137</v>
      </c>
      <c r="J8" s="65"/>
      <c r="K8" s="95">
        <v>173</v>
      </c>
      <c r="L8" s="33"/>
      <c r="M8" s="80">
        <v>2018</v>
      </c>
      <c r="N8" s="67"/>
      <c r="O8" s="67">
        <f t="shared" ref="O8:T8" si="5">D8/D7-1</f>
        <v>3.90625E-2</v>
      </c>
      <c r="P8" s="67">
        <f t="shared" si="5"/>
        <v>3.0303030303030276E-2</v>
      </c>
      <c r="Q8" s="67">
        <f t="shared" si="5"/>
        <v>4.8387096774193505E-2</v>
      </c>
      <c r="R8" s="67">
        <f t="shared" si="5"/>
        <v>2.564102564102555E-2</v>
      </c>
      <c r="S8" s="67">
        <f t="shared" si="5"/>
        <v>4.0441176470588314E-2</v>
      </c>
      <c r="T8" s="67">
        <f t="shared" si="5"/>
        <v>7.8740157480315043E-2</v>
      </c>
      <c r="U8" s="67"/>
      <c r="V8" s="67">
        <f t="shared" si="2"/>
        <v>2.3668639053254337E-2</v>
      </c>
      <c r="W8" s="186">
        <v>3.9833E-2</v>
      </c>
      <c r="X8" s="33"/>
      <c r="Y8" s="33"/>
      <c r="Z8" s="33"/>
      <c r="AA8" s="184">
        <v>1970</v>
      </c>
      <c r="AB8" s="185">
        <v>4.4499999999999998E-2</v>
      </c>
      <c r="AC8" s="33"/>
      <c r="AD8" s="33"/>
    </row>
    <row r="9" spans="1:30" ht="15.5" x14ac:dyDescent="0.35">
      <c r="A9" s="33"/>
      <c r="B9" s="80">
        <v>2019</v>
      </c>
      <c r="C9" s="65"/>
      <c r="D9" s="65">
        <v>146</v>
      </c>
      <c r="E9" s="65">
        <v>138</v>
      </c>
      <c r="F9" s="65">
        <v>138</v>
      </c>
      <c r="G9" s="65">
        <v>123</v>
      </c>
      <c r="H9" s="65">
        <v>148</v>
      </c>
      <c r="I9" s="65">
        <v>139.69999999999999</v>
      </c>
      <c r="J9" s="65"/>
      <c r="K9" s="95">
        <v>177</v>
      </c>
      <c r="L9" s="33"/>
      <c r="M9" s="80">
        <v>2019</v>
      </c>
      <c r="N9" s="67"/>
      <c r="O9" s="67">
        <f t="shared" ref="O9:T9" si="6">D9/D8-1</f>
        <v>9.7744360902255689E-2</v>
      </c>
      <c r="P9" s="67">
        <f t="shared" si="6"/>
        <v>1.4705882352941124E-2</v>
      </c>
      <c r="Q9" s="67">
        <f t="shared" si="6"/>
        <v>6.1538461538461542E-2</v>
      </c>
      <c r="R9" s="67">
        <f t="shared" si="6"/>
        <v>2.4999999999999911E-2</v>
      </c>
      <c r="S9" s="67">
        <f t="shared" si="6"/>
        <v>4.5936395759717419E-2</v>
      </c>
      <c r="T9" s="67">
        <f t="shared" si="6"/>
        <v>1.9708029197080146E-2</v>
      </c>
      <c r="U9" s="67"/>
      <c r="V9" s="67">
        <f t="shared" si="2"/>
        <v>2.3121387283236983E-2</v>
      </c>
      <c r="W9" s="186">
        <v>3.7259E-2</v>
      </c>
      <c r="X9" s="33"/>
      <c r="Y9" s="33"/>
      <c r="Z9" s="33"/>
      <c r="AA9" s="184">
        <v>1971</v>
      </c>
      <c r="AB9" s="185">
        <v>4.7800000000000002E-2</v>
      </c>
      <c r="AC9" s="33"/>
      <c r="AD9" s="64"/>
    </row>
    <row r="10" spans="1:30" ht="15.5" x14ac:dyDescent="0.35">
      <c r="A10" s="33"/>
      <c r="B10" s="80">
        <v>2020</v>
      </c>
      <c r="C10" s="65"/>
      <c r="D10" s="65">
        <v>151</v>
      </c>
      <c r="E10" s="65">
        <v>144</v>
      </c>
      <c r="F10" s="65">
        <v>142</v>
      </c>
      <c r="G10" s="65">
        <v>130</v>
      </c>
      <c r="H10" s="65">
        <v>150</v>
      </c>
      <c r="I10" s="65">
        <v>144</v>
      </c>
      <c r="J10" s="65"/>
      <c r="K10" s="95">
        <v>171.5</v>
      </c>
      <c r="L10" s="33"/>
      <c r="M10" s="80">
        <v>2020</v>
      </c>
      <c r="N10" s="67"/>
      <c r="O10" s="67">
        <f t="shared" ref="O10:T10" si="7">D10/D9-1</f>
        <v>3.4246575342465668E-2</v>
      </c>
      <c r="P10" s="67">
        <f t="shared" si="7"/>
        <v>4.3478260869565188E-2</v>
      </c>
      <c r="Q10" s="67">
        <f t="shared" si="7"/>
        <v>2.8985507246376718E-2</v>
      </c>
      <c r="R10" s="67">
        <f t="shared" si="7"/>
        <v>5.6910569105691033E-2</v>
      </c>
      <c r="S10" s="67">
        <f t="shared" si="7"/>
        <v>1.3513513513513598E-2</v>
      </c>
      <c r="T10" s="67">
        <f t="shared" si="7"/>
        <v>3.0780243378668581E-2</v>
      </c>
      <c r="U10" s="67"/>
      <c r="V10" s="67">
        <f t="shared" si="2"/>
        <v>-3.1073446327683607E-2</v>
      </c>
      <c r="W10" s="186">
        <v>6.6234000000000001E-2</v>
      </c>
      <c r="X10" s="33"/>
      <c r="Y10" s="33"/>
      <c r="Z10" s="33"/>
      <c r="AA10" s="184">
        <v>1972</v>
      </c>
      <c r="AB10" s="185">
        <v>4.5600000000000002E-2</v>
      </c>
      <c r="AC10" s="33"/>
      <c r="AD10" s="33"/>
    </row>
    <row r="11" spans="1:30" ht="15.5" x14ac:dyDescent="0.35">
      <c r="A11" s="33"/>
      <c r="B11" s="80">
        <v>2021</v>
      </c>
      <c r="C11" s="65"/>
      <c r="D11" s="65">
        <v>160</v>
      </c>
      <c r="E11" s="65">
        <v>144</v>
      </c>
      <c r="F11" s="65">
        <v>150</v>
      </c>
      <c r="G11" s="65">
        <v>141.5</v>
      </c>
      <c r="H11" s="65">
        <v>155</v>
      </c>
      <c r="I11" s="65">
        <v>144</v>
      </c>
      <c r="J11" s="65"/>
      <c r="K11" s="95">
        <v>165</v>
      </c>
      <c r="L11" s="33"/>
      <c r="M11" s="80">
        <v>2021</v>
      </c>
      <c r="N11" s="67"/>
      <c r="O11" s="67">
        <f t="shared" ref="O11:T11" si="8">D11/D10-1</f>
        <v>5.9602649006622599E-2</v>
      </c>
      <c r="P11" s="67">
        <f t="shared" si="8"/>
        <v>0</v>
      </c>
      <c r="Q11" s="67">
        <f t="shared" si="8"/>
        <v>5.6338028169014009E-2</v>
      </c>
      <c r="R11" s="67">
        <f t="shared" si="8"/>
        <v>8.8461538461538369E-2</v>
      </c>
      <c r="S11" s="67">
        <f t="shared" si="8"/>
        <v>3.3333333333333437E-2</v>
      </c>
      <c r="T11" s="67">
        <f t="shared" si="8"/>
        <v>0</v>
      </c>
      <c r="U11" s="67"/>
      <c r="V11" s="67">
        <f t="shared" si="2"/>
        <v>-3.790087463556846E-2</v>
      </c>
      <c r="W11" s="186">
        <v>5.1314100000000001E-2</v>
      </c>
      <c r="X11" s="33"/>
      <c r="Y11" s="33"/>
      <c r="Z11" s="33"/>
      <c r="AA11" s="184">
        <v>1973</v>
      </c>
      <c r="AB11" s="185">
        <v>0.31940000000000002</v>
      </c>
      <c r="AC11" s="33"/>
      <c r="AD11" s="33"/>
    </row>
    <row r="12" spans="1:30" ht="15.5" x14ac:dyDescent="0.35">
      <c r="A12" s="33"/>
      <c r="B12" s="80">
        <v>2022</v>
      </c>
      <c r="C12" s="65">
        <v>162.69999999999999</v>
      </c>
      <c r="D12" s="65">
        <v>171</v>
      </c>
      <c r="E12" s="65">
        <v>150</v>
      </c>
      <c r="F12" s="65">
        <v>161</v>
      </c>
      <c r="G12" s="65">
        <v>156</v>
      </c>
      <c r="H12" s="65">
        <v>169</v>
      </c>
      <c r="I12" s="65">
        <v>163.5</v>
      </c>
      <c r="J12" s="65"/>
      <c r="K12" s="95">
        <v>162</v>
      </c>
      <c r="L12" s="33"/>
      <c r="M12" s="80">
        <v>2022</v>
      </c>
      <c r="N12" s="67"/>
      <c r="O12" s="67">
        <f t="shared" ref="O12:T12" si="9">D12/D11-1</f>
        <v>6.8750000000000089E-2</v>
      </c>
      <c r="P12" s="67">
        <f t="shared" si="9"/>
        <v>4.1666666666666741E-2</v>
      </c>
      <c r="Q12" s="67">
        <f t="shared" si="9"/>
        <v>7.333333333333325E-2</v>
      </c>
      <c r="R12" s="67">
        <f t="shared" si="9"/>
        <v>0.10247349823321561</v>
      </c>
      <c r="S12" s="67">
        <f t="shared" si="9"/>
        <v>9.0322580645161299E-2</v>
      </c>
      <c r="T12" s="67">
        <f t="shared" si="9"/>
        <v>0.13541666666666674</v>
      </c>
      <c r="U12" s="67"/>
      <c r="V12" s="67">
        <f t="shared" si="2"/>
        <v>-1.8181818181818188E-2</v>
      </c>
      <c r="W12" s="186">
        <v>6.6903000000000004E-2</v>
      </c>
      <c r="X12" s="33" t="s">
        <v>222</v>
      </c>
      <c r="Y12" s="33"/>
      <c r="Z12" s="33"/>
      <c r="AA12" s="184">
        <v>1974</v>
      </c>
      <c r="AB12" s="185">
        <v>0.59889999999999999</v>
      </c>
      <c r="AC12" s="33"/>
      <c r="AD12" s="33"/>
    </row>
    <row r="13" spans="1:30" ht="15.5" x14ac:dyDescent="0.35">
      <c r="A13" s="33"/>
      <c r="B13" s="80">
        <v>2023</v>
      </c>
      <c r="C13" s="65">
        <v>172.5</v>
      </c>
      <c r="D13" s="65">
        <v>182</v>
      </c>
      <c r="E13" s="65">
        <v>175</v>
      </c>
      <c r="F13" s="65">
        <v>170</v>
      </c>
      <c r="G13" s="65">
        <v>163</v>
      </c>
      <c r="H13" s="65">
        <v>185</v>
      </c>
      <c r="I13" s="65">
        <v>182</v>
      </c>
      <c r="J13" s="65"/>
      <c r="K13" s="95">
        <v>158</v>
      </c>
      <c r="L13" s="33"/>
      <c r="M13" s="84">
        <v>2023</v>
      </c>
      <c r="N13" s="187">
        <f t="shared" ref="N13:T13" si="10">C13/C12-1</f>
        <v>6.0233558696988432E-2</v>
      </c>
      <c r="O13" s="187">
        <f t="shared" si="10"/>
        <v>6.4327485380117011E-2</v>
      </c>
      <c r="P13" s="187">
        <f t="shared" si="10"/>
        <v>0.16666666666666674</v>
      </c>
      <c r="Q13" s="187">
        <f t="shared" si="10"/>
        <v>5.5900621118012417E-2</v>
      </c>
      <c r="R13" s="187">
        <f t="shared" si="10"/>
        <v>4.4871794871794934E-2</v>
      </c>
      <c r="S13" s="187">
        <f t="shared" si="10"/>
        <v>9.4674556213017791E-2</v>
      </c>
      <c r="T13" s="187">
        <f t="shared" si="10"/>
        <v>0.11314984709480114</v>
      </c>
      <c r="U13" s="187"/>
      <c r="V13" s="187">
        <f t="shared" si="2"/>
        <v>-2.4691358024691357E-2</v>
      </c>
      <c r="W13" s="99"/>
      <c r="X13" s="33"/>
      <c r="Y13" s="33"/>
      <c r="Z13" s="33"/>
      <c r="AA13" s="184">
        <v>1975</v>
      </c>
      <c r="AB13" s="185">
        <v>6.5000000000000002E-2</v>
      </c>
      <c r="AC13" s="33"/>
      <c r="AD13" s="33"/>
    </row>
    <row r="14" spans="1:30" ht="15.5" x14ac:dyDescent="0.35">
      <c r="A14" s="33"/>
      <c r="B14" s="170" t="s">
        <v>223</v>
      </c>
      <c r="C14" s="98"/>
      <c r="D14" s="98"/>
      <c r="E14" s="98"/>
      <c r="F14" s="98"/>
      <c r="G14" s="98"/>
      <c r="H14" s="98"/>
      <c r="I14" s="98"/>
      <c r="J14" s="98"/>
      <c r="K14" s="99"/>
      <c r="L14" s="33"/>
      <c r="M14" s="26"/>
      <c r="N14" s="33"/>
      <c r="O14" s="33"/>
      <c r="P14" s="33"/>
      <c r="Q14" s="33"/>
      <c r="R14" s="33"/>
      <c r="S14" s="33"/>
      <c r="T14" s="33"/>
      <c r="U14" s="33"/>
      <c r="V14" s="188"/>
      <c r="W14" s="33"/>
      <c r="X14" s="33"/>
      <c r="Y14" s="33"/>
      <c r="Z14" s="33"/>
      <c r="AA14" s="184">
        <v>1976</v>
      </c>
      <c r="AB14" s="185">
        <v>-0.22309999999999999</v>
      </c>
      <c r="AC14" s="33"/>
      <c r="AD14" s="33"/>
    </row>
    <row r="15" spans="1:30" ht="16" thickBot="1" x14ac:dyDescent="0.4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26" t="s">
        <v>224</v>
      </c>
      <c r="N15" s="189"/>
      <c r="O15" s="189"/>
      <c r="P15" s="189">
        <f t="shared" ref="P15:T15" si="11">AVERAGE(P5:P13)</f>
        <v>4.3758866486706301E-2</v>
      </c>
      <c r="Q15" s="189">
        <f t="shared" si="11"/>
        <v>4.9670667937813287E-2</v>
      </c>
      <c r="R15" s="189">
        <f t="shared" si="11"/>
        <v>4.5185577236624579E-2</v>
      </c>
      <c r="S15" s="190">
        <f t="shared" si="11"/>
        <v>5.3519256723557319E-2</v>
      </c>
      <c r="T15" s="189">
        <f t="shared" si="11"/>
        <v>5.7283081483443125E-2</v>
      </c>
      <c r="U15" s="189"/>
      <c r="V15" s="190">
        <v>0.05</v>
      </c>
      <c r="W15" s="189"/>
      <c r="X15" s="33"/>
      <c r="Y15" s="33"/>
      <c r="Z15" s="33"/>
      <c r="AA15" s="184">
        <v>1977</v>
      </c>
      <c r="AB15" s="185">
        <v>0.1178</v>
      </c>
      <c r="AC15" s="33"/>
      <c r="AD15" s="33"/>
    </row>
    <row r="16" spans="1:30" ht="19" thickBot="1" x14ac:dyDescent="0.5">
      <c r="A16" s="33"/>
      <c r="B16" s="395" t="s">
        <v>225</v>
      </c>
      <c r="C16" s="322"/>
      <c r="D16" s="322"/>
      <c r="E16" s="322"/>
      <c r="F16" s="322"/>
      <c r="G16" s="322"/>
      <c r="H16" s="322"/>
      <c r="I16" s="322"/>
      <c r="J16" s="322"/>
      <c r="K16" s="323"/>
      <c r="L16" s="181"/>
      <c r="M16" s="392" t="s">
        <v>106</v>
      </c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4"/>
      <c r="Y16" s="33"/>
      <c r="Z16" s="33"/>
      <c r="AA16" s="184">
        <v>1978</v>
      </c>
      <c r="AB16" s="185">
        <v>0.34320000000000001</v>
      </c>
      <c r="AC16" s="33"/>
      <c r="AD16" s="33"/>
    </row>
    <row r="17" spans="1:30" ht="15.5" x14ac:dyDescent="0.35">
      <c r="A17" s="33"/>
      <c r="B17" s="316"/>
      <c r="C17" s="317" t="s">
        <v>116</v>
      </c>
      <c r="D17" s="317" t="s">
        <v>117</v>
      </c>
      <c r="E17" s="317" t="s">
        <v>109</v>
      </c>
      <c r="F17" s="317" t="s">
        <v>118</v>
      </c>
      <c r="G17" s="317" t="s">
        <v>220</v>
      </c>
      <c r="H17" s="317" t="s">
        <v>120</v>
      </c>
      <c r="I17" s="317" t="s">
        <v>221</v>
      </c>
      <c r="J17" s="317" t="s">
        <v>121</v>
      </c>
      <c r="K17" s="318" t="s">
        <v>122</v>
      </c>
      <c r="L17" s="33"/>
      <c r="M17" s="196"/>
      <c r="N17" s="313" t="str">
        <f t="shared" ref="N17:V17" si="12">C17</f>
        <v>Education</v>
      </c>
      <c r="O17" s="313" t="str">
        <f t="shared" si="12"/>
        <v>Health</v>
      </c>
      <c r="P17" s="313" t="str">
        <f t="shared" si="12"/>
        <v>Food &amp; Beverages</v>
      </c>
      <c r="Q17" s="313" t="str">
        <f t="shared" si="12"/>
        <v>Recreation &amp; Amusement</v>
      </c>
      <c r="R17" s="313" t="str">
        <f t="shared" si="12"/>
        <v>Transport &amp;Communication</v>
      </c>
      <c r="S17" s="313" t="str">
        <f t="shared" si="12"/>
        <v>Clothing &amp; Footwear</v>
      </c>
      <c r="T17" s="313" t="str">
        <f t="shared" si="12"/>
        <v>Fuel &amp; Light</v>
      </c>
      <c r="U17" s="313" t="str">
        <f t="shared" si="12"/>
        <v>Rent</v>
      </c>
      <c r="V17" s="314" t="str">
        <f t="shared" si="12"/>
        <v xml:space="preserve">Real Residential Property </v>
      </c>
      <c r="W17" s="313" t="s">
        <v>123</v>
      </c>
      <c r="X17" s="314" t="s">
        <v>226</v>
      </c>
      <c r="Y17" s="33"/>
      <c r="Z17" s="33"/>
      <c r="AA17" s="184">
        <v>1979</v>
      </c>
      <c r="AB17" s="185">
        <v>0.31330000000000002</v>
      </c>
      <c r="AC17" s="33"/>
      <c r="AD17" s="33"/>
    </row>
    <row r="18" spans="1:30" ht="15.5" x14ac:dyDescent="0.35">
      <c r="A18" s="33"/>
      <c r="B18" s="307">
        <v>2024</v>
      </c>
      <c r="C18" s="191">
        <f>C13*(1+N18)</f>
        <v>182.89028887523051</v>
      </c>
      <c r="D18" s="192">
        <f t="shared" ref="D18:I18" si="13">FORECAST($B18,D$4:D$13,$B$4:$B$13)</f>
        <v>185.39999999999964</v>
      </c>
      <c r="E18" s="192">
        <f t="shared" si="13"/>
        <v>165.86666666666679</v>
      </c>
      <c r="F18" s="192">
        <f t="shared" si="13"/>
        <v>172.0666666666657</v>
      </c>
      <c r="G18" s="192">
        <f t="shared" si="13"/>
        <v>161.39999999999964</v>
      </c>
      <c r="H18" s="192">
        <f t="shared" si="13"/>
        <v>182.69999999999891</v>
      </c>
      <c r="I18" s="192">
        <f t="shared" si="13"/>
        <v>176.45999999999913</v>
      </c>
      <c r="J18" s="192"/>
      <c r="K18" s="308">
        <f>K13*(1+V18)</f>
        <v>160.42701646894639</v>
      </c>
      <c r="L18" s="193"/>
      <c r="M18" s="80">
        <v>2024</v>
      </c>
      <c r="N18" s="194">
        <f t="shared" ref="N18:N48" si="14">$N$13</f>
        <v>6.0233558696988432E-2</v>
      </c>
      <c r="O18" s="194">
        <f t="shared" ref="O18:R18" si="15">D18/D13-1</f>
        <v>1.8681318681316617E-2</v>
      </c>
      <c r="P18" s="194">
        <f t="shared" si="15"/>
        <v>-5.2190476190475454E-2</v>
      </c>
      <c r="Q18" s="194">
        <f t="shared" si="15"/>
        <v>1.2156862745092312E-2</v>
      </c>
      <c r="R18" s="194">
        <f t="shared" si="15"/>
        <v>-9.8159509202476736E-3</v>
      </c>
      <c r="S18" s="67"/>
      <c r="T18" s="194">
        <f>I18/I13-1</f>
        <v>-3.0439560439565194E-2</v>
      </c>
      <c r="U18" s="194">
        <f t="shared" ref="U18:U48" si="16">$W$12</f>
        <v>6.6903000000000004E-2</v>
      </c>
      <c r="V18" s="67">
        <f t="shared" ref="V18:V48" si="17">AVERAGE($V$5:$V$13)</f>
        <v>1.536086372750879E-2</v>
      </c>
      <c r="W18" s="195">
        <f t="shared" ref="W18:W48" si="18">AVERAGE($W$7:$W$12)</f>
        <v>4.9137466666666664E-2</v>
      </c>
      <c r="X18" s="195">
        <f t="shared" ref="X18:X48" si="19">AB61</f>
        <v>0.1179</v>
      </c>
      <c r="Y18" s="11"/>
      <c r="Z18" s="33"/>
      <c r="AA18" s="184">
        <v>1980</v>
      </c>
      <c r="AB18" s="185">
        <v>0.3503</v>
      </c>
      <c r="AC18" s="33"/>
      <c r="AD18" s="33"/>
    </row>
    <row r="19" spans="1:30" ht="15.5" x14ac:dyDescent="0.35">
      <c r="A19" s="33"/>
      <c r="B19" s="307">
        <v>2025</v>
      </c>
      <c r="C19" s="191">
        <f t="shared" ref="C19:C48" si="20">C18*(1+N19)</f>
        <v>193.90642182530587</v>
      </c>
      <c r="D19" s="192">
        <f t="shared" ref="D19:I19" si="21">FORECAST($B19,D$4:D$13,$B$4:$B$13)</f>
        <v>193.30909090909154</v>
      </c>
      <c r="E19" s="192">
        <f t="shared" si="21"/>
        <v>170.78787878787807</v>
      </c>
      <c r="F19" s="192">
        <f t="shared" si="21"/>
        <v>178.66060606060455</v>
      </c>
      <c r="G19" s="192">
        <f t="shared" si="21"/>
        <v>167.4636363636364</v>
      </c>
      <c r="H19" s="192">
        <f t="shared" si="21"/>
        <v>189.50909090909045</v>
      </c>
      <c r="I19" s="192">
        <f t="shared" si="21"/>
        <v>183.34000000000015</v>
      </c>
      <c r="J19" s="192"/>
      <c r="K19" s="308">
        <f t="shared" ref="K19:K48" si="22">K18*(1+V19)</f>
        <v>162.89131400713671</v>
      </c>
      <c r="L19" s="193"/>
      <c r="M19" s="80">
        <v>2025</v>
      </c>
      <c r="N19" s="194">
        <f t="shared" si="14"/>
        <v>6.0233558696988432E-2</v>
      </c>
      <c r="O19" s="194">
        <f t="shared" ref="O19:R19" si="23">D19/D18-1</f>
        <v>4.265960576640726E-2</v>
      </c>
      <c r="P19" s="194">
        <f t="shared" si="23"/>
        <v>2.9669687225952313E-2</v>
      </c>
      <c r="Q19" s="194">
        <f t="shared" si="23"/>
        <v>3.8322003451795261E-2</v>
      </c>
      <c r="R19" s="194">
        <f t="shared" si="23"/>
        <v>3.7568998535543852E-2</v>
      </c>
      <c r="S19" s="67"/>
      <c r="T19" s="194">
        <f t="shared" ref="T19:T48" si="24">I19/I18-1</f>
        <v>3.8989006007033034E-2</v>
      </c>
      <c r="U19" s="194">
        <f t="shared" si="16"/>
        <v>6.6903000000000004E-2</v>
      </c>
      <c r="V19" s="67">
        <f t="shared" si="17"/>
        <v>1.536086372750879E-2</v>
      </c>
      <c r="W19" s="195">
        <f t="shared" si="18"/>
        <v>4.9137466666666664E-2</v>
      </c>
      <c r="X19" s="195">
        <f t="shared" si="19"/>
        <v>0.1163</v>
      </c>
      <c r="Y19" s="47"/>
      <c r="Z19" s="33"/>
      <c r="AA19" s="184">
        <v>1981</v>
      </c>
      <c r="AB19" s="185">
        <v>0.30259999999999998</v>
      </c>
      <c r="AC19" s="33"/>
      <c r="AD19" s="33"/>
    </row>
    <row r="20" spans="1:30" ht="15.5" x14ac:dyDescent="0.35">
      <c r="A20" s="33"/>
      <c r="B20" s="307">
        <v>2026</v>
      </c>
      <c r="C20" s="191">
        <f t="shared" si="20"/>
        <v>205.58609566604343</v>
      </c>
      <c r="D20" s="192">
        <f t="shared" ref="D20:I20" si="25">FORECAST($B20,D$4:D$13,$B$4:$B$13)</f>
        <v>201.21818181818162</v>
      </c>
      <c r="E20" s="192">
        <f t="shared" si="25"/>
        <v>175.70909090909117</v>
      </c>
      <c r="F20" s="192">
        <f t="shared" si="25"/>
        <v>185.2545454545434</v>
      </c>
      <c r="G20" s="192">
        <f t="shared" si="25"/>
        <v>173.52727272727316</v>
      </c>
      <c r="H20" s="192">
        <f t="shared" si="25"/>
        <v>196.31818181818198</v>
      </c>
      <c r="I20" s="192">
        <f t="shared" si="25"/>
        <v>190.21999999999935</v>
      </c>
      <c r="J20" s="192"/>
      <c r="K20" s="308">
        <f t="shared" si="22"/>
        <v>165.3934652839952</v>
      </c>
      <c r="L20" s="193"/>
      <c r="M20" s="80">
        <v>2026</v>
      </c>
      <c r="N20" s="194">
        <f t="shared" si="14"/>
        <v>6.0233558696988432E-2</v>
      </c>
      <c r="O20" s="194">
        <f t="shared" ref="O20:R20" si="26">D20/D19-1</f>
        <v>4.091422121895727E-2</v>
      </c>
      <c r="P20" s="194">
        <f t="shared" si="26"/>
        <v>2.8814762242731273E-2</v>
      </c>
      <c r="Q20" s="194">
        <f t="shared" si="26"/>
        <v>3.6907629159738109E-2</v>
      </c>
      <c r="R20" s="194">
        <f t="shared" si="26"/>
        <v>3.620867488193058E-2</v>
      </c>
      <c r="S20" s="67"/>
      <c r="T20" s="194">
        <f t="shared" si="24"/>
        <v>3.7525908148790199E-2</v>
      </c>
      <c r="U20" s="194">
        <f t="shared" si="16"/>
        <v>6.6903000000000004E-2</v>
      </c>
      <c r="V20" s="67">
        <f t="shared" si="17"/>
        <v>1.536086372750879E-2</v>
      </c>
      <c r="W20" s="195">
        <f t="shared" si="18"/>
        <v>4.9137466666666664E-2</v>
      </c>
      <c r="X20" s="195">
        <f t="shared" si="19"/>
        <v>0.1163</v>
      </c>
      <c r="Y20" s="47"/>
      <c r="Z20" s="33"/>
      <c r="AA20" s="184">
        <v>1982</v>
      </c>
      <c r="AB20" s="185">
        <v>-0.09</v>
      </c>
      <c r="AC20" s="33"/>
      <c r="AD20" s="33"/>
    </row>
    <row r="21" spans="1:30" ht="15.75" customHeight="1" x14ac:dyDescent="0.35">
      <c r="A21" s="33"/>
      <c r="B21" s="307">
        <v>2027</v>
      </c>
      <c r="C21" s="191">
        <f t="shared" si="20"/>
        <v>217.96927782662874</v>
      </c>
      <c r="D21" s="192">
        <f t="shared" ref="D21:I21" si="27">FORECAST($B21,D$4:D$13,$B$4:$B$13)</f>
        <v>209.1272727272717</v>
      </c>
      <c r="E21" s="192">
        <f t="shared" si="27"/>
        <v>180.63030303030246</v>
      </c>
      <c r="F21" s="192">
        <f t="shared" si="27"/>
        <v>191.84848484848408</v>
      </c>
      <c r="G21" s="192">
        <f t="shared" si="27"/>
        <v>179.59090909090992</v>
      </c>
      <c r="H21" s="192">
        <f t="shared" si="27"/>
        <v>203.1272727272717</v>
      </c>
      <c r="I21" s="192">
        <f t="shared" si="27"/>
        <v>197.10000000000036</v>
      </c>
      <c r="J21" s="192"/>
      <c r="K21" s="308">
        <f t="shared" si="22"/>
        <v>167.93405176564312</v>
      </c>
      <c r="L21" s="193"/>
      <c r="M21" s="80">
        <v>2027</v>
      </c>
      <c r="N21" s="194">
        <f t="shared" si="14"/>
        <v>6.0233558696988432E-2</v>
      </c>
      <c r="O21" s="194">
        <f t="shared" ref="O21:R21" si="28">D21/D20-1</f>
        <v>3.9306044998640655E-2</v>
      </c>
      <c r="P21" s="194">
        <f t="shared" si="28"/>
        <v>2.8007726269310806E-2</v>
      </c>
      <c r="Q21" s="194">
        <f t="shared" si="28"/>
        <v>3.5593941178402311E-2</v>
      </c>
      <c r="R21" s="194">
        <f t="shared" si="28"/>
        <v>3.4943419949708732E-2</v>
      </c>
      <c r="S21" s="67"/>
      <c r="T21" s="194">
        <f t="shared" si="24"/>
        <v>3.6168646829991768E-2</v>
      </c>
      <c r="U21" s="194">
        <f t="shared" si="16"/>
        <v>6.6903000000000004E-2</v>
      </c>
      <c r="V21" s="67">
        <f t="shared" si="17"/>
        <v>1.536086372750879E-2</v>
      </c>
      <c r="W21" s="195">
        <f t="shared" si="18"/>
        <v>4.9137466666666664E-2</v>
      </c>
      <c r="X21" s="195">
        <f t="shared" si="19"/>
        <v>0.1163</v>
      </c>
      <c r="Y21" s="47"/>
      <c r="Z21" s="33"/>
      <c r="AA21" s="184">
        <v>1983</v>
      </c>
      <c r="AB21" s="185">
        <v>0.09</v>
      </c>
      <c r="AC21" s="33"/>
      <c r="AD21" s="33"/>
    </row>
    <row r="22" spans="1:30" ht="15.75" customHeight="1" x14ac:dyDescent="0.35">
      <c r="A22" s="33"/>
      <c r="B22" s="307">
        <v>2028</v>
      </c>
      <c r="C22" s="191">
        <f t="shared" si="20"/>
        <v>231.09834311673916</v>
      </c>
      <c r="D22" s="192">
        <f t="shared" ref="D22:I22" si="29">FORECAST($B22,D$4:D$13,$B$4:$B$13)</f>
        <v>217.0363636363636</v>
      </c>
      <c r="E22" s="192">
        <f t="shared" si="29"/>
        <v>185.55151515151556</v>
      </c>
      <c r="F22" s="192">
        <f t="shared" si="29"/>
        <v>198.44242424242293</v>
      </c>
      <c r="G22" s="192">
        <f t="shared" si="29"/>
        <v>185.65454545454486</v>
      </c>
      <c r="H22" s="192">
        <f t="shared" si="29"/>
        <v>209.93636363636324</v>
      </c>
      <c r="I22" s="192">
        <f t="shared" si="29"/>
        <v>203.97999999999956</v>
      </c>
      <c r="J22" s="192"/>
      <c r="K22" s="308">
        <f t="shared" si="22"/>
        <v>170.51366385002359</v>
      </c>
      <c r="L22" s="193"/>
      <c r="M22" s="80">
        <v>2028</v>
      </c>
      <c r="N22" s="194">
        <f t="shared" si="14"/>
        <v>6.0233558696988432E-2</v>
      </c>
      <c r="O22" s="194">
        <f t="shared" ref="O22:R22" si="30">D22/D21-1</f>
        <v>3.7819509650500516E-2</v>
      </c>
      <c r="P22" s="194">
        <f t="shared" si="30"/>
        <v>2.7244665145623514E-2</v>
      </c>
      <c r="Q22" s="194">
        <f t="shared" si="30"/>
        <v>3.4370557573840221E-2</v>
      </c>
      <c r="R22" s="194">
        <f t="shared" si="30"/>
        <v>3.3763604150839788E-2</v>
      </c>
      <c r="S22" s="67"/>
      <c r="T22" s="194">
        <f t="shared" si="24"/>
        <v>3.4906139015723925E-2</v>
      </c>
      <c r="U22" s="194">
        <f t="shared" si="16"/>
        <v>6.6903000000000004E-2</v>
      </c>
      <c r="V22" s="67">
        <f t="shared" si="17"/>
        <v>1.536086372750879E-2</v>
      </c>
      <c r="W22" s="195">
        <f t="shared" si="18"/>
        <v>4.9137466666666664E-2</v>
      </c>
      <c r="X22" s="195">
        <f t="shared" si="19"/>
        <v>0.1138</v>
      </c>
      <c r="Y22" s="47"/>
      <c r="Z22" s="33"/>
      <c r="AA22" s="184">
        <v>1984</v>
      </c>
      <c r="AB22" s="185">
        <v>9.0200000000000002E-2</v>
      </c>
      <c r="AC22" s="33"/>
      <c r="AD22" s="33"/>
    </row>
    <row r="23" spans="1:30" ht="15.75" customHeight="1" x14ac:dyDescent="0.35">
      <c r="A23" s="33"/>
      <c r="B23" s="307">
        <v>2029</v>
      </c>
      <c r="C23" s="191">
        <f t="shared" si="20"/>
        <v>245.01821873163803</v>
      </c>
      <c r="D23" s="192">
        <f t="shared" ref="D23:I23" si="31">FORECAST($B23,D$4:D$13,$B$4:$B$13)</f>
        <v>224.94545454545369</v>
      </c>
      <c r="E23" s="192">
        <f t="shared" si="31"/>
        <v>190.47272727272684</v>
      </c>
      <c r="F23" s="192">
        <f t="shared" si="31"/>
        <v>205.03636363636178</v>
      </c>
      <c r="G23" s="192">
        <f t="shared" si="31"/>
        <v>191.71818181818162</v>
      </c>
      <c r="H23" s="192">
        <f t="shared" si="31"/>
        <v>216.74545454545478</v>
      </c>
      <c r="I23" s="192">
        <f t="shared" si="31"/>
        <v>210.86000000000058</v>
      </c>
      <c r="J23" s="192"/>
      <c r="K23" s="308">
        <f t="shared" si="22"/>
        <v>173.13290100410205</v>
      </c>
      <c r="L23" s="193"/>
      <c r="M23" s="80">
        <v>2029</v>
      </c>
      <c r="N23" s="194">
        <f t="shared" si="14"/>
        <v>6.0233558696988432E-2</v>
      </c>
      <c r="O23" s="194">
        <f t="shared" ref="O23:R23" si="32">D23/D22-1</f>
        <v>3.6441316913793598E-2</v>
      </c>
      <c r="P23" s="194">
        <f t="shared" si="32"/>
        <v>2.6522079958187117E-2</v>
      </c>
      <c r="Q23" s="194">
        <f t="shared" si="32"/>
        <v>3.322847631554593E-2</v>
      </c>
      <c r="R23" s="194">
        <f t="shared" si="32"/>
        <v>3.2660855939675049E-2</v>
      </c>
      <c r="S23" s="67"/>
      <c r="T23" s="194">
        <f t="shared" si="24"/>
        <v>3.3728796940881711E-2</v>
      </c>
      <c r="U23" s="194">
        <f t="shared" si="16"/>
        <v>6.6903000000000004E-2</v>
      </c>
      <c r="V23" s="67">
        <f t="shared" si="17"/>
        <v>1.536086372750879E-2</v>
      </c>
      <c r="W23" s="195">
        <f t="shared" si="18"/>
        <v>4.9137466666666664E-2</v>
      </c>
      <c r="X23" s="195">
        <f t="shared" si="19"/>
        <v>0.1138</v>
      </c>
      <c r="Y23" s="47"/>
      <c r="Z23" s="33"/>
      <c r="AA23" s="184">
        <v>1985</v>
      </c>
      <c r="AB23" s="185">
        <v>7.8100000000000003E-2</v>
      </c>
      <c r="AC23" s="33"/>
      <c r="AD23" s="33"/>
    </row>
    <row r="24" spans="1:30" ht="15.75" customHeight="1" x14ac:dyDescent="0.35">
      <c r="A24" s="33"/>
      <c r="B24" s="307">
        <v>2030</v>
      </c>
      <c r="C24" s="191">
        <f t="shared" si="20"/>
        <v>259.77653799144167</v>
      </c>
      <c r="D24" s="192">
        <f t="shared" ref="D24:I24" si="33">FORECAST($B24,D$4:D$13,$B$4:$B$13)</f>
        <v>232.85454545454559</v>
      </c>
      <c r="E24" s="192">
        <f t="shared" si="33"/>
        <v>195.39393939393995</v>
      </c>
      <c r="F24" s="192">
        <f t="shared" si="33"/>
        <v>211.63030303030246</v>
      </c>
      <c r="G24" s="192">
        <f t="shared" si="33"/>
        <v>197.78181818181838</v>
      </c>
      <c r="H24" s="192">
        <f t="shared" si="33"/>
        <v>223.5545454545445</v>
      </c>
      <c r="I24" s="192">
        <f t="shared" si="33"/>
        <v>217.73999999999978</v>
      </c>
      <c r="J24" s="192"/>
      <c r="K24" s="308">
        <f t="shared" si="22"/>
        <v>175.79237190317434</v>
      </c>
      <c r="L24" s="193"/>
      <c r="M24" s="80">
        <v>2030</v>
      </c>
      <c r="N24" s="194">
        <f t="shared" si="14"/>
        <v>6.0233558696988432E-2</v>
      </c>
      <c r="O24" s="194">
        <f t="shared" ref="O24:R24" si="34">D24/D23-1</f>
        <v>3.5160038797288795E-2</v>
      </c>
      <c r="P24" s="194">
        <f t="shared" si="34"/>
        <v>2.5836833396976067E-2</v>
      </c>
      <c r="Q24" s="194">
        <f t="shared" si="34"/>
        <v>3.2159853388910253E-2</v>
      </c>
      <c r="R24" s="194">
        <f t="shared" si="34"/>
        <v>3.1627862866899559E-2</v>
      </c>
      <c r="S24" s="67"/>
      <c r="T24" s="194">
        <f t="shared" si="24"/>
        <v>3.2628284169587296E-2</v>
      </c>
      <c r="U24" s="194">
        <f t="shared" si="16"/>
        <v>6.6903000000000004E-2</v>
      </c>
      <c r="V24" s="67">
        <f t="shared" si="17"/>
        <v>1.536086372750879E-2</v>
      </c>
      <c r="W24" s="195">
        <f t="shared" si="18"/>
        <v>4.9137466666666664E-2</v>
      </c>
      <c r="X24" s="195">
        <f t="shared" si="19"/>
        <v>0.1138</v>
      </c>
      <c r="Y24" s="47"/>
      <c r="Z24" s="33"/>
      <c r="AA24" s="184">
        <v>1986</v>
      </c>
      <c r="AB24" s="185">
        <v>4.7000000000000002E-3</v>
      </c>
      <c r="AC24" s="33"/>
      <c r="AD24" s="33"/>
    </row>
    <row r="25" spans="1:30" ht="15.75" customHeight="1" x14ac:dyDescent="0.35">
      <c r="A25" s="33"/>
      <c r="B25" s="307">
        <v>2031</v>
      </c>
      <c r="C25" s="191">
        <f t="shared" si="20"/>
        <v>275.42380334064961</v>
      </c>
      <c r="D25" s="192">
        <f t="shared" ref="D25:I25" si="35">FORECAST($B25,D$4:D$13,$B$4:$B$13)</f>
        <v>240.76363636363567</v>
      </c>
      <c r="E25" s="192">
        <f t="shared" si="35"/>
        <v>200.31515151515123</v>
      </c>
      <c r="F25" s="192">
        <f t="shared" si="35"/>
        <v>218.22424242424131</v>
      </c>
      <c r="G25" s="192">
        <f t="shared" si="35"/>
        <v>203.84545454545514</v>
      </c>
      <c r="H25" s="192">
        <f t="shared" si="35"/>
        <v>230.36363636363603</v>
      </c>
      <c r="I25" s="192">
        <f t="shared" si="35"/>
        <v>224.6200000000008</v>
      </c>
      <c r="J25" s="192"/>
      <c r="K25" s="308">
        <f t="shared" si="22"/>
        <v>178.49269457231458</v>
      </c>
      <c r="L25" s="193"/>
      <c r="M25" s="80">
        <v>2031</v>
      </c>
      <c r="N25" s="194">
        <f t="shared" si="14"/>
        <v>6.0233558696988432E-2</v>
      </c>
      <c r="O25" s="194">
        <f t="shared" ref="O25:R25" si="36">D25/D24-1</f>
        <v>3.396579995314708E-2</v>
      </c>
      <c r="P25" s="194">
        <f t="shared" si="36"/>
        <v>2.5186104218357874E-2</v>
      </c>
      <c r="Q25" s="194">
        <f t="shared" si="36"/>
        <v>3.1157822388954814E-2</v>
      </c>
      <c r="R25" s="194">
        <f t="shared" si="36"/>
        <v>3.0658209229639688E-2</v>
      </c>
      <c r="S25" s="67"/>
      <c r="T25" s="194">
        <f t="shared" si="24"/>
        <v>3.1597317902089861E-2</v>
      </c>
      <c r="U25" s="194">
        <f t="shared" si="16"/>
        <v>6.6903000000000004E-2</v>
      </c>
      <c r="V25" s="67">
        <f t="shared" si="17"/>
        <v>1.536086372750879E-2</v>
      </c>
      <c r="W25" s="195">
        <f t="shared" si="18"/>
        <v>4.9137466666666664E-2</v>
      </c>
      <c r="X25" s="195">
        <f t="shared" si="19"/>
        <v>0.1138</v>
      </c>
      <c r="Y25" s="47"/>
      <c r="Z25" s="33"/>
      <c r="AA25" s="184">
        <v>1987</v>
      </c>
      <c r="AB25" s="185">
        <v>0.18310000000000001</v>
      </c>
      <c r="AC25" s="33"/>
      <c r="AD25" s="33"/>
    </row>
    <row r="26" spans="1:30" ht="15.75" customHeight="1" x14ac:dyDescent="0.35">
      <c r="A26" s="33"/>
      <c r="B26" s="307">
        <v>2032</v>
      </c>
      <c r="C26" s="191">
        <f t="shared" si="20"/>
        <v>292.01355916571646</v>
      </c>
      <c r="D26" s="192">
        <f t="shared" ref="D26:I26" si="37">FORECAST($B26,D$4:D$13,$B$4:$B$13)</f>
        <v>248.67272727272757</v>
      </c>
      <c r="E26" s="192">
        <f t="shared" si="37"/>
        <v>205.23636363636433</v>
      </c>
      <c r="F26" s="192">
        <f t="shared" si="37"/>
        <v>224.81818181818016</v>
      </c>
      <c r="G26" s="192">
        <f t="shared" si="37"/>
        <v>209.90909090909008</v>
      </c>
      <c r="H26" s="192">
        <f t="shared" si="37"/>
        <v>237.17272727272757</v>
      </c>
      <c r="I26" s="192">
        <f t="shared" si="37"/>
        <v>231.5</v>
      </c>
      <c r="J26" s="192"/>
      <c r="K26" s="308">
        <f t="shared" si="22"/>
        <v>181.23449652999577</v>
      </c>
      <c r="L26" s="193"/>
      <c r="M26" s="80">
        <v>2032</v>
      </c>
      <c r="N26" s="194">
        <f t="shared" si="14"/>
        <v>6.0233558696988432E-2</v>
      </c>
      <c r="O26" s="194">
        <f t="shared" ref="O26:R26" si="38">D26/D25-1</f>
        <v>3.2850022655192213E-2</v>
      </c>
      <c r="P26" s="194">
        <f t="shared" si="38"/>
        <v>2.4567348420675428E-2</v>
      </c>
      <c r="Q26" s="194">
        <f t="shared" si="38"/>
        <v>3.0216346821449136E-2</v>
      </c>
      <c r="R26" s="194">
        <f t="shared" si="38"/>
        <v>2.9746242697223479E-2</v>
      </c>
      <c r="S26" s="67"/>
      <c r="T26" s="194">
        <f t="shared" si="24"/>
        <v>3.0629507612853546E-2</v>
      </c>
      <c r="U26" s="194">
        <f t="shared" si="16"/>
        <v>6.6903000000000004E-2</v>
      </c>
      <c r="V26" s="67">
        <f t="shared" si="17"/>
        <v>1.536086372750879E-2</v>
      </c>
      <c r="W26" s="195">
        <f t="shared" si="18"/>
        <v>4.9137466666666664E-2</v>
      </c>
      <c r="X26" s="195">
        <f t="shared" si="19"/>
        <v>0.1138</v>
      </c>
      <c r="Y26" s="47"/>
      <c r="Z26" s="33"/>
      <c r="AA26" s="184">
        <v>1988</v>
      </c>
      <c r="AB26" s="185">
        <v>0.1971</v>
      </c>
      <c r="AC26" s="33"/>
      <c r="AD26" s="33"/>
    </row>
    <row r="27" spans="1:30" ht="15.75" customHeight="1" x14ac:dyDescent="0.35">
      <c r="A27" s="33"/>
      <c r="B27" s="307">
        <v>2033</v>
      </c>
      <c r="C27" s="191">
        <f t="shared" si="20"/>
        <v>309.60257502204115</v>
      </c>
      <c r="D27" s="192">
        <f t="shared" ref="D27:I27" si="39">FORECAST($B27,D$4:D$13,$B$4:$B$13)</f>
        <v>256.58181818181765</v>
      </c>
      <c r="E27" s="192">
        <f t="shared" si="39"/>
        <v>210.15757575757561</v>
      </c>
      <c r="F27" s="192">
        <f t="shared" si="39"/>
        <v>231.41212121212084</v>
      </c>
      <c r="G27" s="192">
        <f t="shared" si="39"/>
        <v>215.97272727272684</v>
      </c>
      <c r="H27" s="192">
        <f t="shared" si="39"/>
        <v>243.98181818181729</v>
      </c>
      <c r="I27" s="192">
        <f t="shared" si="39"/>
        <v>238.3799999999992</v>
      </c>
      <c r="J27" s="192"/>
      <c r="K27" s="308">
        <f t="shared" si="22"/>
        <v>184.01841493391672</v>
      </c>
      <c r="L27" s="193"/>
      <c r="M27" s="80">
        <v>2033</v>
      </c>
      <c r="N27" s="194">
        <f t="shared" si="14"/>
        <v>6.0233558696988432E-2</v>
      </c>
      <c r="O27" s="194">
        <f t="shared" ref="O27:R27" si="40">D27/D26-1</f>
        <v>3.1805220443076321E-2</v>
      </c>
      <c r="P27" s="194">
        <f t="shared" si="40"/>
        <v>2.3978266005193039E-2</v>
      </c>
      <c r="Q27" s="194">
        <f t="shared" si="40"/>
        <v>2.933009839601608E-2</v>
      </c>
      <c r="R27" s="194">
        <f t="shared" si="40"/>
        <v>2.8886964053704833E-2</v>
      </c>
      <c r="S27" s="67"/>
      <c r="T27" s="194">
        <f t="shared" si="24"/>
        <v>2.9719222462199602E-2</v>
      </c>
      <c r="U27" s="194">
        <f t="shared" si="16"/>
        <v>6.6903000000000004E-2</v>
      </c>
      <c r="V27" s="67">
        <f t="shared" si="17"/>
        <v>1.536086372750879E-2</v>
      </c>
      <c r="W27" s="195">
        <f t="shared" si="18"/>
        <v>4.9137466666666664E-2</v>
      </c>
      <c r="X27" s="195">
        <f t="shared" si="19"/>
        <v>0.1138</v>
      </c>
      <c r="Y27" s="47"/>
      <c r="Z27" s="33"/>
      <c r="AA27" s="184">
        <v>1989</v>
      </c>
      <c r="AB27" s="185">
        <v>3.2000000000000002E-3</v>
      </c>
      <c r="AC27" s="33"/>
      <c r="AD27" s="33"/>
    </row>
    <row r="28" spans="1:30" ht="15.75" customHeight="1" x14ac:dyDescent="0.35">
      <c r="A28" s="33"/>
      <c r="B28" s="307">
        <v>2034</v>
      </c>
      <c r="C28" s="191">
        <f t="shared" si="20"/>
        <v>328.25103989737005</v>
      </c>
      <c r="D28" s="192">
        <f t="shared" ref="D28:I28" si="41">FORECAST($B28,D$4:D$13,$B$4:$B$13)</f>
        <v>264.49090909090955</v>
      </c>
      <c r="E28" s="192">
        <f t="shared" si="41"/>
        <v>215.07878787878872</v>
      </c>
      <c r="F28" s="192">
        <f t="shared" si="41"/>
        <v>238.00606060605969</v>
      </c>
      <c r="G28" s="192">
        <f t="shared" si="41"/>
        <v>222.0363636363636</v>
      </c>
      <c r="H28" s="192">
        <f t="shared" si="41"/>
        <v>250.79090909090883</v>
      </c>
      <c r="I28" s="192">
        <f t="shared" si="41"/>
        <v>245.26000000000022</v>
      </c>
      <c r="J28" s="192"/>
      <c r="K28" s="308">
        <f t="shared" si="22"/>
        <v>186.84509672906879</v>
      </c>
      <c r="L28" s="193"/>
      <c r="M28" s="80">
        <v>2034</v>
      </c>
      <c r="N28" s="194">
        <f t="shared" si="14"/>
        <v>6.0233558696988432E-2</v>
      </c>
      <c r="O28" s="194">
        <f t="shared" ref="O28:R28" si="42">D28/D27-1</f>
        <v>3.0824829931976661E-2</v>
      </c>
      <c r="P28" s="194">
        <f t="shared" si="42"/>
        <v>2.341677240743345E-2</v>
      </c>
      <c r="Q28" s="194">
        <f t="shared" si="42"/>
        <v>2.8494356127070075E-2</v>
      </c>
      <c r="R28" s="194">
        <f t="shared" si="42"/>
        <v>2.8075935513745209E-2</v>
      </c>
      <c r="S28" s="67"/>
      <c r="T28" s="194">
        <f t="shared" si="24"/>
        <v>2.8861481667929567E-2</v>
      </c>
      <c r="U28" s="194">
        <f t="shared" si="16"/>
        <v>6.6903000000000004E-2</v>
      </c>
      <c r="V28" s="67">
        <f t="shared" si="17"/>
        <v>1.536086372750879E-2</v>
      </c>
      <c r="W28" s="195">
        <f t="shared" si="18"/>
        <v>4.9137466666666664E-2</v>
      </c>
      <c r="X28" s="195">
        <f t="shared" si="19"/>
        <v>0.1138</v>
      </c>
      <c r="Y28" s="47"/>
      <c r="Z28" s="33"/>
      <c r="AA28" s="184">
        <v>1990</v>
      </c>
      <c r="AB28" s="185">
        <v>1.89E-2</v>
      </c>
      <c r="AC28" s="33"/>
      <c r="AD28" s="33"/>
    </row>
    <row r="29" spans="1:30" ht="15.75" customHeight="1" x14ac:dyDescent="0.35">
      <c r="A29" s="33"/>
      <c r="B29" s="307">
        <v>2035</v>
      </c>
      <c r="C29" s="191">
        <f t="shared" si="20"/>
        <v>348.02276817637579</v>
      </c>
      <c r="D29" s="192">
        <f t="shared" ref="D29:I29" si="43">FORECAST($B29,D$4:D$13,$B$4:$B$13)</f>
        <v>272.39999999999964</v>
      </c>
      <c r="E29" s="192">
        <f t="shared" si="43"/>
        <v>220</v>
      </c>
      <c r="F29" s="192">
        <f t="shared" si="43"/>
        <v>244.59999999999854</v>
      </c>
      <c r="G29" s="192">
        <f t="shared" si="43"/>
        <v>228.10000000000036</v>
      </c>
      <c r="H29" s="192">
        <f t="shared" si="43"/>
        <v>257.59999999999854</v>
      </c>
      <c r="I29" s="192">
        <f t="shared" si="43"/>
        <v>252.13999999999942</v>
      </c>
      <c r="J29" s="192"/>
      <c r="K29" s="308">
        <f t="shared" si="22"/>
        <v>189.71519879807724</v>
      </c>
      <c r="L29" s="193"/>
      <c r="M29" s="80">
        <v>2035</v>
      </c>
      <c r="N29" s="194">
        <f t="shared" si="14"/>
        <v>6.0233558696988432E-2</v>
      </c>
      <c r="O29" s="194">
        <f t="shared" ref="O29:R29" si="44">D29/D28-1</f>
        <v>2.9903072798511898E-2</v>
      </c>
      <c r="P29" s="194">
        <f t="shared" si="44"/>
        <v>2.2880973850311515E-2</v>
      </c>
      <c r="Q29" s="194">
        <f t="shared" si="44"/>
        <v>2.7704922207224536E-2</v>
      </c>
      <c r="R29" s="194">
        <f t="shared" si="44"/>
        <v>2.730920406158055E-2</v>
      </c>
      <c r="S29" s="67"/>
      <c r="T29" s="194">
        <f t="shared" si="24"/>
        <v>2.8051863328709015E-2</v>
      </c>
      <c r="U29" s="194">
        <f t="shared" si="16"/>
        <v>6.6903000000000004E-2</v>
      </c>
      <c r="V29" s="67">
        <f t="shared" si="17"/>
        <v>1.536086372750879E-2</v>
      </c>
      <c r="W29" s="195">
        <f t="shared" si="18"/>
        <v>4.9137466666666664E-2</v>
      </c>
      <c r="X29" s="195">
        <f t="shared" si="19"/>
        <v>0.1138</v>
      </c>
      <c r="Y29" s="47"/>
      <c r="Z29" s="33"/>
      <c r="AA29" s="184">
        <v>1991</v>
      </c>
      <c r="AB29" s="185">
        <v>7.9899999999999999E-2</v>
      </c>
      <c r="AC29" s="33"/>
      <c r="AD29" s="33"/>
    </row>
    <row r="30" spans="1:30" ht="15.75" customHeight="1" x14ac:dyDescent="0.35">
      <c r="A30" s="33"/>
      <c r="B30" s="307">
        <v>2036</v>
      </c>
      <c r="C30" s="191">
        <f t="shared" si="20"/>
        <v>368.98541801121593</v>
      </c>
      <c r="D30" s="192">
        <f t="shared" ref="D30:I30" si="45">FORECAST($B30,D$4:D$13,$B$4:$B$13)</f>
        <v>280.30909090909154</v>
      </c>
      <c r="E30" s="192">
        <f t="shared" si="45"/>
        <v>224.92121212121128</v>
      </c>
      <c r="F30" s="192">
        <f t="shared" si="45"/>
        <v>251.1939393939374</v>
      </c>
      <c r="G30" s="192">
        <f t="shared" si="45"/>
        <v>234.16363636363712</v>
      </c>
      <c r="H30" s="192">
        <f t="shared" si="45"/>
        <v>264.40909090909008</v>
      </c>
      <c r="I30" s="192">
        <f t="shared" si="45"/>
        <v>259.02000000000044</v>
      </c>
      <c r="J30" s="192"/>
      <c r="K30" s="308">
        <f t="shared" si="22"/>
        <v>192.62938811385177</v>
      </c>
      <c r="L30" s="193"/>
      <c r="M30" s="80">
        <v>2036</v>
      </c>
      <c r="N30" s="194">
        <f t="shared" si="14"/>
        <v>6.0233558696988432E-2</v>
      </c>
      <c r="O30" s="194">
        <f t="shared" ref="O30:R30" si="46">D30/D29-1</f>
        <v>2.9034841810175793E-2</v>
      </c>
      <c r="P30" s="194">
        <f t="shared" si="46"/>
        <v>2.2369146005505769E-2</v>
      </c>
      <c r="Q30" s="194">
        <f t="shared" si="46"/>
        <v>2.6958051487893986E-2</v>
      </c>
      <c r="R30" s="194">
        <f t="shared" si="46"/>
        <v>2.6583237017258954E-2</v>
      </c>
      <c r="S30" s="67"/>
      <c r="T30" s="194">
        <f t="shared" si="24"/>
        <v>2.7286428174827515E-2</v>
      </c>
      <c r="U30" s="194">
        <f t="shared" si="16"/>
        <v>6.6903000000000004E-2</v>
      </c>
      <c r="V30" s="67">
        <f t="shared" si="17"/>
        <v>1.536086372750879E-2</v>
      </c>
      <c r="W30" s="195">
        <f t="shared" si="18"/>
        <v>4.9137466666666664E-2</v>
      </c>
      <c r="X30" s="195">
        <f t="shared" si="19"/>
        <v>0.1138</v>
      </c>
      <c r="Y30" s="47"/>
      <c r="Z30" s="33"/>
      <c r="AA30" s="184">
        <v>1992</v>
      </c>
      <c r="AB30" s="185">
        <v>0.2235</v>
      </c>
      <c r="AC30" s="33"/>
      <c r="AD30" s="33"/>
    </row>
    <row r="31" spans="1:30" ht="15.75" customHeight="1" x14ac:dyDescent="0.35">
      <c r="A31" s="33"/>
      <c r="B31" s="307">
        <v>2037</v>
      </c>
      <c r="C31" s="191">
        <f t="shared" si="20"/>
        <v>391.21072284532733</v>
      </c>
      <c r="D31" s="192">
        <f t="shared" ref="D31:I31" si="47">FORECAST($B31,D$4:D$13,$B$4:$B$13)</f>
        <v>288.21818181818162</v>
      </c>
      <c r="E31" s="192">
        <f t="shared" si="47"/>
        <v>229.84242424242439</v>
      </c>
      <c r="F31" s="192">
        <f t="shared" si="47"/>
        <v>257.78787878787807</v>
      </c>
      <c r="G31" s="192">
        <f t="shared" si="47"/>
        <v>240.22727272727207</v>
      </c>
      <c r="H31" s="192">
        <f t="shared" si="47"/>
        <v>271.21818181818162</v>
      </c>
      <c r="I31" s="192">
        <f t="shared" si="47"/>
        <v>265.89999999999964</v>
      </c>
      <c r="J31" s="192"/>
      <c r="K31" s="308">
        <f t="shared" si="22"/>
        <v>195.58834189458207</v>
      </c>
      <c r="L31" s="193"/>
      <c r="M31" s="80">
        <v>2037</v>
      </c>
      <c r="N31" s="194">
        <f t="shared" si="14"/>
        <v>6.0233558696988432E-2</v>
      </c>
      <c r="O31" s="194">
        <f t="shared" ref="O31:R31" si="48">D31/D30-1</f>
        <v>2.8215606149053274E-2</v>
      </c>
      <c r="P31" s="194">
        <f t="shared" si="48"/>
        <v>2.18797154559216E-2</v>
      </c>
      <c r="Q31" s="194">
        <f t="shared" si="48"/>
        <v>2.625039206698232E-2</v>
      </c>
      <c r="R31" s="194">
        <f t="shared" si="48"/>
        <v>2.5894867613938999E-2</v>
      </c>
      <c r="S31" s="67"/>
      <c r="T31" s="194">
        <f t="shared" si="24"/>
        <v>2.6561655470616952E-2</v>
      </c>
      <c r="U31" s="194">
        <f t="shared" si="16"/>
        <v>6.6903000000000004E-2</v>
      </c>
      <c r="V31" s="67">
        <f t="shared" si="17"/>
        <v>1.536086372750879E-2</v>
      </c>
      <c r="W31" s="195">
        <f t="shared" si="18"/>
        <v>4.9137466666666664E-2</v>
      </c>
      <c r="X31" s="195">
        <f t="shared" si="19"/>
        <v>0.1138</v>
      </c>
      <c r="Y31" s="33"/>
      <c r="Z31" s="33"/>
      <c r="AA31" s="184">
        <v>1993</v>
      </c>
      <c r="AB31" s="185">
        <v>-4.58E-2</v>
      </c>
      <c r="AC31" s="33"/>
      <c r="AD31" s="33"/>
    </row>
    <row r="32" spans="1:30" ht="15.75" customHeight="1" x14ac:dyDescent="0.35">
      <c r="A32" s="33"/>
      <c r="B32" s="307">
        <v>2038</v>
      </c>
      <c r="C32" s="191">
        <f t="shared" si="20"/>
        <v>414.77473688272261</v>
      </c>
      <c r="D32" s="192">
        <f t="shared" ref="D32:I32" si="49">FORECAST($B32,D$4:D$13,$B$4:$B$13)</f>
        <v>296.1272727272717</v>
      </c>
      <c r="E32" s="192">
        <f t="shared" si="49"/>
        <v>234.76363636363567</v>
      </c>
      <c r="F32" s="192">
        <f t="shared" si="49"/>
        <v>264.38181818181693</v>
      </c>
      <c r="G32" s="192">
        <f t="shared" si="49"/>
        <v>246.29090909090883</v>
      </c>
      <c r="H32" s="192">
        <f t="shared" si="49"/>
        <v>278.02727272727134</v>
      </c>
      <c r="I32" s="192">
        <f t="shared" si="49"/>
        <v>272.78000000000065</v>
      </c>
      <c r="J32" s="192"/>
      <c r="K32" s="308">
        <f t="shared" si="22"/>
        <v>198.59274776111417</v>
      </c>
      <c r="L32" s="193"/>
      <c r="M32" s="80">
        <v>2038</v>
      </c>
      <c r="N32" s="194">
        <f t="shared" si="14"/>
        <v>6.0233558696988432E-2</v>
      </c>
      <c r="O32" s="194">
        <f t="shared" ref="O32:R32" si="50">D32/D31-1</f>
        <v>2.744133232399415E-2</v>
      </c>
      <c r="P32" s="194">
        <f t="shared" si="50"/>
        <v>2.1411243539707359E-2</v>
      </c>
      <c r="Q32" s="194">
        <f t="shared" si="50"/>
        <v>2.5578934994708202E-2</v>
      </c>
      <c r="R32" s="194">
        <f t="shared" si="50"/>
        <v>2.5241248817409412E-2</v>
      </c>
      <c r="S32" s="67"/>
      <c r="T32" s="194">
        <f t="shared" si="24"/>
        <v>2.5874388867999309E-2</v>
      </c>
      <c r="U32" s="194">
        <f t="shared" si="16"/>
        <v>6.6903000000000004E-2</v>
      </c>
      <c r="V32" s="67">
        <f t="shared" si="17"/>
        <v>1.536086372750879E-2</v>
      </c>
      <c r="W32" s="195">
        <f t="shared" si="18"/>
        <v>4.9137466666666664E-2</v>
      </c>
      <c r="X32" s="195">
        <f t="shared" si="19"/>
        <v>0.1113</v>
      </c>
      <c r="Y32" s="33"/>
      <c r="Z32" s="33"/>
      <c r="AA32" s="184">
        <v>1994</v>
      </c>
      <c r="AB32" s="185">
        <v>0.10489999999999999</v>
      </c>
      <c r="AC32" s="33"/>
      <c r="AD32" s="33"/>
    </row>
    <row r="33" spans="1:30" ht="15.75" customHeight="1" x14ac:dyDescent="0.35">
      <c r="A33" s="33"/>
      <c r="B33" s="307">
        <v>2039</v>
      </c>
      <c r="C33" s="191">
        <f t="shared" si="20"/>
        <v>439.75809534277602</v>
      </c>
      <c r="D33" s="192">
        <f t="shared" ref="D33:I33" si="51">FORECAST($B33,D$4:D$13,$B$4:$B$13)</f>
        <v>304.0363636363636</v>
      </c>
      <c r="E33" s="192">
        <f t="shared" si="51"/>
        <v>239.68484848484877</v>
      </c>
      <c r="F33" s="192">
        <f t="shared" si="51"/>
        <v>270.97575757575578</v>
      </c>
      <c r="G33" s="192">
        <f t="shared" si="51"/>
        <v>252.35454545454559</v>
      </c>
      <c r="H33" s="192">
        <f t="shared" si="51"/>
        <v>284.83636363636288</v>
      </c>
      <c r="I33" s="192">
        <f t="shared" si="51"/>
        <v>279.65999999999985</v>
      </c>
      <c r="J33" s="192"/>
      <c r="K33" s="308">
        <f t="shared" si="22"/>
        <v>201.64330389674419</v>
      </c>
      <c r="L33" s="193"/>
      <c r="M33" s="80">
        <v>2039</v>
      </c>
      <c r="N33" s="194">
        <f t="shared" si="14"/>
        <v>6.0233558696988432E-2</v>
      </c>
      <c r="O33" s="194">
        <f t="shared" ref="O33:R33" si="52">D33/D32-1</f>
        <v>2.6708417756496461E-2</v>
      </c>
      <c r="P33" s="194">
        <f t="shared" si="52"/>
        <v>2.0962412226356975E-2</v>
      </c>
      <c r="Q33" s="194">
        <f t="shared" si="52"/>
        <v>2.4940971505855059E-2</v>
      </c>
      <c r="R33" s="194">
        <f t="shared" si="52"/>
        <v>2.4619813967224458E-2</v>
      </c>
      <c r="S33" s="67"/>
      <c r="T33" s="194">
        <f t="shared" si="24"/>
        <v>2.5221790453842541E-2</v>
      </c>
      <c r="U33" s="194">
        <f t="shared" si="16"/>
        <v>6.6903000000000004E-2</v>
      </c>
      <c r="V33" s="67">
        <f t="shared" si="17"/>
        <v>1.536086372750879E-2</v>
      </c>
      <c r="W33" s="195">
        <f t="shared" si="18"/>
        <v>4.9137466666666664E-2</v>
      </c>
      <c r="X33" s="195">
        <f t="shared" si="19"/>
        <v>0.1113</v>
      </c>
      <c r="Y33" s="33"/>
      <c r="Z33" s="33"/>
      <c r="AA33" s="184">
        <v>1995</v>
      </c>
      <c r="AB33" s="185">
        <v>1.77E-2</v>
      </c>
      <c r="AC33" s="33"/>
      <c r="AD33" s="33"/>
    </row>
    <row r="34" spans="1:30" ht="15.75" customHeight="1" x14ac:dyDescent="0.35">
      <c r="A34" s="33"/>
      <c r="B34" s="307">
        <v>2040</v>
      </c>
      <c r="C34" s="191">
        <f t="shared" si="20"/>
        <v>466.24629039108095</v>
      </c>
      <c r="D34" s="192">
        <f t="shared" ref="D34:I34" si="53">FORECAST($B34,D$4:D$13,$B$4:$B$13)</f>
        <v>311.94545454545369</v>
      </c>
      <c r="E34" s="192">
        <f t="shared" si="53"/>
        <v>244.60606060606005</v>
      </c>
      <c r="F34" s="192">
        <f t="shared" si="53"/>
        <v>277.56969696969645</v>
      </c>
      <c r="G34" s="192">
        <f t="shared" si="53"/>
        <v>258.41818181818235</v>
      </c>
      <c r="H34" s="192">
        <f t="shared" si="53"/>
        <v>291.64545454545441</v>
      </c>
      <c r="I34" s="192">
        <f t="shared" si="53"/>
        <v>286.53999999999905</v>
      </c>
      <c r="J34" s="192"/>
      <c r="K34" s="308">
        <f t="shared" si="22"/>
        <v>204.74071920946673</v>
      </c>
      <c r="L34" s="193"/>
      <c r="M34" s="80">
        <v>2040</v>
      </c>
      <c r="N34" s="194">
        <f t="shared" si="14"/>
        <v>6.0233558696988432E-2</v>
      </c>
      <c r="O34" s="194">
        <f t="shared" ref="O34:R34" si="54">D34/D33-1</f>
        <v>2.6013634732684698E-2</v>
      </c>
      <c r="P34" s="194">
        <f t="shared" si="54"/>
        <v>2.0532011732574684E-2</v>
      </c>
      <c r="Q34" s="194">
        <f t="shared" si="54"/>
        <v>2.4334056496169154E-2</v>
      </c>
      <c r="R34" s="194">
        <f t="shared" si="54"/>
        <v>2.402824309233198E-2</v>
      </c>
      <c r="S34" s="67"/>
      <c r="T34" s="194">
        <f t="shared" si="24"/>
        <v>2.4601301580487789E-2</v>
      </c>
      <c r="U34" s="194">
        <f t="shared" si="16"/>
        <v>6.6903000000000004E-2</v>
      </c>
      <c r="V34" s="67">
        <f t="shared" si="17"/>
        <v>1.536086372750879E-2</v>
      </c>
      <c r="W34" s="195">
        <f t="shared" si="18"/>
        <v>4.9137466666666664E-2</v>
      </c>
      <c r="X34" s="195">
        <f t="shared" si="19"/>
        <v>0.1113</v>
      </c>
      <c r="Y34" s="33"/>
      <c r="Z34" s="33"/>
      <c r="AA34" s="184">
        <v>1996</v>
      </c>
      <c r="AB34" s="185">
        <v>9.7600000000000006E-2</v>
      </c>
      <c r="AC34" s="33"/>
      <c r="AD34" s="33"/>
    </row>
    <row r="35" spans="1:30" ht="15.75" customHeight="1" x14ac:dyDescent="0.35">
      <c r="A35" s="33"/>
      <c r="B35" s="307">
        <v>2041</v>
      </c>
      <c r="C35" s="191">
        <f t="shared" si="20"/>
        <v>494.32996369060521</v>
      </c>
      <c r="D35" s="192">
        <f t="shared" ref="D35:I35" si="55">FORECAST($B35,D$4:D$13,$B$4:$B$13)</f>
        <v>319.85454545454559</v>
      </c>
      <c r="E35" s="192">
        <f t="shared" si="55"/>
        <v>249.52727272727316</v>
      </c>
      <c r="F35" s="192">
        <f t="shared" si="55"/>
        <v>284.16363636363531</v>
      </c>
      <c r="G35" s="192">
        <f t="shared" si="55"/>
        <v>264.48181818181911</v>
      </c>
      <c r="H35" s="192">
        <f t="shared" si="55"/>
        <v>298.45454545454413</v>
      </c>
      <c r="I35" s="192">
        <f t="shared" si="55"/>
        <v>293.42000000000007</v>
      </c>
      <c r="J35" s="192"/>
      <c r="K35" s="308">
        <f t="shared" si="22"/>
        <v>207.88571349671551</v>
      </c>
      <c r="L35" s="193"/>
      <c r="M35" s="80">
        <v>2041</v>
      </c>
      <c r="N35" s="194">
        <f t="shared" si="14"/>
        <v>6.0233558696988432E-2</v>
      </c>
      <c r="O35" s="194">
        <f t="shared" ref="O35:R35" si="56">D35/D34-1</f>
        <v>2.5354082881625883E-2</v>
      </c>
      <c r="P35" s="194">
        <f t="shared" si="56"/>
        <v>2.0118929633304417E-2</v>
      </c>
      <c r="Q35" s="194">
        <f t="shared" si="56"/>
        <v>2.3755977204740653E-2</v>
      </c>
      <c r="R35" s="194">
        <f t="shared" si="56"/>
        <v>2.3464433968903187E-2</v>
      </c>
      <c r="S35" s="67"/>
      <c r="T35" s="194">
        <f t="shared" si="24"/>
        <v>2.4010609339014E-2</v>
      </c>
      <c r="U35" s="194">
        <f t="shared" si="16"/>
        <v>6.6903000000000004E-2</v>
      </c>
      <c r="V35" s="67">
        <f t="shared" si="17"/>
        <v>1.536086372750879E-2</v>
      </c>
      <c r="W35" s="195">
        <f t="shared" si="18"/>
        <v>4.9137466666666664E-2</v>
      </c>
      <c r="X35" s="195">
        <f t="shared" si="19"/>
        <v>0.1113</v>
      </c>
      <c r="Y35" s="33"/>
      <c r="Z35" s="33"/>
      <c r="AA35" s="184">
        <v>1997</v>
      </c>
      <c r="AB35" s="185">
        <v>-8.8099999999999998E-2</v>
      </c>
      <c r="AC35" s="33"/>
      <c r="AD35" s="33"/>
    </row>
    <row r="36" spans="1:30" ht="15.75" customHeight="1" x14ac:dyDescent="0.35">
      <c r="A36" s="33"/>
      <c r="B36" s="307">
        <v>2042</v>
      </c>
      <c r="C36" s="191">
        <f t="shared" si="20"/>
        <v>524.1052165742434</v>
      </c>
      <c r="D36" s="192">
        <f t="shared" ref="D36:I36" si="57">FORECAST($B36,D$4:D$13,$B$4:$B$13)</f>
        <v>327.76363636363567</v>
      </c>
      <c r="E36" s="192">
        <f t="shared" si="57"/>
        <v>254.44848484848444</v>
      </c>
      <c r="F36" s="192">
        <f t="shared" si="57"/>
        <v>290.75757575757416</v>
      </c>
      <c r="G36" s="192">
        <f t="shared" si="57"/>
        <v>270.54545454545405</v>
      </c>
      <c r="H36" s="192">
        <f t="shared" si="57"/>
        <v>305.26363636363567</v>
      </c>
      <c r="I36" s="192">
        <f t="shared" si="57"/>
        <v>300.29999999999927</v>
      </c>
      <c r="J36" s="192"/>
      <c r="K36" s="308">
        <f t="shared" si="22"/>
        <v>211.07901761263452</v>
      </c>
      <c r="L36" s="193"/>
      <c r="M36" s="80">
        <v>2042</v>
      </c>
      <c r="N36" s="194">
        <f t="shared" si="14"/>
        <v>6.0233558696988432E-2</v>
      </c>
      <c r="O36" s="194">
        <f t="shared" ref="O36:R36" si="58">D36/D35-1</f>
        <v>2.4727148703953761E-2</v>
      </c>
      <c r="P36" s="194">
        <f t="shared" si="58"/>
        <v>1.9722141261047765E-2</v>
      </c>
      <c r="Q36" s="194">
        <f t="shared" si="58"/>
        <v>2.3204726256743191E-2</v>
      </c>
      <c r="R36" s="194">
        <f t="shared" si="58"/>
        <v>2.2926477159448622E-2</v>
      </c>
      <c r="S36" s="67"/>
      <c r="T36" s="194">
        <f t="shared" si="24"/>
        <v>2.3447617749298599E-2</v>
      </c>
      <c r="U36" s="194">
        <f t="shared" si="16"/>
        <v>6.6903000000000004E-2</v>
      </c>
      <c r="V36" s="67">
        <f t="shared" si="17"/>
        <v>1.536086372750879E-2</v>
      </c>
      <c r="W36" s="195">
        <f t="shared" si="18"/>
        <v>4.9137466666666664E-2</v>
      </c>
      <c r="X36" s="195">
        <f t="shared" si="19"/>
        <v>0.1113</v>
      </c>
      <c r="Y36" s="33"/>
      <c r="Z36" s="33"/>
      <c r="AA36" s="184">
        <v>1998</v>
      </c>
      <c r="AB36" s="185">
        <v>-0.15540000000000001</v>
      </c>
      <c r="AC36" s="33"/>
      <c r="AD36" s="33"/>
    </row>
    <row r="37" spans="1:30" ht="15.75" customHeight="1" x14ac:dyDescent="0.35">
      <c r="A37" s="33"/>
      <c r="B37" s="307">
        <v>2043</v>
      </c>
      <c r="C37" s="191">
        <f t="shared" si="20"/>
        <v>555.67393890016592</v>
      </c>
      <c r="D37" s="192">
        <f t="shared" ref="D37:I37" si="59">FORECAST($B37,D$4:D$13,$B$4:$B$13)</f>
        <v>335.67272727272757</v>
      </c>
      <c r="E37" s="192">
        <f t="shared" si="59"/>
        <v>259.36969696969754</v>
      </c>
      <c r="F37" s="192">
        <f t="shared" si="59"/>
        <v>297.35151515151483</v>
      </c>
      <c r="G37" s="192">
        <f t="shared" si="59"/>
        <v>276.60909090909081</v>
      </c>
      <c r="H37" s="192">
        <f t="shared" si="59"/>
        <v>312.07272727272721</v>
      </c>
      <c r="I37" s="192">
        <f t="shared" si="59"/>
        <v>307.18000000000029</v>
      </c>
      <c r="J37" s="192"/>
      <c r="K37" s="308">
        <f t="shared" si="22"/>
        <v>214.32137363791864</v>
      </c>
      <c r="L37" s="193"/>
      <c r="M37" s="80">
        <v>2043</v>
      </c>
      <c r="N37" s="194">
        <f t="shared" si="14"/>
        <v>6.0233558696988432E-2</v>
      </c>
      <c r="O37" s="194">
        <f t="shared" ref="O37:R37" si="60">D37/D36-1</f>
        <v>2.4130470960229466E-2</v>
      </c>
      <c r="P37" s="194">
        <f t="shared" si="60"/>
        <v>1.9340701219516143E-2</v>
      </c>
      <c r="Q37" s="194">
        <f t="shared" si="60"/>
        <v>2.2678478374157818E-2</v>
      </c>
      <c r="R37" s="194">
        <f t="shared" si="60"/>
        <v>2.2412634408603749E-2</v>
      </c>
      <c r="S37" s="67"/>
      <c r="T37" s="194">
        <f t="shared" si="24"/>
        <v>2.2910422910426442E-2</v>
      </c>
      <c r="U37" s="194">
        <f t="shared" si="16"/>
        <v>6.6903000000000004E-2</v>
      </c>
      <c r="V37" s="67">
        <f t="shared" si="17"/>
        <v>1.536086372750879E-2</v>
      </c>
      <c r="W37" s="195">
        <f t="shared" si="18"/>
        <v>4.9137466666666664E-2</v>
      </c>
      <c r="X37" s="195">
        <f t="shared" si="19"/>
        <v>0.1113</v>
      </c>
      <c r="Y37" s="33"/>
      <c r="Z37" s="33"/>
      <c r="AA37" s="184">
        <v>1999</v>
      </c>
      <c r="AB37" s="185">
        <v>4.5699999999999998E-2</v>
      </c>
      <c r="AC37" s="33"/>
      <c r="AD37" s="33"/>
    </row>
    <row r="38" spans="1:30" ht="15.75" customHeight="1" x14ac:dyDescent="0.35">
      <c r="A38" s="33"/>
      <c r="B38" s="307">
        <v>2044</v>
      </c>
      <c r="C38" s="191">
        <f t="shared" si="20"/>
        <v>589.14415771529582</v>
      </c>
      <c r="D38" s="192">
        <f t="shared" ref="D38:I38" si="61">FORECAST($B38,D$4:D$13,$B$4:$B$13)</f>
        <v>343.58181818181765</v>
      </c>
      <c r="E38" s="192">
        <f t="shared" si="61"/>
        <v>264.29090909090883</v>
      </c>
      <c r="F38" s="192">
        <f t="shared" si="61"/>
        <v>303.94545454545369</v>
      </c>
      <c r="G38" s="192">
        <f t="shared" si="61"/>
        <v>282.67272727272757</v>
      </c>
      <c r="H38" s="192">
        <f t="shared" si="61"/>
        <v>318.88181818181693</v>
      </c>
      <c r="I38" s="192">
        <f t="shared" si="61"/>
        <v>314.05999999999949</v>
      </c>
      <c r="J38" s="192"/>
      <c r="K38" s="308">
        <f t="shared" si="22"/>
        <v>217.61353505226322</v>
      </c>
      <c r="L38" s="193"/>
      <c r="M38" s="80">
        <v>2044</v>
      </c>
      <c r="N38" s="194">
        <f t="shared" si="14"/>
        <v>6.0233558696988432E-2</v>
      </c>
      <c r="O38" s="194">
        <f t="shared" ref="O38:R38" si="62">D38/D37-1</f>
        <v>2.3561910952223819E-2</v>
      </c>
      <c r="P38" s="194">
        <f t="shared" si="62"/>
        <v>1.8973735863161423E-2</v>
      </c>
      <c r="Q38" s="194">
        <f t="shared" si="62"/>
        <v>2.2175570185270166E-2</v>
      </c>
      <c r="R38" s="194">
        <f t="shared" si="62"/>
        <v>2.1921319880370937E-2</v>
      </c>
      <c r="S38" s="67"/>
      <c r="T38" s="194">
        <f t="shared" si="24"/>
        <v>2.2397291490328763E-2</v>
      </c>
      <c r="U38" s="194">
        <f t="shared" si="16"/>
        <v>6.6903000000000004E-2</v>
      </c>
      <c r="V38" s="67">
        <f t="shared" si="17"/>
        <v>1.536086372750879E-2</v>
      </c>
      <c r="W38" s="195">
        <f t="shared" si="18"/>
        <v>4.9137466666666664E-2</v>
      </c>
      <c r="X38" s="195">
        <f t="shared" si="19"/>
        <v>0.1113</v>
      </c>
      <c r="Y38" s="33"/>
      <c r="Z38" s="33"/>
      <c r="AA38" s="184">
        <v>2000</v>
      </c>
      <c r="AB38" s="185">
        <v>3.85E-2</v>
      </c>
      <c r="AC38" s="33"/>
      <c r="AD38" s="33"/>
    </row>
    <row r="39" spans="1:30" ht="15.75" customHeight="1" x14ac:dyDescent="0.35">
      <c r="A39" s="33"/>
      <c r="B39" s="307">
        <v>2045</v>
      </c>
      <c r="C39" s="191">
        <f t="shared" si="20"/>
        <v>624.63040692002789</v>
      </c>
      <c r="D39" s="192">
        <f t="shared" ref="D39:I39" si="63">FORECAST($B39,D$4:D$13,$B$4:$B$13)</f>
        <v>351.49090909090955</v>
      </c>
      <c r="E39" s="192">
        <f t="shared" si="63"/>
        <v>269.21212121212193</v>
      </c>
      <c r="F39" s="192">
        <f t="shared" si="63"/>
        <v>310.53939393939254</v>
      </c>
      <c r="G39" s="192">
        <f t="shared" si="63"/>
        <v>288.73636363636433</v>
      </c>
      <c r="H39" s="192">
        <f t="shared" si="63"/>
        <v>325.69090909090846</v>
      </c>
      <c r="I39" s="192">
        <f t="shared" si="63"/>
        <v>320.94000000000051</v>
      </c>
      <c r="J39" s="192"/>
      <c r="K39" s="308">
        <f t="shared" si="22"/>
        <v>220.9562669094625</v>
      </c>
      <c r="L39" s="193"/>
      <c r="M39" s="80">
        <v>2045</v>
      </c>
      <c r="N39" s="194">
        <f t="shared" si="14"/>
        <v>6.0233558696988432E-2</v>
      </c>
      <c r="O39" s="194">
        <f t="shared" ref="O39:R39" si="64">D39/D38-1</f>
        <v>2.3019526909036081E-2</v>
      </c>
      <c r="P39" s="194">
        <f t="shared" si="64"/>
        <v>1.8620436617138303E-2</v>
      </c>
      <c r="Q39" s="194">
        <f t="shared" si="64"/>
        <v>2.1694482662357961E-2</v>
      </c>
      <c r="R39" s="194">
        <f t="shared" si="64"/>
        <v>2.1451083810382743E-2</v>
      </c>
      <c r="S39" s="67"/>
      <c r="T39" s="194">
        <f t="shared" si="24"/>
        <v>2.1906642042925029E-2</v>
      </c>
      <c r="U39" s="194">
        <f t="shared" si="16"/>
        <v>6.6903000000000004E-2</v>
      </c>
      <c r="V39" s="67">
        <f t="shared" si="17"/>
        <v>1.536086372750879E-2</v>
      </c>
      <c r="W39" s="195">
        <f t="shared" si="18"/>
        <v>4.9137466666666664E-2</v>
      </c>
      <c r="X39" s="195">
        <f t="shared" si="19"/>
        <v>0.1113</v>
      </c>
      <c r="Y39" s="33"/>
      <c r="Z39" s="33"/>
      <c r="AA39" s="184">
        <v>2001</v>
      </c>
      <c r="AB39" s="185">
        <v>-2.3E-2</v>
      </c>
      <c r="AC39" s="33"/>
      <c r="AD39" s="33"/>
    </row>
    <row r="40" spans="1:30" ht="15.75" customHeight="1" x14ac:dyDescent="0.35">
      <c r="A40" s="33"/>
      <c r="B40" s="307">
        <v>2046</v>
      </c>
      <c r="C40" s="191">
        <f t="shared" si="20"/>
        <v>662.25411919916917</v>
      </c>
      <c r="D40" s="192">
        <f t="shared" ref="D40:I40" si="65">FORECAST($B40,D$4:D$13,$B$4:$B$13)</f>
        <v>359.39999999999964</v>
      </c>
      <c r="E40" s="192">
        <f t="shared" si="65"/>
        <v>274.13333333333321</v>
      </c>
      <c r="F40" s="192">
        <f t="shared" si="65"/>
        <v>317.13333333333139</v>
      </c>
      <c r="G40" s="192">
        <f t="shared" si="65"/>
        <v>294.79999999999927</v>
      </c>
      <c r="H40" s="192">
        <f t="shared" si="65"/>
        <v>332.5</v>
      </c>
      <c r="I40" s="192">
        <f t="shared" si="65"/>
        <v>327.81999999999971</v>
      </c>
      <c r="J40" s="192"/>
      <c r="K40" s="308">
        <f t="shared" si="22"/>
        <v>224.35034601519783</v>
      </c>
      <c r="L40" s="193"/>
      <c r="M40" s="80">
        <v>2046</v>
      </c>
      <c r="N40" s="194">
        <f t="shared" si="14"/>
        <v>6.0233558696988432E-2</v>
      </c>
      <c r="O40" s="194">
        <f t="shared" ref="O40:R40" si="66">D40/D39-1</f>
        <v>2.2501551831158428E-2</v>
      </c>
      <c r="P40" s="194">
        <f t="shared" si="66"/>
        <v>1.8280054029713222E-2</v>
      </c>
      <c r="Q40" s="194">
        <f t="shared" si="66"/>
        <v>2.1233825796754813E-2</v>
      </c>
      <c r="R40" s="194">
        <f t="shared" si="66"/>
        <v>2.1000598217935318E-2</v>
      </c>
      <c r="S40" s="67"/>
      <c r="T40" s="194">
        <f t="shared" si="24"/>
        <v>2.1437028728108709E-2</v>
      </c>
      <c r="U40" s="194">
        <f t="shared" si="16"/>
        <v>6.6903000000000004E-2</v>
      </c>
      <c r="V40" s="67">
        <f t="shared" si="17"/>
        <v>1.536086372750879E-2</v>
      </c>
      <c r="W40" s="195">
        <f t="shared" si="18"/>
        <v>4.9137466666666664E-2</v>
      </c>
      <c r="X40" s="195">
        <f t="shared" si="19"/>
        <v>0.1113</v>
      </c>
      <c r="Y40" s="33"/>
      <c r="Z40" s="33"/>
      <c r="AA40" s="184">
        <v>2002</v>
      </c>
      <c r="AB40" s="185">
        <v>0.14879999999999999</v>
      </c>
      <c r="AC40" s="33"/>
      <c r="AD40" s="33"/>
    </row>
    <row r="41" spans="1:30" ht="15.75" customHeight="1" x14ac:dyDescent="0.35">
      <c r="A41" s="33"/>
      <c r="B41" s="307">
        <v>2047</v>
      </c>
      <c r="C41" s="191">
        <f t="shared" si="20"/>
        <v>702.14404156027467</v>
      </c>
      <c r="D41" s="192">
        <f t="shared" ref="D41:I41" si="67">FORECAST($B41,D$4:D$13,$B$4:$B$13)</f>
        <v>367.30909090909154</v>
      </c>
      <c r="E41" s="192">
        <f t="shared" si="67"/>
        <v>279.05454545454631</v>
      </c>
      <c r="F41" s="192">
        <f t="shared" si="67"/>
        <v>323.72727272727207</v>
      </c>
      <c r="G41" s="192">
        <f t="shared" si="67"/>
        <v>300.86363636363603</v>
      </c>
      <c r="H41" s="192">
        <f t="shared" si="67"/>
        <v>339.30909090908972</v>
      </c>
      <c r="I41" s="192">
        <f t="shared" si="67"/>
        <v>334.70000000000073</v>
      </c>
      <c r="J41" s="192"/>
      <c r="K41" s="308">
        <f t="shared" si="22"/>
        <v>227.79656110755676</v>
      </c>
      <c r="L41" s="193"/>
      <c r="M41" s="80">
        <v>2047</v>
      </c>
      <c r="N41" s="194">
        <f t="shared" si="14"/>
        <v>6.0233558696988432E-2</v>
      </c>
      <c r="O41" s="194">
        <f t="shared" ref="O41:R41" si="68">D41/D40-1</f>
        <v>2.2006374260133299E-2</v>
      </c>
      <c r="P41" s="194">
        <f t="shared" si="68"/>
        <v>1.7951892465514652E-2</v>
      </c>
      <c r="Q41" s="194">
        <f t="shared" si="68"/>
        <v>2.079232518585461E-2</v>
      </c>
      <c r="R41" s="194">
        <f t="shared" si="68"/>
        <v>2.0568644381400158E-2</v>
      </c>
      <c r="S41" s="67"/>
      <c r="T41" s="194">
        <f t="shared" si="24"/>
        <v>2.0987127081938395E-2</v>
      </c>
      <c r="U41" s="194">
        <f t="shared" si="16"/>
        <v>6.6903000000000004E-2</v>
      </c>
      <c r="V41" s="67">
        <f t="shared" si="17"/>
        <v>1.536086372750879E-2</v>
      </c>
      <c r="W41" s="195">
        <f t="shared" si="18"/>
        <v>4.9137466666666664E-2</v>
      </c>
      <c r="X41" s="195">
        <f t="shared" si="19"/>
        <v>0.1113</v>
      </c>
      <c r="Y41" s="33"/>
      <c r="Z41" s="33"/>
      <c r="AA41" s="184">
        <v>2003</v>
      </c>
      <c r="AB41" s="185">
        <v>0.1153</v>
      </c>
      <c r="AC41" s="33"/>
      <c r="AD41" s="33"/>
    </row>
    <row r="42" spans="1:30" ht="15.75" customHeight="1" x14ac:dyDescent="0.35">
      <c r="A42" s="33"/>
      <c r="B42" s="307">
        <v>2048</v>
      </c>
      <c r="C42" s="191">
        <f t="shared" si="20"/>
        <v>744.43667590133612</v>
      </c>
      <c r="D42" s="192">
        <f t="shared" ref="D42:I42" si="69">FORECAST($B42,D$4:D$13,$B$4:$B$13)</f>
        <v>375.21818181818162</v>
      </c>
      <c r="E42" s="192">
        <f t="shared" si="69"/>
        <v>283.9757575757576</v>
      </c>
      <c r="F42" s="192">
        <f t="shared" si="69"/>
        <v>330.32121212121092</v>
      </c>
      <c r="G42" s="192">
        <f t="shared" si="69"/>
        <v>306.92727272727279</v>
      </c>
      <c r="H42" s="192">
        <f t="shared" si="69"/>
        <v>346.11818181818126</v>
      </c>
      <c r="I42" s="192">
        <f t="shared" si="69"/>
        <v>341.57999999999993</v>
      </c>
      <c r="J42" s="192"/>
      <c r="K42" s="308">
        <f t="shared" si="22"/>
        <v>231.2957130403251</v>
      </c>
      <c r="L42" s="193"/>
      <c r="M42" s="80">
        <v>2048</v>
      </c>
      <c r="N42" s="194">
        <f t="shared" si="14"/>
        <v>6.0233558696988432E-2</v>
      </c>
      <c r="O42" s="194">
        <f t="shared" ref="O42:R42" si="70">D42/D41-1</f>
        <v>2.1532521532519278E-2</v>
      </c>
      <c r="P42" s="194">
        <f t="shared" si="70"/>
        <v>1.7635305360087283E-2</v>
      </c>
      <c r="Q42" s="194">
        <f t="shared" si="70"/>
        <v>2.0368810259288939E-2</v>
      </c>
      <c r="R42" s="194">
        <f t="shared" si="70"/>
        <v>2.015410182807198E-2</v>
      </c>
      <c r="S42" s="67"/>
      <c r="T42" s="194">
        <f t="shared" si="24"/>
        <v>2.055572154167673E-2</v>
      </c>
      <c r="U42" s="194">
        <f t="shared" si="16"/>
        <v>6.6903000000000004E-2</v>
      </c>
      <c r="V42" s="67">
        <f t="shared" si="17"/>
        <v>1.536086372750879E-2</v>
      </c>
      <c r="W42" s="195">
        <f t="shared" si="18"/>
        <v>4.9137466666666664E-2</v>
      </c>
      <c r="X42" s="195">
        <f t="shared" si="19"/>
        <v>0.10879999999999999</v>
      </c>
      <c r="Y42" s="33"/>
      <c r="Z42" s="33"/>
      <c r="AA42" s="184">
        <v>2004</v>
      </c>
      <c r="AB42" s="185">
        <v>4.3700000000000003E-2</v>
      </c>
      <c r="AC42" s="33"/>
      <c r="AD42" s="33"/>
    </row>
    <row r="43" spans="1:30" ht="15.75" customHeight="1" x14ac:dyDescent="0.35">
      <c r="A43" s="33"/>
      <c r="B43" s="307">
        <v>2049</v>
      </c>
      <c r="C43" s="191">
        <f t="shared" si="20"/>
        <v>789.27674611543023</v>
      </c>
      <c r="D43" s="192">
        <f t="shared" ref="D43:I43" si="71">FORECAST($B43,D$4:D$13,$B$4:$B$13)</f>
        <v>383.1272727272717</v>
      </c>
      <c r="E43" s="192">
        <f t="shared" si="71"/>
        <v>288.89696969696888</v>
      </c>
      <c r="F43" s="192">
        <f t="shared" si="71"/>
        <v>336.91515151514977</v>
      </c>
      <c r="G43" s="192">
        <f t="shared" si="71"/>
        <v>312.99090909090955</v>
      </c>
      <c r="H43" s="192">
        <f t="shared" si="71"/>
        <v>352.92727272727279</v>
      </c>
      <c r="I43" s="192">
        <f t="shared" si="71"/>
        <v>348.45999999999913</v>
      </c>
      <c r="J43" s="192"/>
      <c r="K43" s="308">
        <f t="shared" si="22"/>
        <v>234.84861496909454</v>
      </c>
      <c r="L43" s="193"/>
      <c r="M43" s="80">
        <v>2049</v>
      </c>
      <c r="N43" s="194">
        <f t="shared" si="14"/>
        <v>6.0233558696988432E-2</v>
      </c>
      <c r="O43" s="194">
        <f t="shared" ref="O43:R43" si="72">D43/D42-1</f>
        <v>2.1078645151909381E-2</v>
      </c>
      <c r="P43" s="194">
        <f t="shared" si="72"/>
        <v>1.7329690968069356E-2</v>
      </c>
      <c r="Q43" s="194">
        <f t="shared" si="72"/>
        <v>1.9962203915379284E-2</v>
      </c>
      <c r="R43" s="194">
        <f t="shared" si="72"/>
        <v>1.9755938629229419E-2</v>
      </c>
      <c r="S43" s="67"/>
      <c r="T43" s="194">
        <f t="shared" si="24"/>
        <v>2.0141694478597039E-2</v>
      </c>
      <c r="U43" s="194">
        <f t="shared" si="16"/>
        <v>6.6903000000000004E-2</v>
      </c>
      <c r="V43" s="67">
        <f t="shared" si="17"/>
        <v>1.536086372750879E-2</v>
      </c>
      <c r="W43" s="195">
        <f t="shared" si="18"/>
        <v>4.9137466666666664E-2</v>
      </c>
      <c r="X43" s="195">
        <f t="shared" si="19"/>
        <v>0.10879999999999999</v>
      </c>
      <c r="Y43" s="33"/>
      <c r="Z43" s="33"/>
      <c r="AA43" s="184">
        <v>2005</v>
      </c>
      <c r="AB43" s="185">
        <v>0.17949999999999999</v>
      </c>
      <c r="AC43" s="33"/>
      <c r="AD43" s="33"/>
    </row>
    <row r="44" spans="1:30" ht="15.75" customHeight="1" x14ac:dyDescent="0.35">
      <c r="A44" s="33"/>
      <c r="B44" s="307">
        <v>2050</v>
      </c>
      <c r="C44" s="191">
        <f t="shared" si="20"/>
        <v>836.81769333074203</v>
      </c>
      <c r="D44" s="192">
        <f t="shared" ref="D44:I44" si="73">FORECAST($B44,D$4:D$13,$B$4:$B$13)</f>
        <v>391.0363636363636</v>
      </c>
      <c r="E44" s="192">
        <f t="shared" si="73"/>
        <v>293.81818181818198</v>
      </c>
      <c r="F44" s="192">
        <f t="shared" si="73"/>
        <v>343.50909090909045</v>
      </c>
      <c r="G44" s="192">
        <f t="shared" si="73"/>
        <v>319.05454545454631</v>
      </c>
      <c r="H44" s="192">
        <f t="shared" si="73"/>
        <v>359.73636363636251</v>
      </c>
      <c r="I44" s="192">
        <f t="shared" si="73"/>
        <v>355.34000000000015</v>
      </c>
      <c r="J44" s="192"/>
      <c r="K44" s="308">
        <f t="shared" si="22"/>
        <v>238.45609254022901</v>
      </c>
      <c r="L44" s="193"/>
      <c r="M44" s="80">
        <v>2050</v>
      </c>
      <c r="N44" s="194">
        <f t="shared" si="14"/>
        <v>6.0233558696988432E-2</v>
      </c>
      <c r="O44" s="194">
        <f t="shared" ref="O44:R44" si="74">D44/D43-1</f>
        <v>2.0643507972667896E-2</v>
      </c>
      <c r="P44" s="194">
        <f t="shared" si="74"/>
        <v>1.7034488545778492E-2</v>
      </c>
      <c r="Q44" s="194">
        <f t="shared" si="74"/>
        <v>1.9571513374470939E-2</v>
      </c>
      <c r="R44" s="194">
        <f t="shared" si="74"/>
        <v>1.937320282320254E-2</v>
      </c>
      <c r="S44" s="67"/>
      <c r="T44" s="194">
        <f t="shared" si="24"/>
        <v>1.9744016529877229E-2</v>
      </c>
      <c r="U44" s="194">
        <f t="shared" si="16"/>
        <v>6.6903000000000004E-2</v>
      </c>
      <c r="V44" s="67">
        <f t="shared" si="17"/>
        <v>1.536086372750879E-2</v>
      </c>
      <c r="W44" s="195">
        <f t="shared" si="18"/>
        <v>4.9137466666666664E-2</v>
      </c>
      <c r="X44" s="195">
        <f t="shared" si="19"/>
        <v>0.10879999999999999</v>
      </c>
      <c r="Y44" s="33"/>
      <c r="Z44" s="33"/>
      <c r="AA44" s="184">
        <v>2007</v>
      </c>
      <c r="AB44" s="185">
        <v>0.43359999999999999</v>
      </c>
      <c r="AC44" s="33"/>
      <c r="AD44" s="33"/>
    </row>
    <row r="45" spans="1:30" ht="15.75" customHeight="1" x14ac:dyDescent="0.35">
      <c r="A45" s="33"/>
      <c r="B45" s="307">
        <v>2051</v>
      </c>
      <c r="C45" s="191">
        <f t="shared" si="20"/>
        <v>887.2222009806577</v>
      </c>
      <c r="D45" s="192">
        <f t="shared" ref="D45:I45" si="75">FORECAST($B45,D$4:D$13,$B$4:$B$13)</f>
        <v>398.94545454545369</v>
      </c>
      <c r="E45" s="192">
        <f t="shared" si="75"/>
        <v>298.73939393939327</v>
      </c>
      <c r="F45" s="192">
        <f t="shared" si="75"/>
        <v>350.1030303030293</v>
      </c>
      <c r="G45" s="192">
        <f t="shared" si="75"/>
        <v>325.11818181818126</v>
      </c>
      <c r="H45" s="192">
        <f t="shared" si="75"/>
        <v>366.54545454545405</v>
      </c>
      <c r="I45" s="192">
        <f t="shared" si="75"/>
        <v>362.21999999999935</v>
      </c>
      <c r="J45" s="192"/>
      <c r="K45" s="308">
        <f t="shared" si="22"/>
        <v>242.1189840827337</v>
      </c>
      <c r="L45" s="193"/>
      <c r="M45" s="80">
        <v>2051</v>
      </c>
      <c r="N45" s="194">
        <f t="shared" si="14"/>
        <v>6.0233558696988432E-2</v>
      </c>
      <c r="O45" s="194">
        <f t="shared" ref="O45:R45" si="76">D45/D44-1</f>
        <v>2.0225972939041048E-2</v>
      </c>
      <c r="P45" s="194">
        <f t="shared" si="76"/>
        <v>1.674917491748884E-2</v>
      </c>
      <c r="Q45" s="194">
        <f t="shared" si="76"/>
        <v>1.9195822085779746E-2</v>
      </c>
      <c r="R45" s="194">
        <f t="shared" si="76"/>
        <v>1.9005014816498855E-2</v>
      </c>
      <c r="S45" s="67"/>
      <c r="T45" s="194">
        <f t="shared" si="24"/>
        <v>1.936173805369279E-2</v>
      </c>
      <c r="U45" s="194">
        <f t="shared" si="16"/>
        <v>6.6903000000000004E-2</v>
      </c>
      <c r="V45" s="67">
        <f t="shared" si="17"/>
        <v>1.536086372750879E-2</v>
      </c>
      <c r="W45" s="195">
        <f t="shared" si="18"/>
        <v>4.9137466666666664E-2</v>
      </c>
      <c r="X45" s="195">
        <f t="shared" si="19"/>
        <v>0.10879999999999999</v>
      </c>
      <c r="Y45" s="33"/>
      <c r="Z45" s="33"/>
      <c r="AA45" s="184">
        <v>2008</v>
      </c>
      <c r="AB45" s="185">
        <v>0.1462</v>
      </c>
      <c r="AC45" s="33"/>
      <c r="AD45" s="33"/>
    </row>
    <row r="46" spans="1:30" ht="15.75" customHeight="1" x14ac:dyDescent="0.35">
      <c r="A46" s="33"/>
      <c r="B46" s="307">
        <v>2052</v>
      </c>
      <c r="C46" s="191">
        <f t="shared" si="20"/>
        <v>940.66275150069737</v>
      </c>
      <c r="D46" s="192">
        <f t="shared" ref="D46:I46" si="77">FORECAST($B46,D$4:D$13,$B$4:$B$13)</f>
        <v>406.85454545454559</v>
      </c>
      <c r="E46" s="192">
        <f t="shared" si="77"/>
        <v>303.66060606060637</v>
      </c>
      <c r="F46" s="192">
        <f t="shared" si="77"/>
        <v>356.69696969696815</v>
      </c>
      <c r="G46" s="192">
        <f t="shared" si="77"/>
        <v>331.18181818181802</v>
      </c>
      <c r="H46" s="192">
        <f t="shared" si="77"/>
        <v>373.35454545454559</v>
      </c>
      <c r="I46" s="192">
        <f t="shared" si="77"/>
        <v>369.10000000000036</v>
      </c>
      <c r="J46" s="192"/>
      <c r="K46" s="308">
        <f t="shared" si="22"/>
        <v>245.83814080307147</v>
      </c>
      <c r="L46" s="193"/>
      <c r="M46" s="80">
        <v>2052</v>
      </c>
      <c r="N46" s="194">
        <f t="shared" si="14"/>
        <v>6.0233558696988432E-2</v>
      </c>
      <c r="O46" s="194">
        <f t="shared" ref="O46:R46" si="78">D46/D45-1</f>
        <v>1.9824993163797933E-2</v>
      </c>
      <c r="P46" s="194">
        <f t="shared" si="78"/>
        <v>1.6473261381160453E-2</v>
      </c>
      <c r="Q46" s="194">
        <f t="shared" si="78"/>
        <v>1.883428254885855E-2</v>
      </c>
      <c r="R46" s="194">
        <f t="shared" si="78"/>
        <v>1.8650560635294688E-2</v>
      </c>
      <c r="S46" s="67"/>
      <c r="T46" s="194">
        <f t="shared" si="24"/>
        <v>1.8993981558171891E-2</v>
      </c>
      <c r="U46" s="194">
        <f t="shared" si="16"/>
        <v>6.6903000000000004E-2</v>
      </c>
      <c r="V46" s="67">
        <f t="shared" si="17"/>
        <v>1.536086372750879E-2</v>
      </c>
      <c r="W46" s="195">
        <f t="shared" si="18"/>
        <v>4.9137466666666664E-2</v>
      </c>
      <c r="X46" s="195">
        <f t="shared" si="19"/>
        <v>0.10879999999999999</v>
      </c>
      <c r="Y46" s="33"/>
      <c r="Z46" s="33"/>
      <c r="AA46" s="184">
        <v>2009</v>
      </c>
      <c r="AB46" s="185">
        <v>0.1484</v>
      </c>
      <c r="AC46" s="33"/>
      <c r="AD46" s="33"/>
    </row>
    <row r="47" spans="1:30" ht="15.75" customHeight="1" x14ac:dyDescent="0.35">
      <c r="A47" s="33"/>
      <c r="B47" s="307">
        <v>2053</v>
      </c>
      <c r="C47" s="191">
        <f t="shared" si="20"/>
        <v>997.32221655728529</v>
      </c>
      <c r="D47" s="192">
        <f t="shared" ref="D47:I47" si="79">FORECAST($B47,D$4:D$13,$B$4:$B$13)</f>
        <v>414.76363636363567</v>
      </c>
      <c r="E47" s="192">
        <f t="shared" si="79"/>
        <v>308.58181818181765</v>
      </c>
      <c r="F47" s="192">
        <f t="shared" si="79"/>
        <v>363.29090909090701</v>
      </c>
      <c r="G47" s="192">
        <f t="shared" si="79"/>
        <v>337.24545454545478</v>
      </c>
      <c r="H47" s="192">
        <f t="shared" si="79"/>
        <v>380.16363636363531</v>
      </c>
      <c r="I47" s="192">
        <f t="shared" si="79"/>
        <v>375.97999999999956</v>
      </c>
      <c r="J47" s="192"/>
      <c r="K47" s="308">
        <f t="shared" si="22"/>
        <v>249.61442698297159</v>
      </c>
      <c r="L47" s="193"/>
      <c r="M47" s="80">
        <v>2053</v>
      </c>
      <c r="N47" s="194">
        <f t="shared" si="14"/>
        <v>6.0233558696988432E-2</v>
      </c>
      <c r="O47" s="194">
        <f t="shared" ref="O47:R47" si="80">D47/D46-1</f>
        <v>1.9439603163960983E-2</v>
      </c>
      <c r="P47" s="194">
        <f t="shared" si="80"/>
        <v>1.6206290914894339E-2</v>
      </c>
      <c r="Q47" s="194">
        <f t="shared" si="80"/>
        <v>1.848610993118549E-2</v>
      </c>
      <c r="R47" s="194">
        <f t="shared" si="80"/>
        <v>1.8309085918200463E-2</v>
      </c>
      <c r="S47" s="67"/>
      <c r="T47" s="194">
        <f t="shared" si="24"/>
        <v>1.8639934976968808E-2</v>
      </c>
      <c r="U47" s="194">
        <f t="shared" si="16"/>
        <v>6.6903000000000004E-2</v>
      </c>
      <c r="V47" s="67">
        <f t="shared" si="17"/>
        <v>1.536086372750879E-2</v>
      </c>
      <c r="W47" s="195">
        <f t="shared" si="18"/>
        <v>4.9137466666666664E-2</v>
      </c>
      <c r="X47" s="195">
        <f t="shared" si="19"/>
        <v>0.10879999999999999</v>
      </c>
      <c r="Y47" s="33"/>
      <c r="Z47" s="33"/>
      <c r="AA47" s="184">
        <v>2010</v>
      </c>
      <c r="AB47" s="185">
        <v>0.24360000000000001</v>
      </c>
      <c r="AC47" s="33"/>
      <c r="AD47" s="33"/>
    </row>
    <row r="48" spans="1:30" ht="15.75" customHeight="1" thickBot="1" x14ac:dyDescent="0.4">
      <c r="A48" s="33"/>
      <c r="B48" s="309">
        <v>2054</v>
      </c>
      <c r="C48" s="310">
        <f t="shared" si="20"/>
        <v>1057.3944828280992</v>
      </c>
      <c r="D48" s="311">
        <f t="shared" ref="D48:I48" si="81">FORECAST($B48,D$4:D$13,$B$4:$B$13)</f>
        <v>422.67272727272757</v>
      </c>
      <c r="E48" s="311">
        <f t="shared" si="81"/>
        <v>313.50303030303076</v>
      </c>
      <c r="F48" s="311">
        <f t="shared" si="81"/>
        <v>369.88484848484768</v>
      </c>
      <c r="G48" s="311">
        <f t="shared" si="81"/>
        <v>343.30909090909154</v>
      </c>
      <c r="H48" s="311">
        <f t="shared" si="81"/>
        <v>386.97272727272684</v>
      </c>
      <c r="I48" s="311">
        <f t="shared" si="81"/>
        <v>382.86000000000058</v>
      </c>
      <c r="J48" s="311"/>
      <c r="K48" s="312">
        <f t="shared" si="22"/>
        <v>253.44872018027723</v>
      </c>
      <c r="L48" s="193"/>
      <c r="M48" s="84">
        <v>2054</v>
      </c>
      <c r="N48" s="194">
        <f t="shared" si="14"/>
        <v>6.0233558696988432E-2</v>
      </c>
      <c r="O48" s="194">
        <f t="shared" ref="O48:R48" si="82">D48/D47-1</f>
        <v>1.9068911099423769E-2</v>
      </c>
      <c r="P48" s="194">
        <f t="shared" si="82"/>
        <v>1.5947835650879094E-2</v>
      </c>
      <c r="Q48" s="194">
        <f t="shared" si="82"/>
        <v>1.8150576380898897E-2</v>
      </c>
      <c r="R48" s="194">
        <f t="shared" si="82"/>
        <v>1.7979890557189071E-2</v>
      </c>
      <c r="S48" s="67"/>
      <c r="T48" s="194">
        <f t="shared" si="24"/>
        <v>1.8298845683283771E-2</v>
      </c>
      <c r="U48" s="194">
        <f t="shared" si="16"/>
        <v>6.6903000000000004E-2</v>
      </c>
      <c r="V48" s="67">
        <f t="shared" si="17"/>
        <v>1.536086372750879E-2</v>
      </c>
      <c r="W48" s="195">
        <f t="shared" si="18"/>
        <v>4.9137466666666664E-2</v>
      </c>
      <c r="X48" s="195">
        <f t="shared" si="19"/>
        <v>0.10879999999999999</v>
      </c>
      <c r="Y48" s="47"/>
      <c r="Z48" s="33"/>
      <c r="AA48" s="184">
        <v>2011</v>
      </c>
      <c r="AB48" s="185">
        <v>0.35560000000000003</v>
      </c>
      <c r="AC48" s="33"/>
      <c r="AD48" s="33"/>
    </row>
    <row r="49" spans="1:30" ht="15.75" customHeight="1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184">
        <v>2012</v>
      </c>
      <c r="AB49" s="185">
        <v>0.16220000000000001</v>
      </c>
      <c r="AC49" s="33"/>
      <c r="AD49" s="33"/>
    </row>
    <row r="50" spans="1:30" ht="15.75" customHeight="1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184">
        <v>2013</v>
      </c>
      <c r="AB50" s="185">
        <v>-4.7800000000000002E-2</v>
      </c>
      <c r="AC50" s="33"/>
      <c r="AD50" s="33"/>
    </row>
    <row r="51" spans="1:30" ht="15.75" customHeight="1" x14ac:dyDescent="0.3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184">
        <v>2014</v>
      </c>
      <c r="AB51" s="185">
        <v>-5.5399999999999998E-2</v>
      </c>
      <c r="AC51" s="33"/>
      <c r="AD51" s="33"/>
    </row>
    <row r="52" spans="1:30" ht="15.75" customHeight="1" x14ac:dyDescent="0.3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184">
        <v>2015</v>
      </c>
      <c r="AB52" s="185">
        <v>-6.1199999999999997E-2</v>
      </c>
      <c r="AC52" s="33"/>
      <c r="AD52" s="33"/>
    </row>
    <row r="53" spans="1:30" ht="15.75" customHeight="1" x14ac:dyDescent="0.3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184">
        <v>2016</v>
      </c>
      <c r="AB53" s="185">
        <v>8.3000000000000004E-2</v>
      </c>
      <c r="AC53" s="33"/>
      <c r="AD53" s="33"/>
    </row>
    <row r="54" spans="1:30" ht="15.75" customHeight="1" x14ac:dyDescent="0.3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184">
        <v>2017</v>
      </c>
      <c r="AB54" s="185">
        <v>3.5799999999999998E-2</v>
      </c>
      <c r="AC54" s="33"/>
      <c r="AD54" s="33"/>
    </row>
    <row r="55" spans="1:30" ht="15.75" customHeight="1" x14ac:dyDescent="0.3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184">
        <v>2018</v>
      </c>
      <c r="AB55" s="185">
        <v>5.8000000000000003E-2</v>
      </c>
      <c r="AC55" s="33"/>
      <c r="AD55" s="33"/>
    </row>
    <row r="56" spans="1:30" ht="15.75" customHeight="1" x14ac:dyDescent="0.3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184">
        <v>2019</v>
      </c>
      <c r="AB56" s="185">
        <v>0.11360000000000001</v>
      </c>
      <c r="AC56" s="33"/>
      <c r="AD56" s="33"/>
    </row>
    <row r="57" spans="1:30" ht="15.75" customHeight="1" x14ac:dyDescent="0.3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184">
        <v>2020</v>
      </c>
      <c r="AB57" s="185">
        <v>0.3231</v>
      </c>
      <c r="AC57" s="33"/>
      <c r="AD57" s="33"/>
    </row>
    <row r="58" spans="1:30" ht="15.75" customHeight="1" x14ac:dyDescent="0.3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184">
        <v>2021</v>
      </c>
      <c r="AB58" s="185">
        <v>1.4E-3</v>
      </c>
      <c r="AC58" s="33"/>
      <c r="AD58" s="33"/>
    </row>
    <row r="59" spans="1:30" ht="15.75" customHeight="1" x14ac:dyDescent="0.3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184">
        <v>2022</v>
      </c>
      <c r="AB59" s="185">
        <v>7.8E-2</v>
      </c>
      <c r="AC59" s="33"/>
      <c r="AD59" s="33"/>
    </row>
    <row r="60" spans="1:30" ht="15.75" customHeight="1" x14ac:dyDescent="0.3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184">
        <v>2023</v>
      </c>
      <c r="AB60" s="185">
        <v>0.1484</v>
      </c>
      <c r="AC60" s="33"/>
      <c r="AD60" s="33"/>
    </row>
    <row r="61" spans="1:30" ht="15.75" customHeight="1" x14ac:dyDescent="0.3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184">
        <v>2024</v>
      </c>
      <c r="AB61" s="185">
        <v>0.1179</v>
      </c>
      <c r="AC61" s="33"/>
      <c r="AD61" s="33"/>
    </row>
    <row r="62" spans="1:30" ht="15.75" customHeight="1" x14ac:dyDescent="0.3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184">
        <v>2025</v>
      </c>
      <c r="AB62" s="185">
        <v>0.1163</v>
      </c>
      <c r="AC62" s="33"/>
      <c r="AD62" s="33"/>
    </row>
    <row r="63" spans="1:30" ht="15.75" customHeight="1" x14ac:dyDescent="0.3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184">
        <v>2026</v>
      </c>
      <c r="AB63" s="185">
        <v>0.1163</v>
      </c>
      <c r="AC63" s="33"/>
      <c r="AD63" s="33"/>
    </row>
    <row r="64" spans="1:30" ht="15.75" customHeight="1" x14ac:dyDescent="0.3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184">
        <v>2027</v>
      </c>
      <c r="AB64" s="185">
        <v>0.1163</v>
      </c>
      <c r="AC64" s="33"/>
      <c r="AD64" s="33"/>
    </row>
    <row r="65" spans="1:30" ht="15.75" customHeight="1" x14ac:dyDescent="0.3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184">
        <v>2028</v>
      </c>
      <c r="AB65" s="185">
        <v>0.1138</v>
      </c>
      <c r="AC65" s="33"/>
      <c r="AD65" s="33"/>
    </row>
    <row r="66" spans="1:30" ht="15.75" customHeight="1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184">
        <v>2029</v>
      </c>
      <c r="AB66" s="185">
        <v>0.1138</v>
      </c>
      <c r="AC66" s="33"/>
      <c r="AD66" s="33"/>
    </row>
    <row r="67" spans="1:30" ht="15.75" customHeight="1" x14ac:dyDescent="0.3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184">
        <v>2030</v>
      </c>
      <c r="AB67" s="185">
        <v>0.1138</v>
      </c>
      <c r="AC67" s="33"/>
      <c r="AD67" s="33"/>
    </row>
    <row r="68" spans="1:30" ht="15.75" customHeight="1" x14ac:dyDescent="0.3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184">
        <v>2031</v>
      </c>
      <c r="AB68" s="185">
        <v>0.1138</v>
      </c>
      <c r="AC68" s="33"/>
      <c r="AD68" s="33"/>
    </row>
    <row r="69" spans="1:30" ht="15.75" customHeight="1" x14ac:dyDescent="0.3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184">
        <v>2032</v>
      </c>
      <c r="AB69" s="185">
        <v>0.1138</v>
      </c>
      <c r="AC69" s="33"/>
      <c r="AD69" s="33"/>
    </row>
    <row r="70" spans="1:30" ht="15.75" customHeight="1" x14ac:dyDescent="0.3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184">
        <v>2033</v>
      </c>
      <c r="AB70" s="185">
        <v>0.1138</v>
      </c>
      <c r="AC70" s="33"/>
      <c r="AD70" s="33"/>
    </row>
    <row r="71" spans="1:30" ht="15.75" customHeight="1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184">
        <v>2034</v>
      </c>
      <c r="AB71" s="185">
        <v>0.1138</v>
      </c>
      <c r="AC71" s="33"/>
      <c r="AD71" s="33"/>
    </row>
    <row r="72" spans="1:30" ht="15.75" customHeight="1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184">
        <v>2035</v>
      </c>
      <c r="AB72" s="185">
        <v>0.1138</v>
      </c>
      <c r="AC72" s="33"/>
      <c r="AD72" s="33"/>
    </row>
    <row r="73" spans="1:30" ht="15.75" customHeigh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184">
        <v>2036</v>
      </c>
      <c r="AB73" s="185">
        <v>0.1138</v>
      </c>
      <c r="AC73" s="33"/>
      <c r="AD73" s="33"/>
    </row>
    <row r="74" spans="1:30" ht="15.75" customHeight="1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184">
        <v>2037</v>
      </c>
      <c r="AB74" s="185">
        <v>0.1138</v>
      </c>
      <c r="AC74" s="33"/>
      <c r="AD74" s="33"/>
    </row>
    <row r="75" spans="1:30" ht="15.75" customHeight="1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184">
        <v>2038</v>
      </c>
      <c r="AB75" s="185">
        <v>0.1113</v>
      </c>
      <c r="AC75" s="33"/>
      <c r="AD75" s="33"/>
    </row>
    <row r="76" spans="1:30" ht="15.75" customHeight="1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184">
        <v>2039</v>
      </c>
      <c r="AB76" s="185">
        <v>0.1113</v>
      </c>
      <c r="AC76" s="33"/>
      <c r="AD76" s="33"/>
    </row>
    <row r="77" spans="1:30" ht="15.75" customHeight="1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184">
        <v>2040</v>
      </c>
      <c r="AB77" s="185">
        <v>0.1113</v>
      </c>
      <c r="AC77" s="33"/>
      <c r="AD77" s="33"/>
    </row>
    <row r="78" spans="1:30" ht="15.75" customHeight="1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184">
        <v>2041</v>
      </c>
      <c r="AB78" s="185">
        <v>0.1113</v>
      </c>
      <c r="AC78" s="33"/>
      <c r="AD78" s="33"/>
    </row>
    <row r="79" spans="1:30" ht="15.75" customHeight="1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184">
        <v>2042</v>
      </c>
      <c r="AB79" s="185">
        <v>0.1113</v>
      </c>
      <c r="AC79" s="33"/>
      <c r="AD79" s="33"/>
    </row>
    <row r="80" spans="1:30" ht="15.75" customHeight="1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184">
        <v>2043</v>
      </c>
      <c r="AB80" s="185">
        <v>0.1113</v>
      </c>
      <c r="AC80" s="33"/>
      <c r="AD80" s="33"/>
    </row>
    <row r="81" spans="1:30" ht="15.75" customHeight="1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184">
        <v>2044</v>
      </c>
      <c r="AB81" s="185">
        <v>0.1113</v>
      </c>
      <c r="AC81" s="33"/>
      <c r="AD81" s="33"/>
    </row>
    <row r="82" spans="1:30" ht="15.75" customHeight="1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184">
        <v>2045</v>
      </c>
      <c r="AB82" s="185">
        <v>0.1113</v>
      </c>
      <c r="AC82" s="33"/>
      <c r="AD82" s="33"/>
    </row>
    <row r="83" spans="1:30" ht="15.75" customHeight="1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184">
        <v>2046</v>
      </c>
      <c r="AB83" s="185">
        <v>0.1113</v>
      </c>
      <c r="AC83" s="33"/>
      <c r="AD83" s="33"/>
    </row>
    <row r="84" spans="1:30" ht="15.75" customHeight="1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184">
        <v>2047</v>
      </c>
      <c r="AB84" s="185">
        <v>0.1113</v>
      </c>
      <c r="AC84" s="33"/>
      <c r="AD84" s="33"/>
    </row>
    <row r="85" spans="1:30" ht="15.75" customHeight="1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184">
        <v>2048</v>
      </c>
      <c r="AB85" s="185">
        <v>0.10879999999999999</v>
      </c>
      <c r="AC85" s="33"/>
      <c r="AD85" s="33"/>
    </row>
    <row r="86" spans="1:30" ht="15.75" customHeight="1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184">
        <v>2049</v>
      </c>
      <c r="AB86" s="185">
        <v>0.10879999999999999</v>
      </c>
      <c r="AC86" s="33"/>
      <c r="AD86" s="33"/>
    </row>
    <row r="87" spans="1:30" ht="15.75" customHeight="1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184">
        <v>2050</v>
      </c>
      <c r="AB87" s="185">
        <v>0.10879999999999999</v>
      </c>
      <c r="AC87" s="33"/>
      <c r="AD87" s="33"/>
    </row>
    <row r="88" spans="1:30" ht="15.75" customHeight="1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184">
        <v>2051</v>
      </c>
      <c r="AB88" s="185">
        <v>0.10879999999999999</v>
      </c>
      <c r="AC88" s="33"/>
      <c r="AD88" s="33"/>
    </row>
    <row r="89" spans="1:30" ht="15.75" customHeight="1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184">
        <v>2052</v>
      </c>
      <c r="AB89" s="185">
        <v>0.10879999999999999</v>
      </c>
      <c r="AC89" s="33"/>
      <c r="AD89" s="33"/>
    </row>
    <row r="90" spans="1:30" ht="15.75" customHeight="1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184">
        <v>2053</v>
      </c>
      <c r="AB90" s="185">
        <v>0.10879999999999999</v>
      </c>
      <c r="AC90" s="33"/>
      <c r="AD90" s="33"/>
    </row>
    <row r="91" spans="1:30" ht="15.75" customHeight="1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184">
        <v>2054</v>
      </c>
      <c r="AB91" s="185">
        <v>0.10879999999999999</v>
      </c>
      <c r="AC91" s="33"/>
      <c r="AD91" s="33"/>
    </row>
    <row r="92" spans="1:30" ht="15.75" customHeight="1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184">
        <v>2055</v>
      </c>
      <c r="AB92" s="185">
        <v>0.10879999999999999</v>
      </c>
      <c r="AC92" s="33"/>
      <c r="AD92" s="33"/>
    </row>
    <row r="93" spans="1:30" ht="15.75" customHeight="1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184">
        <v>2056</v>
      </c>
      <c r="AB93" s="185">
        <v>0.10879999999999999</v>
      </c>
      <c r="AC93" s="33"/>
      <c r="AD93" s="33"/>
    </row>
    <row r="94" spans="1:30" ht="15.75" customHeight="1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184">
        <v>2057</v>
      </c>
      <c r="AB94" s="185">
        <v>0.10879999999999999</v>
      </c>
      <c r="AC94" s="33"/>
      <c r="AD94" s="33"/>
    </row>
    <row r="95" spans="1:30" ht="15.75" customHeight="1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184">
        <v>2058</v>
      </c>
      <c r="AB95" s="185">
        <v>0.10630000000000001</v>
      </c>
      <c r="AC95" s="33"/>
      <c r="AD95" s="33"/>
    </row>
    <row r="96" spans="1:30" ht="15.75" customHeight="1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184">
        <v>2059</v>
      </c>
      <c r="AB96" s="185">
        <v>0.10630000000000001</v>
      </c>
      <c r="AC96" s="33"/>
      <c r="AD96" s="33"/>
    </row>
    <row r="97" spans="1:30" ht="15.75" customHeight="1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184">
        <v>2060</v>
      </c>
      <c r="AB97" s="185">
        <v>0.10630000000000001</v>
      </c>
      <c r="AC97" s="33"/>
      <c r="AD97" s="33"/>
    </row>
    <row r="98" spans="1:30" ht="15.75" customHeight="1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184">
        <v>2061</v>
      </c>
      <c r="AB98" s="185">
        <v>0.10630000000000001</v>
      </c>
      <c r="AC98" s="33"/>
      <c r="AD98" s="33"/>
    </row>
    <row r="99" spans="1:30" ht="15.75" customHeight="1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184">
        <v>2062</v>
      </c>
      <c r="AB99" s="185">
        <v>0.10630000000000001</v>
      </c>
      <c r="AC99" s="33"/>
      <c r="AD99" s="33"/>
    </row>
    <row r="100" spans="1:30" ht="15.75" customHeight="1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184">
        <v>2063</v>
      </c>
      <c r="AB100" s="185">
        <v>0.10630000000000001</v>
      </c>
      <c r="AC100" s="33"/>
      <c r="AD100" s="33"/>
    </row>
    <row r="101" spans="1:30" ht="15.75" customHeight="1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184">
        <v>2064</v>
      </c>
      <c r="AB101" s="185">
        <v>0.10630000000000001</v>
      </c>
      <c r="AC101" s="33"/>
      <c r="AD101" s="33"/>
    </row>
    <row r="102" spans="1:30" ht="15.75" customHeight="1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184">
        <v>2065</v>
      </c>
      <c r="AB102" s="185">
        <v>0.10630000000000001</v>
      </c>
      <c r="AC102" s="33"/>
      <c r="AD102" s="33"/>
    </row>
    <row r="103" spans="1:30" ht="15.75" customHeight="1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184">
        <v>2066</v>
      </c>
      <c r="AB103" s="185">
        <v>0.10630000000000001</v>
      </c>
      <c r="AC103" s="33"/>
      <c r="AD103" s="33"/>
    </row>
    <row r="104" spans="1:30" ht="15.75" customHeight="1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184">
        <v>2067</v>
      </c>
      <c r="AB104" s="185">
        <v>0.10630000000000001</v>
      </c>
      <c r="AC104" s="33"/>
      <c r="AD104" s="33"/>
    </row>
    <row r="105" spans="1:30" ht="15.75" customHeight="1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 spans="1:30" ht="15.75" customHeight="1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 spans="1:30" ht="15.75" customHeight="1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 spans="1:30" ht="15.75" customHeight="1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 spans="1:30" ht="15.75" customHeight="1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 spans="1:30" ht="15.75" customHeight="1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 spans="1:30" ht="15.75" customHeight="1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 spans="1:30" ht="15.75" customHeight="1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 spans="1:30" ht="15.75" customHeight="1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spans="1:30" ht="15.75" customHeight="1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 spans="1:30" ht="15.75" customHeight="1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 spans="1:30" ht="15.75" customHeight="1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 spans="1:30" ht="15.75" customHeight="1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 spans="1:30" ht="15.75" customHeight="1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spans="1:30" ht="15.75" customHeight="1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 spans="1:30" ht="15.75" customHeight="1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 spans="1:30" ht="15.75" customHeight="1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 spans="1:30" ht="15.75" customHeight="1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spans="1:30" ht="15.75" customHeight="1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spans="1:30" ht="15.75" customHeight="1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spans="1:30" ht="15.75" customHeight="1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spans="1:30" ht="15.75" customHeight="1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spans="1:30" ht="15.75" customHeight="1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 spans="1:30" ht="15.75" customHeight="1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1:30" ht="15.75" customHeight="1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spans="1:30" ht="15.75" customHeight="1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spans="1:30" ht="15.75" customHeight="1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 spans="1:30" ht="15.75" customHeight="1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1:30" ht="15.75" customHeight="1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spans="1:30" ht="15.75" customHeight="1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spans="1:30" ht="15.75" customHeight="1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 spans="1:30" ht="15.75" customHeight="1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 spans="1:30" ht="15.75" customHeight="1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 spans="1:30" ht="15.75" customHeight="1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spans="1:30" ht="15.75" customHeight="1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spans="1:30" ht="15.75" customHeight="1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spans="1:30" ht="15.75" customHeight="1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 spans="1:30" ht="15.75" customHeight="1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 spans="1:30" ht="15.75" customHeight="1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 spans="1:30" ht="15.75" customHeight="1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spans="1:30" ht="15.75" customHeight="1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spans="1:30" ht="15.75" customHeight="1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spans="1:30" ht="15.75" customHeight="1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 spans="1:30" ht="15.75" customHeight="1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 spans="1:30" ht="15.75" customHeight="1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 spans="1:30" ht="15.75" customHeight="1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 spans="1:30" ht="15.75" customHeight="1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 spans="1:30" ht="15.75" customHeight="1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spans="1:30" ht="15.75" customHeight="1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spans="1:30" ht="15.75" customHeight="1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spans="1:30" ht="15.75" customHeight="1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spans="1:30" ht="15.75" customHeight="1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spans="1:30" ht="15.75" customHeight="1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spans="1:30" ht="15.75" customHeight="1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spans="1:30" ht="15.75" customHeight="1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spans="1:30" ht="15.75" customHeight="1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spans="1:30" ht="15.75" customHeight="1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spans="1:30" ht="15.75" customHeight="1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spans="1:30" ht="15.75" customHeight="1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spans="1:30" ht="15.75" customHeight="1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 spans="1:30" ht="15.75" customHeight="1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spans="1:30" ht="15.75" customHeight="1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spans="1:30" ht="15.75" customHeight="1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spans="1:30" ht="15.75" customHeight="1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spans="1:30" ht="15.75" customHeight="1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spans="1:30" ht="15.75" customHeight="1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spans="1:30" ht="15.75" customHeight="1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spans="1:30" ht="15.75" customHeight="1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spans="1:30" ht="15.75" customHeight="1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 spans="1:30" ht="15.75" customHeight="1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spans="1:30" ht="15.75" customHeight="1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spans="1:30" ht="15.75" customHeight="1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spans="1:30" ht="15.75" customHeight="1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spans="1:30" ht="15.75" customHeight="1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spans="1:30" ht="15.75" customHeight="1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spans="1:30" ht="15.75" customHeight="1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spans="1:30" ht="15.75" customHeight="1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spans="1:30" ht="15.75" customHeight="1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spans="1:30" ht="15.75" customHeight="1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spans="1:30" ht="15.75" customHeight="1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spans="1:30" ht="15.75" customHeight="1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 spans="1:30" ht="15.75" customHeight="1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spans="1:30" ht="15.75" customHeight="1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spans="1:30" ht="15.75" customHeight="1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spans="1:30" ht="15.75" customHeight="1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spans="1:30" ht="15.75" customHeight="1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spans="1:30" ht="15.75" customHeight="1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spans="1:30" ht="15.75" customHeight="1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spans="1:30" ht="15.75" customHeight="1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spans="1:30" ht="15.75" customHeight="1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spans="1:30" ht="15.75" customHeight="1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spans="1:30" ht="15.75" customHeight="1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spans="1:30" ht="15.75" customHeight="1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spans="1:30" ht="15.75" customHeight="1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spans="1:30" ht="15.75" customHeight="1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spans="1:30" ht="15.75" customHeight="1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 spans="1:30" ht="15.75" customHeight="1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 spans="1:30" ht="15.75" customHeight="1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 spans="1:30" ht="15.75" customHeight="1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 spans="1:30" ht="15.75" customHeight="1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 spans="1:30" ht="15.75" customHeight="1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 spans="1:30" ht="15.75" customHeight="1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 spans="1:30" ht="15.75" customHeight="1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 spans="1:30" ht="15.75" customHeight="1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 spans="1:30" ht="15.75" customHeight="1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 spans="1:30" ht="15.75" customHeight="1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 spans="1:30" ht="15.75" customHeight="1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 spans="1:30" ht="15.75" customHeight="1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 spans="1:30" ht="15.75" customHeight="1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 spans="1:30" ht="15.75" customHeight="1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 spans="1:30" ht="15.75" customHeight="1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 spans="1:30" ht="15.75" customHeight="1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 spans="1:30" ht="15.75" customHeight="1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 spans="1:30" ht="15.75" customHeight="1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 spans="1:30" ht="15.75" customHeight="1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 spans="1:30" ht="15.75" customHeight="1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 spans="1:30" ht="15.75" customHeight="1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 spans="1:30" ht="15.75" customHeight="1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 spans="1:30" ht="15.75" customHeight="1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 spans="1:30" ht="15.75" customHeight="1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 spans="1:30" ht="15.75" customHeight="1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 spans="1:30" ht="15.75" customHeight="1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 spans="1:30" ht="15.75" customHeight="1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 spans="1:30" ht="15.75" customHeight="1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 spans="1:30" ht="15.75" customHeight="1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 spans="1:30" ht="15.75" customHeight="1" x14ac:dyDescent="0.3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 spans="1:30" ht="15.75" customHeight="1" x14ac:dyDescent="0.3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 spans="1:30" ht="15.75" customHeight="1" x14ac:dyDescent="0.3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 spans="1:30" ht="15.75" customHeight="1" x14ac:dyDescent="0.3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 spans="1:30" ht="15.75" customHeight="1" x14ac:dyDescent="0.3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 spans="1:30" ht="15.75" customHeight="1" x14ac:dyDescent="0.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 spans="1:30" ht="15.75" customHeight="1" x14ac:dyDescent="0.3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 spans="1:30" ht="15.75" customHeight="1" x14ac:dyDescent="0.3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 spans="1:30" ht="15.75" customHeight="1" x14ac:dyDescent="0.3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 spans="1:30" ht="15.75" customHeight="1" x14ac:dyDescent="0.3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 spans="1:30" ht="15.75" customHeight="1" x14ac:dyDescent="0.3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 spans="1:30" ht="15.75" customHeight="1" x14ac:dyDescent="0.3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 spans="1:30" ht="15.75" customHeight="1" x14ac:dyDescent="0.3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 spans="1:30" ht="15.75" customHeight="1" x14ac:dyDescent="0.3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 spans="1:30" ht="15.75" customHeight="1" x14ac:dyDescent="0.3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 spans="1:30" ht="15.75" customHeight="1" x14ac:dyDescent="0.3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 spans="1:30" ht="15.75" customHeight="1" x14ac:dyDescent="0.3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 spans="1:30" ht="15.75" customHeight="1" x14ac:dyDescent="0.3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 spans="1:30" ht="15.75" customHeight="1" x14ac:dyDescent="0.3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 spans="1:30" ht="15.75" customHeight="1" x14ac:dyDescent="0.3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 spans="1:30" ht="15.75" customHeight="1" x14ac:dyDescent="0.3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 spans="1:30" ht="15.75" customHeight="1" x14ac:dyDescent="0.3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 spans="1:30" ht="15.75" customHeight="1" x14ac:dyDescent="0.3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 spans="1:30" ht="15.75" customHeight="1" x14ac:dyDescent="0.3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 spans="1:30" ht="15.75" customHeight="1" x14ac:dyDescent="0.3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 spans="1:30" ht="15.75" customHeight="1" x14ac:dyDescent="0.3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 spans="1:30" ht="15.75" customHeight="1" x14ac:dyDescent="0.3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 spans="1:30" ht="15.75" customHeight="1" x14ac:dyDescent="0.3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 spans="1:30" ht="15.75" customHeight="1" x14ac:dyDescent="0.3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 spans="1:30" ht="15.75" customHeight="1" x14ac:dyDescent="0.3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 spans="1:30" ht="15.75" customHeight="1" x14ac:dyDescent="0.3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 spans="1:30" ht="15.75" customHeight="1" x14ac:dyDescent="0.3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 spans="1:30" ht="15.75" customHeight="1" x14ac:dyDescent="0.3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 spans="1:30" ht="15.75" customHeight="1" x14ac:dyDescent="0.3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 spans="1:30" ht="15.75" customHeight="1" x14ac:dyDescent="0.3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 spans="1:30" ht="15.75" customHeight="1" x14ac:dyDescent="0.3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 spans="1:30" ht="15.75" customHeight="1" x14ac:dyDescent="0.3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 spans="1:30" ht="15.75" customHeight="1" x14ac:dyDescent="0.3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 spans="1:30" ht="15.75" customHeight="1" x14ac:dyDescent="0.3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 spans="1:30" ht="15.75" customHeight="1" x14ac:dyDescent="0.3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 spans="1:30" ht="15.75" customHeight="1" x14ac:dyDescent="0.3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 spans="1:30" ht="15.75" customHeight="1" x14ac:dyDescent="0.3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 spans="1:30" ht="15.75" customHeight="1" x14ac:dyDescent="0.3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 spans="1:30" ht="15.75" customHeight="1" x14ac:dyDescent="0.3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 spans="1:30" ht="15.75" customHeight="1" x14ac:dyDescent="0.3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 spans="1:30" ht="15.75" customHeight="1" x14ac:dyDescent="0.3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 spans="1:30" ht="15.75" customHeight="1" x14ac:dyDescent="0.3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 spans="1:30" ht="15.75" customHeight="1" x14ac:dyDescent="0.3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 spans="1:30" ht="15.75" customHeight="1" x14ac:dyDescent="0.3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 spans="1:30" ht="15.75" customHeight="1" x14ac:dyDescent="0.3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 spans="1:30" ht="15.75" customHeight="1" x14ac:dyDescent="0.3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 spans="1:30" ht="15.75" customHeight="1" x14ac:dyDescent="0.3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 spans="1:30" ht="15.75" customHeight="1" x14ac:dyDescent="0.3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 spans="1:30" ht="15.75" customHeight="1" x14ac:dyDescent="0.3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 spans="1:30" ht="15.75" customHeight="1" x14ac:dyDescent="0.3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 spans="1:30" ht="15.75" customHeight="1" x14ac:dyDescent="0.3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 spans="1:30" ht="15.75" customHeight="1" x14ac:dyDescent="0.3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 spans="1:30" ht="15.75" customHeight="1" x14ac:dyDescent="0.3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 spans="1:30" ht="15.75" customHeight="1" x14ac:dyDescent="0.3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 spans="1:30" ht="15.75" customHeight="1" x14ac:dyDescent="0.3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 spans="1:30" ht="15.75" customHeight="1" x14ac:dyDescent="0.3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 spans="1:30" ht="15.75" customHeight="1" x14ac:dyDescent="0.3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 spans="1:30" ht="15.75" customHeight="1" x14ac:dyDescent="0.3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 spans="1:30" ht="15.75" customHeight="1" x14ac:dyDescent="0.3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 spans="1:30" ht="15.75" customHeight="1" x14ac:dyDescent="0.3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 spans="1:30" ht="15.75" customHeight="1" x14ac:dyDescent="0.3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 spans="1:30" ht="15.75" customHeight="1" x14ac:dyDescent="0.3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 spans="1:30" ht="15.75" customHeight="1" x14ac:dyDescent="0.3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 spans="1:30" ht="15.75" customHeight="1" x14ac:dyDescent="0.3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 spans="1:30" ht="15.75" customHeight="1" x14ac:dyDescent="0.3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 spans="1:30" ht="15.75" customHeight="1" x14ac:dyDescent="0.3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 spans="1:30" ht="15.75" customHeight="1" x14ac:dyDescent="0.3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 spans="1:30" ht="15.75" customHeight="1" x14ac:dyDescent="0.3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 spans="1:30" ht="15.75" customHeight="1" x14ac:dyDescent="0.3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 spans="1:30" ht="15.75" customHeight="1" x14ac:dyDescent="0.3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 spans="1:30" ht="15.75" customHeight="1" x14ac:dyDescent="0.3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 spans="1:30" ht="15.75" customHeight="1" x14ac:dyDescent="0.3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 spans="1:30" ht="15.75" customHeight="1" x14ac:dyDescent="0.3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 spans="1:30" ht="15.75" customHeight="1" x14ac:dyDescent="0.3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 spans="1:30" ht="15.75" customHeight="1" x14ac:dyDescent="0.3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 spans="1:30" ht="15.75" customHeight="1" x14ac:dyDescent="0.3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 spans="1:30" ht="15.75" customHeight="1" x14ac:dyDescent="0.3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 spans="1:30" ht="15.75" customHeight="1" x14ac:dyDescent="0.3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 spans="1:30" ht="15.75" customHeight="1" x14ac:dyDescent="0.3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 spans="1:30" ht="15.75" customHeight="1" x14ac:dyDescent="0.3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 spans="1:30" ht="15.75" customHeight="1" x14ac:dyDescent="0.3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 spans="1:30" ht="15.75" customHeight="1" x14ac:dyDescent="0.3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 spans="1:30" ht="15.75" customHeight="1" x14ac:dyDescent="0.3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 spans="1:30" ht="15.75" customHeight="1" x14ac:dyDescent="0.3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 spans="1:30" ht="15.75" customHeight="1" x14ac:dyDescent="0.3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 spans="1:30" ht="15.75" customHeight="1" x14ac:dyDescent="0.3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 spans="1:30" ht="15.75" customHeight="1" x14ac:dyDescent="0.3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 spans="1:30" ht="15.75" customHeight="1" x14ac:dyDescent="0.3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 spans="1:30" ht="15.75" customHeight="1" x14ac:dyDescent="0.3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 spans="1:30" ht="15.75" customHeight="1" x14ac:dyDescent="0.3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 spans="1:30" ht="15.75" customHeight="1" x14ac:dyDescent="0.3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 spans="1:30" ht="15.75" customHeight="1" x14ac:dyDescent="0.3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 spans="1:30" ht="15.75" customHeight="1" x14ac:dyDescent="0.3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 spans="1:30" ht="15.75" customHeight="1" x14ac:dyDescent="0.3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 spans="1:30" ht="15.75" customHeight="1" x14ac:dyDescent="0.3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 spans="1:30" ht="15.75" customHeight="1" x14ac:dyDescent="0.3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 spans="1:30" ht="15.75" customHeight="1" x14ac:dyDescent="0.3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 spans="1:30" ht="15.75" customHeight="1" x14ac:dyDescent="0.3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 spans="1:30" ht="15.75" customHeight="1" x14ac:dyDescent="0.3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 spans="1:30" ht="15.75" customHeight="1" x14ac:dyDescent="0.3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 spans="1:30" ht="15.75" customHeight="1" x14ac:dyDescent="0.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 spans="1:30" ht="15.75" customHeight="1" x14ac:dyDescent="0.3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 spans="1:30" ht="15.75" customHeight="1" x14ac:dyDescent="0.3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 spans="1:30" ht="15.75" customHeight="1" x14ac:dyDescent="0.3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 spans="1:30" ht="15.75" customHeight="1" x14ac:dyDescent="0.3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 spans="1:30" ht="15.75" customHeight="1" x14ac:dyDescent="0.3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 spans="1:30" ht="15.75" customHeight="1" x14ac:dyDescent="0.3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 spans="1:30" ht="15.75" customHeight="1" x14ac:dyDescent="0.3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 spans="1:30" ht="15.75" customHeight="1" x14ac:dyDescent="0.3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 spans="1:30" ht="15.75" customHeight="1" x14ac:dyDescent="0.3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 spans="1:30" ht="15.75" customHeight="1" x14ac:dyDescent="0.3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 spans="1:30" ht="15.75" customHeight="1" x14ac:dyDescent="0.3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 spans="1:30" ht="15.75" customHeight="1" x14ac:dyDescent="0.3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 spans="1:30" ht="15.75" customHeight="1" x14ac:dyDescent="0.3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 spans="1:30" ht="15.75" customHeight="1" x14ac:dyDescent="0.3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 spans="1:30" ht="15.75" customHeight="1" x14ac:dyDescent="0.3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 spans="1:30" ht="15.75" customHeight="1" x14ac:dyDescent="0.3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 spans="1:30" ht="15.75" customHeight="1" x14ac:dyDescent="0.3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 spans="1:30" ht="15.75" customHeight="1" x14ac:dyDescent="0.3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 spans="1:30" ht="15.75" customHeight="1" x14ac:dyDescent="0.3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 spans="1:30" ht="15.75" customHeight="1" x14ac:dyDescent="0.3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 spans="1:30" ht="15.75" customHeight="1" x14ac:dyDescent="0.3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 spans="1:30" ht="15.75" customHeight="1" x14ac:dyDescent="0.3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 spans="1:30" ht="15.75" customHeight="1" x14ac:dyDescent="0.3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 spans="1:30" ht="15.75" customHeight="1" x14ac:dyDescent="0.3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 spans="1:30" ht="15.75" customHeight="1" x14ac:dyDescent="0.3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 spans="1:30" ht="15.75" customHeight="1" x14ac:dyDescent="0.3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 spans="1:30" ht="15.75" customHeight="1" x14ac:dyDescent="0.3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 spans="1:30" ht="15.75" customHeight="1" x14ac:dyDescent="0.3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 spans="1:30" ht="15.75" customHeight="1" x14ac:dyDescent="0.3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 spans="1:30" ht="15.75" customHeight="1" x14ac:dyDescent="0.3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 spans="1:30" ht="15.75" customHeight="1" x14ac:dyDescent="0.3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 spans="1:30" ht="15.75" customHeight="1" x14ac:dyDescent="0.3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 spans="1:30" ht="15.75" customHeight="1" x14ac:dyDescent="0.3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 spans="1:30" ht="15.75" customHeight="1" x14ac:dyDescent="0.3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 spans="1:30" ht="15.75" customHeight="1" x14ac:dyDescent="0.3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 spans="1:30" ht="15.75" customHeight="1" x14ac:dyDescent="0.3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 spans="1:30" ht="15.75" customHeight="1" x14ac:dyDescent="0.3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 spans="1:30" ht="15.75" customHeight="1" x14ac:dyDescent="0.3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 spans="1:30" ht="15.75" customHeight="1" x14ac:dyDescent="0.3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 spans="1:30" ht="15.75" customHeight="1" x14ac:dyDescent="0.3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 spans="1:30" ht="15.75" customHeight="1" x14ac:dyDescent="0.3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 spans="1:30" ht="15.75" customHeight="1" x14ac:dyDescent="0.3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 spans="1:30" ht="15.75" customHeight="1" x14ac:dyDescent="0.3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 spans="1:30" ht="15.75" customHeight="1" x14ac:dyDescent="0.3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 spans="1:30" ht="15.75" customHeight="1" x14ac:dyDescent="0.3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 spans="1:30" ht="15.75" customHeight="1" x14ac:dyDescent="0.3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 spans="1:30" ht="15.75" customHeight="1" x14ac:dyDescent="0.3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 spans="1:30" ht="15.75" customHeight="1" x14ac:dyDescent="0.3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 spans="1:30" ht="15.75" customHeight="1" x14ac:dyDescent="0.3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 spans="1:30" ht="15.75" customHeight="1" x14ac:dyDescent="0.3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 spans="1:30" ht="15.75" customHeight="1" x14ac:dyDescent="0.3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 spans="1:30" ht="15.75" customHeight="1" x14ac:dyDescent="0.3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 spans="1:30" ht="15.75" customHeight="1" x14ac:dyDescent="0.3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 spans="1:30" ht="15.75" customHeight="1" x14ac:dyDescent="0.3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 spans="1:30" ht="15.75" customHeight="1" x14ac:dyDescent="0.3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 spans="1:30" ht="15.75" customHeight="1" x14ac:dyDescent="0.3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 spans="1:30" ht="15.75" customHeight="1" x14ac:dyDescent="0.3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 spans="1:30" ht="15.75" customHeight="1" x14ac:dyDescent="0.3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 spans="1:30" ht="15.75" customHeight="1" x14ac:dyDescent="0.3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 spans="1:30" ht="15.75" customHeight="1" x14ac:dyDescent="0.3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 spans="1:30" ht="15.75" customHeight="1" x14ac:dyDescent="0.3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 spans="1:30" ht="15.75" customHeight="1" x14ac:dyDescent="0.3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 spans="1:30" ht="15.75" customHeight="1" x14ac:dyDescent="0.3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 spans="1:30" ht="15.75" customHeight="1" x14ac:dyDescent="0.3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 spans="1:30" ht="15.75" customHeight="1" x14ac:dyDescent="0.3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 spans="1:30" ht="15.75" customHeight="1" x14ac:dyDescent="0.3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 spans="1:30" ht="15.75" customHeight="1" x14ac:dyDescent="0.3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 spans="1:30" ht="15.75" customHeight="1" x14ac:dyDescent="0.3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 spans="1:30" ht="15.75" customHeight="1" x14ac:dyDescent="0.3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 spans="1:30" ht="15.75" customHeight="1" x14ac:dyDescent="0.3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 spans="1:30" ht="15.75" customHeight="1" x14ac:dyDescent="0.3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 spans="1:30" ht="15.75" customHeight="1" x14ac:dyDescent="0.3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 spans="1:30" ht="15.75" customHeight="1" x14ac:dyDescent="0.3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 spans="1:30" ht="15.75" customHeight="1" x14ac:dyDescent="0.3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 spans="1:30" ht="15.75" customHeight="1" x14ac:dyDescent="0.3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 spans="1:30" ht="15.75" customHeight="1" x14ac:dyDescent="0.3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 spans="1:30" ht="15.75" customHeight="1" x14ac:dyDescent="0.3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 spans="1:30" ht="15.75" customHeight="1" x14ac:dyDescent="0.3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 spans="1:30" ht="15.75" customHeight="1" x14ac:dyDescent="0.3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 spans="1:30" ht="15.75" customHeight="1" x14ac:dyDescent="0.3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 spans="1:30" ht="15.75" customHeight="1" x14ac:dyDescent="0.3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 spans="1:30" ht="15.75" customHeight="1" x14ac:dyDescent="0.3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 spans="1:30" ht="15.75" customHeight="1" x14ac:dyDescent="0.3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 spans="1:30" ht="15.75" customHeight="1" x14ac:dyDescent="0.3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 spans="1:30" ht="15.75" customHeight="1" x14ac:dyDescent="0.3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 spans="1:30" ht="15.75" customHeight="1" x14ac:dyDescent="0.3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 spans="1:30" ht="15.75" customHeight="1" x14ac:dyDescent="0.3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 spans="1:30" ht="15.75" customHeight="1" x14ac:dyDescent="0.3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 spans="1:30" ht="15.75" customHeight="1" x14ac:dyDescent="0.3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 spans="1:30" ht="15.75" customHeight="1" x14ac:dyDescent="0.3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 spans="1:30" ht="15.75" customHeight="1" x14ac:dyDescent="0.3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 spans="1:30" ht="15.75" customHeight="1" x14ac:dyDescent="0.3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 spans="1:30" ht="15.75" customHeight="1" x14ac:dyDescent="0.3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 spans="1:30" ht="15.75" customHeight="1" x14ac:dyDescent="0.3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 spans="1:30" ht="15.75" customHeight="1" x14ac:dyDescent="0.3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 spans="1:30" ht="15.75" customHeight="1" x14ac:dyDescent="0.3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 spans="1:30" ht="15.75" customHeight="1" x14ac:dyDescent="0.3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 spans="1:30" ht="15.75" customHeight="1" x14ac:dyDescent="0.3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 spans="1:30" ht="15.75" customHeight="1" x14ac:dyDescent="0.3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 spans="1:30" ht="15.75" customHeight="1" x14ac:dyDescent="0.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 spans="1:30" ht="15.75" customHeight="1" x14ac:dyDescent="0.3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 spans="1:30" ht="15.75" customHeight="1" x14ac:dyDescent="0.3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 spans="1:30" ht="15.75" customHeight="1" x14ac:dyDescent="0.3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 spans="1:30" ht="15.75" customHeight="1" x14ac:dyDescent="0.3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 spans="1:30" ht="15.75" customHeight="1" x14ac:dyDescent="0.3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 spans="1:30" ht="15.75" customHeight="1" x14ac:dyDescent="0.3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 spans="1:30" ht="15.75" customHeight="1" x14ac:dyDescent="0.3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 spans="1:30" ht="15.75" customHeight="1" x14ac:dyDescent="0.3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 spans="1:30" ht="15.75" customHeight="1" x14ac:dyDescent="0.3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 spans="1:30" ht="15.75" customHeight="1" x14ac:dyDescent="0.3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 spans="1:30" ht="15.75" customHeight="1" x14ac:dyDescent="0.3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 spans="1:30" ht="15.75" customHeight="1" x14ac:dyDescent="0.3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 spans="1:30" ht="15.75" customHeight="1" x14ac:dyDescent="0.3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 spans="1:30" ht="15.75" customHeight="1" x14ac:dyDescent="0.3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 spans="1:30" ht="15.75" customHeight="1" x14ac:dyDescent="0.3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 spans="1:30" ht="15.75" customHeight="1" x14ac:dyDescent="0.3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 spans="1:30" ht="15.75" customHeight="1" x14ac:dyDescent="0.3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 spans="1:30" ht="15.75" customHeight="1" x14ac:dyDescent="0.3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 spans="1:30" ht="15.75" customHeight="1" x14ac:dyDescent="0.3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 spans="1:30" ht="15.75" customHeight="1" x14ac:dyDescent="0.3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 spans="1:30" ht="15.75" customHeight="1" x14ac:dyDescent="0.3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 spans="1:30" ht="15.75" customHeight="1" x14ac:dyDescent="0.3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 spans="1:30" ht="15.75" customHeight="1" x14ac:dyDescent="0.3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 spans="1:30" ht="15.75" customHeight="1" x14ac:dyDescent="0.3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 spans="1:30" ht="15.75" customHeight="1" x14ac:dyDescent="0.3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 spans="1:30" ht="15.75" customHeight="1" x14ac:dyDescent="0.3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 spans="1:30" ht="15.75" customHeight="1" x14ac:dyDescent="0.3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 spans="1:30" ht="15.75" customHeight="1" x14ac:dyDescent="0.3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 spans="1:30" ht="15.75" customHeight="1" x14ac:dyDescent="0.3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 spans="1:30" ht="15.75" customHeight="1" x14ac:dyDescent="0.3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 spans="1:30" ht="15.75" customHeight="1" x14ac:dyDescent="0.3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 spans="1:30" ht="15.75" customHeight="1" x14ac:dyDescent="0.3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 spans="1:30" ht="15.75" customHeight="1" x14ac:dyDescent="0.3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 spans="1:30" ht="15.75" customHeight="1" x14ac:dyDescent="0.3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 spans="1:30" ht="15.75" customHeight="1" x14ac:dyDescent="0.3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 spans="1:30" ht="15.75" customHeight="1" x14ac:dyDescent="0.3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 spans="1:30" ht="15.75" customHeight="1" x14ac:dyDescent="0.3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 spans="1:30" ht="15.75" customHeight="1" x14ac:dyDescent="0.3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 spans="1:30" ht="15.75" customHeight="1" x14ac:dyDescent="0.3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 spans="1:30" ht="15.75" customHeight="1" x14ac:dyDescent="0.3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 spans="1:30" ht="15.75" customHeight="1" x14ac:dyDescent="0.3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 spans="1:30" ht="15.75" customHeight="1" x14ac:dyDescent="0.3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 spans="1:30" ht="15.75" customHeight="1" x14ac:dyDescent="0.3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 spans="1:30" ht="15.75" customHeight="1" x14ac:dyDescent="0.3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 spans="1:30" ht="15.75" customHeight="1" x14ac:dyDescent="0.3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 spans="1:30" ht="15.75" customHeight="1" x14ac:dyDescent="0.3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 spans="1:30" ht="15.75" customHeight="1" x14ac:dyDescent="0.3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 spans="1:30" ht="15.75" customHeight="1" x14ac:dyDescent="0.3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 spans="1:30" ht="15.75" customHeight="1" x14ac:dyDescent="0.3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 spans="1:30" ht="15.75" customHeight="1" x14ac:dyDescent="0.3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 spans="1:30" ht="15.75" customHeight="1" x14ac:dyDescent="0.3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 spans="1:30" ht="15.75" customHeight="1" x14ac:dyDescent="0.3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 spans="1:30" ht="15.75" customHeight="1" x14ac:dyDescent="0.3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 spans="1:30" ht="15.75" customHeight="1" x14ac:dyDescent="0.3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 spans="1:30" ht="15.75" customHeight="1" x14ac:dyDescent="0.3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 spans="1:30" ht="15.75" customHeight="1" x14ac:dyDescent="0.3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 spans="1:30" ht="15.75" customHeight="1" x14ac:dyDescent="0.3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 spans="1:30" ht="15.75" customHeight="1" x14ac:dyDescent="0.3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 spans="1:30" ht="15.75" customHeight="1" x14ac:dyDescent="0.3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 spans="1:30" ht="15.75" customHeight="1" x14ac:dyDescent="0.3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 spans="1:30" ht="15.75" customHeight="1" x14ac:dyDescent="0.3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 spans="1:30" ht="15.75" customHeight="1" x14ac:dyDescent="0.3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 spans="1:30" ht="15.75" customHeight="1" x14ac:dyDescent="0.3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 spans="1:30" ht="15.75" customHeight="1" x14ac:dyDescent="0.3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 spans="1:30" ht="15.75" customHeight="1" x14ac:dyDescent="0.3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 spans="1:30" ht="15.75" customHeight="1" x14ac:dyDescent="0.3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 spans="1:30" ht="15.75" customHeight="1" x14ac:dyDescent="0.3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 spans="1:30" ht="15.75" customHeight="1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 spans="1:30" ht="15.75" customHeight="1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 spans="1:30" ht="15.75" customHeight="1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 spans="1:30" ht="15.75" customHeight="1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 spans="1:30" ht="15.75" customHeight="1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 spans="1:30" ht="15.75" customHeight="1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 spans="1:30" ht="15.75" customHeight="1" x14ac:dyDescent="0.3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 spans="1:30" ht="15.75" customHeight="1" x14ac:dyDescent="0.3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 spans="1:30" ht="15.75" customHeight="1" x14ac:dyDescent="0.3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 spans="1:30" ht="15.75" customHeight="1" x14ac:dyDescent="0.3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 spans="1:30" ht="15.75" customHeight="1" x14ac:dyDescent="0.3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 spans="1:30" ht="15.75" customHeight="1" x14ac:dyDescent="0.3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 spans="1:30" ht="15.75" customHeight="1" x14ac:dyDescent="0.3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 spans="1:30" ht="15.75" customHeight="1" x14ac:dyDescent="0.3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 spans="1:30" ht="15.75" customHeight="1" x14ac:dyDescent="0.3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 spans="1:30" ht="15.75" customHeight="1" x14ac:dyDescent="0.3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 spans="1:30" ht="15.75" customHeight="1" x14ac:dyDescent="0.3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 spans="1:30" ht="15.75" customHeight="1" x14ac:dyDescent="0.3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 spans="1:30" ht="15.75" customHeight="1" x14ac:dyDescent="0.3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 spans="1:30" ht="15.75" customHeight="1" x14ac:dyDescent="0.3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 spans="1:30" ht="15.75" customHeight="1" x14ac:dyDescent="0.3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 spans="1:30" ht="15.75" customHeight="1" x14ac:dyDescent="0.3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 spans="1:30" ht="15.75" customHeight="1" x14ac:dyDescent="0.3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 spans="1:30" ht="15.75" customHeight="1" x14ac:dyDescent="0.3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 spans="1:30" ht="15.75" customHeight="1" x14ac:dyDescent="0.3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 spans="1:30" ht="15.75" customHeight="1" x14ac:dyDescent="0.3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 spans="1:30" ht="15.75" customHeight="1" x14ac:dyDescent="0.3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 spans="1:30" ht="15.75" customHeight="1" x14ac:dyDescent="0.3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 spans="1:30" ht="15.75" customHeight="1" x14ac:dyDescent="0.3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 spans="1:30" ht="15.75" customHeight="1" x14ac:dyDescent="0.3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 spans="1:30" ht="15.75" customHeight="1" x14ac:dyDescent="0.3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 spans="1:30" ht="15.75" customHeight="1" x14ac:dyDescent="0.3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 spans="1:30" ht="15.75" customHeight="1" x14ac:dyDescent="0.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 spans="1:30" ht="15.75" customHeight="1" x14ac:dyDescent="0.3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 spans="1:30" ht="15.75" customHeight="1" x14ac:dyDescent="0.3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 spans="1:30" ht="15.75" customHeight="1" x14ac:dyDescent="0.3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 spans="1:30" ht="15.75" customHeight="1" x14ac:dyDescent="0.3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 spans="1:30" ht="15.75" customHeight="1" x14ac:dyDescent="0.3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 spans="1:30" ht="15.75" customHeight="1" x14ac:dyDescent="0.3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 spans="1:30" ht="15.75" customHeight="1" x14ac:dyDescent="0.3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 spans="1:30" ht="15.75" customHeight="1" x14ac:dyDescent="0.3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 spans="1:30" ht="15.75" customHeight="1" x14ac:dyDescent="0.3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 spans="1:30" ht="15.75" customHeight="1" x14ac:dyDescent="0.3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 spans="1:30" ht="15.75" customHeight="1" x14ac:dyDescent="0.3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 spans="1:30" ht="15.75" customHeight="1" x14ac:dyDescent="0.3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 spans="1:30" ht="15.75" customHeight="1" x14ac:dyDescent="0.3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 spans="1:30" ht="15.75" customHeight="1" x14ac:dyDescent="0.3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 spans="1:30" ht="15.75" customHeight="1" x14ac:dyDescent="0.3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 spans="1:30" ht="15.75" customHeight="1" x14ac:dyDescent="0.3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 spans="1:30" ht="15.75" customHeight="1" x14ac:dyDescent="0.3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 spans="1:30" ht="15.75" customHeight="1" x14ac:dyDescent="0.3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 spans="1:30" ht="15.75" customHeight="1" x14ac:dyDescent="0.3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 spans="1:30" ht="15.75" customHeight="1" x14ac:dyDescent="0.3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 spans="1:30" ht="15.75" customHeight="1" x14ac:dyDescent="0.3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 spans="1:30" ht="15.75" customHeight="1" x14ac:dyDescent="0.3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 spans="1:30" ht="15.75" customHeight="1" x14ac:dyDescent="0.3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 spans="1:30" ht="15.75" customHeight="1" x14ac:dyDescent="0.3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 spans="1:30" ht="15.75" customHeight="1" x14ac:dyDescent="0.3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 spans="1:30" ht="15.75" customHeight="1" x14ac:dyDescent="0.3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 spans="1:30" ht="15.75" customHeight="1" x14ac:dyDescent="0.3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 spans="1:30" ht="15.75" customHeight="1" x14ac:dyDescent="0.3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 spans="1:30" ht="15.75" customHeight="1" x14ac:dyDescent="0.3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 spans="1:30" ht="15.75" customHeight="1" x14ac:dyDescent="0.3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 spans="1:30" ht="15.75" customHeight="1" x14ac:dyDescent="0.3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 spans="1:30" ht="15.75" customHeight="1" x14ac:dyDescent="0.3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 spans="1:30" ht="15.75" customHeight="1" x14ac:dyDescent="0.3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 spans="1:30" ht="15.75" customHeight="1" x14ac:dyDescent="0.3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 spans="1:30" ht="15.75" customHeight="1" x14ac:dyDescent="0.3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 spans="1:30" ht="15.75" customHeight="1" x14ac:dyDescent="0.3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 spans="1:30" ht="15.75" customHeight="1" x14ac:dyDescent="0.3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 spans="1:30" ht="15.75" customHeight="1" x14ac:dyDescent="0.3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 spans="1:30" ht="15.75" customHeight="1" x14ac:dyDescent="0.3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 spans="1:30" ht="15.75" customHeight="1" x14ac:dyDescent="0.3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 spans="1:30" ht="15.75" customHeight="1" x14ac:dyDescent="0.3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 spans="1:30" ht="15.75" customHeight="1" x14ac:dyDescent="0.3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 spans="1:30" ht="15.75" customHeight="1" x14ac:dyDescent="0.3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 spans="1:30" ht="15.75" customHeight="1" x14ac:dyDescent="0.3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 spans="1:30" ht="15.75" customHeight="1" x14ac:dyDescent="0.3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 spans="1:30" ht="15.75" customHeight="1" x14ac:dyDescent="0.3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 spans="1:30" ht="15.75" customHeight="1" x14ac:dyDescent="0.3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 spans="1:30" ht="15.75" customHeight="1" x14ac:dyDescent="0.3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 spans="1:30" ht="15.75" customHeight="1" x14ac:dyDescent="0.3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 spans="1:30" ht="15.75" customHeight="1" x14ac:dyDescent="0.3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 spans="1:30" ht="15.75" customHeight="1" x14ac:dyDescent="0.3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 spans="1:30" ht="15.75" customHeight="1" x14ac:dyDescent="0.3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 spans="1:30" ht="15.75" customHeight="1" x14ac:dyDescent="0.3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 spans="1:30" ht="15.75" customHeight="1" x14ac:dyDescent="0.3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 spans="1:30" ht="15.75" customHeight="1" x14ac:dyDescent="0.3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 spans="1:30" ht="15.75" customHeight="1" x14ac:dyDescent="0.3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 spans="1:30" ht="15.75" customHeight="1" x14ac:dyDescent="0.3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 spans="1:30" ht="15.75" customHeight="1" x14ac:dyDescent="0.3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 spans="1:30" ht="15.75" customHeight="1" x14ac:dyDescent="0.3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 spans="1:30" ht="15.75" customHeight="1" x14ac:dyDescent="0.3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 spans="1:30" ht="15.75" customHeight="1" x14ac:dyDescent="0.3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 spans="1:30" ht="15.75" customHeight="1" x14ac:dyDescent="0.3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 spans="1:30" ht="15.75" customHeight="1" x14ac:dyDescent="0.3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 spans="1:30" ht="15.75" customHeight="1" x14ac:dyDescent="0.3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 spans="1:30" ht="15.75" customHeight="1" x14ac:dyDescent="0.3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 spans="1:30" ht="15.75" customHeight="1" x14ac:dyDescent="0.3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 spans="1:30" ht="15.75" customHeight="1" x14ac:dyDescent="0.3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 spans="1:30" ht="15.75" customHeight="1" x14ac:dyDescent="0.3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 spans="1:30" ht="15.75" customHeight="1" x14ac:dyDescent="0.3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 spans="1:30" ht="15.75" customHeight="1" x14ac:dyDescent="0.3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 spans="1:30" ht="15.75" customHeight="1" x14ac:dyDescent="0.3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 spans="1:30" ht="15.75" customHeight="1" x14ac:dyDescent="0.3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 spans="1:30" ht="15.75" customHeight="1" x14ac:dyDescent="0.3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 spans="1:30" ht="15.75" customHeight="1" x14ac:dyDescent="0.3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 spans="1:30" ht="15.75" customHeight="1" x14ac:dyDescent="0.3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 spans="1:30" ht="15.75" customHeight="1" x14ac:dyDescent="0.3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 spans="1:30" ht="15.75" customHeight="1" x14ac:dyDescent="0.3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 spans="1:30" ht="15.75" customHeight="1" x14ac:dyDescent="0.3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 spans="1:30" ht="15.75" customHeight="1" x14ac:dyDescent="0.3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 spans="1:30" ht="15.75" customHeight="1" x14ac:dyDescent="0.3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 spans="1:30" ht="15.75" customHeight="1" x14ac:dyDescent="0.3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 spans="1:30" ht="15.75" customHeight="1" x14ac:dyDescent="0.3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 spans="1:30" ht="15.75" customHeight="1" x14ac:dyDescent="0.3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 spans="1:30" ht="15.75" customHeight="1" x14ac:dyDescent="0.3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 spans="1:30" ht="15.75" customHeight="1" x14ac:dyDescent="0.3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 spans="1:30" ht="15.75" customHeight="1" x14ac:dyDescent="0.3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 spans="1:30" ht="15.75" customHeight="1" x14ac:dyDescent="0.3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 spans="1:30" ht="15.75" customHeight="1" x14ac:dyDescent="0.3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 spans="1:30" ht="15.75" customHeight="1" x14ac:dyDescent="0.3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 spans="1:30" ht="15.75" customHeight="1" x14ac:dyDescent="0.3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 spans="1:30" ht="15.75" customHeight="1" x14ac:dyDescent="0.3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 spans="1:30" ht="15.75" customHeight="1" x14ac:dyDescent="0.3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 spans="1:30" ht="15.75" customHeight="1" x14ac:dyDescent="0.3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 spans="1:30" ht="15.75" customHeight="1" x14ac:dyDescent="0.3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 spans="1:30" ht="15.75" customHeight="1" x14ac:dyDescent="0.3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 spans="1:30" ht="15.75" customHeight="1" x14ac:dyDescent="0.3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 spans="1:30" ht="15.75" customHeight="1" x14ac:dyDescent="0.3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 spans="1:30" ht="15.75" customHeight="1" x14ac:dyDescent="0.3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 spans="1:30" ht="15.75" customHeight="1" x14ac:dyDescent="0.3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 spans="1:30" ht="15.75" customHeight="1" x14ac:dyDescent="0.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 spans="1:30" ht="15.75" customHeight="1" x14ac:dyDescent="0.3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 spans="1:30" ht="15.75" customHeight="1" x14ac:dyDescent="0.3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 spans="1:30" ht="15.75" customHeight="1" x14ac:dyDescent="0.3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 spans="1:30" ht="15.75" customHeight="1" x14ac:dyDescent="0.3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 spans="1:30" ht="15.75" customHeight="1" x14ac:dyDescent="0.3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 spans="1:30" ht="15.75" customHeight="1" x14ac:dyDescent="0.3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 spans="1:30" ht="15.75" customHeight="1" x14ac:dyDescent="0.3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 spans="1:30" ht="15.75" customHeight="1" x14ac:dyDescent="0.3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 spans="1:30" ht="15.75" customHeight="1" x14ac:dyDescent="0.3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 spans="1:30" ht="15.75" customHeight="1" x14ac:dyDescent="0.3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 spans="1:30" ht="15.75" customHeight="1" x14ac:dyDescent="0.3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 spans="1:30" ht="15.75" customHeight="1" x14ac:dyDescent="0.3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 spans="1:30" ht="15.75" customHeight="1" x14ac:dyDescent="0.3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 spans="1:30" ht="15.75" customHeight="1" x14ac:dyDescent="0.3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 spans="1:30" ht="15.75" customHeight="1" x14ac:dyDescent="0.3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 spans="1:30" ht="15.75" customHeight="1" x14ac:dyDescent="0.3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 spans="1:30" ht="15.75" customHeight="1" x14ac:dyDescent="0.3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 spans="1:30" ht="15.75" customHeight="1" x14ac:dyDescent="0.3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 spans="1:30" ht="15.75" customHeight="1" x14ac:dyDescent="0.3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 spans="1:30" ht="15.75" customHeight="1" x14ac:dyDescent="0.3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 spans="1:30" ht="15.75" customHeight="1" x14ac:dyDescent="0.3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 spans="1:30" ht="15.75" customHeight="1" x14ac:dyDescent="0.3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 spans="1:30" ht="15.75" customHeight="1" x14ac:dyDescent="0.3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 spans="1:30" ht="15.75" customHeight="1" x14ac:dyDescent="0.3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 spans="1:30" ht="15.75" customHeight="1" x14ac:dyDescent="0.3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 spans="1:30" ht="15.75" customHeight="1" x14ac:dyDescent="0.3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 spans="1:30" ht="15.75" customHeight="1" x14ac:dyDescent="0.3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 spans="1:30" ht="15.75" customHeight="1" x14ac:dyDescent="0.3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 spans="1:30" ht="15.75" customHeight="1" x14ac:dyDescent="0.3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 spans="1:30" ht="15.75" customHeight="1" x14ac:dyDescent="0.3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 spans="1:30" ht="15.75" customHeight="1" x14ac:dyDescent="0.3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 spans="1:30" ht="15.75" customHeight="1" x14ac:dyDescent="0.3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 spans="1:30" ht="15.75" customHeight="1" x14ac:dyDescent="0.3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 spans="1:30" ht="15.75" customHeight="1" x14ac:dyDescent="0.3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 spans="1:30" ht="15.75" customHeight="1" x14ac:dyDescent="0.3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 spans="1:30" ht="15.75" customHeight="1" x14ac:dyDescent="0.3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 spans="1:30" ht="15.75" customHeight="1" x14ac:dyDescent="0.3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 spans="1:30" ht="15.75" customHeight="1" x14ac:dyDescent="0.3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 spans="1:30" ht="15.75" customHeight="1" x14ac:dyDescent="0.3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 spans="1:30" ht="15.75" customHeight="1" x14ac:dyDescent="0.3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 spans="1:30" ht="15.75" customHeight="1" x14ac:dyDescent="0.3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 spans="1:30" ht="15.75" customHeight="1" x14ac:dyDescent="0.3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 spans="1:30" ht="15.75" customHeight="1" x14ac:dyDescent="0.3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 spans="1:30" ht="15.75" customHeight="1" x14ac:dyDescent="0.3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 spans="1:30" ht="15.75" customHeight="1" x14ac:dyDescent="0.3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 spans="1:30" ht="15.75" customHeight="1" x14ac:dyDescent="0.3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 spans="1:30" ht="15.75" customHeight="1" x14ac:dyDescent="0.3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 spans="1:30" ht="15.75" customHeight="1" x14ac:dyDescent="0.3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 spans="1:30" ht="15.75" customHeight="1" x14ac:dyDescent="0.3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 spans="1:30" ht="15.75" customHeight="1" x14ac:dyDescent="0.3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 spans="1:30" ht="15.75" customHeight="1" x14ac:dyDescent="0.3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 spans="1:30" ht="15.75" customHeight="1" x14ac:dyDescent="0.3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 spans="1:30" ht="15.75" customHeight="1" x14ac:dyDescent="0.3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 spans="1:30" ht="15.75" customHeight="1" x14ac:dyDescent="0.3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 spans="1:30" ht="15.75" customHeight="1" x14ac:dyDescent="0.3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 spans="1:30" ht="15.75" customHeight="1" x14ac:dyDescent="0.3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 spans="1:30" ht="15.75" customHeight="1" x14ac:dyDescent="0.3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 spans="1:30" ht="15.75" customHeight="1" x14ac:dyDescent="0.3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 spans="1:30" ht="15.75" customHeight="1" x14ac:dyDescent="0.3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 spans="1:30" ht="15.75" customHeight="1" x14ac:dyDescent="0.3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 spans="1:30" ht="15.75" customHeight="1" x14ac:dyDescent="0.3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 spans="1:30" ht="15.75" customHeight="1" x14ac:dyDescent="0.3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 spans="1:30" ht="15.75" customHeight="1" x14ac:dyDescent="0.3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 spans="1:30" ht="15.75" customHeight="1" x14ac:dyDescent="0.3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 spans="1:30" ht="15.75" customHeight="1" x14ac:dyDescent="0.3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 spans="1:30" ht="15.75" customHeight="1" x14ac:dyDescent="0.3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 spans="1:30" ht="15.75" customHeight="1" x14ac:dyDescent="0.3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 spans="1:30" ht="15.75" customHeight="1" x14ac:dyDescent="0.3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 spans="1:30" ht="15.75" customHeight="1" x14ac:dyDescent="0.3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 spans="1:30" ht="15.75" customHeight="1" x14ac:dyDescent="0.3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 spans="1:30" ht="15.75" customHeight="1" x14ac:dyDescent="0.3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 spans="1:30" ht="15.75" customHeight="1" x14ac:dyDescent="0.3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 spans="1:30" ht="15.75" customHeight="1" x14ac:dyDescent="0.3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 spans="1:30" ht="15.75" customHeight="1" x14ac:dyDescent="0.3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 spans="1:30" ht="15.75" customHeight="1" x14ac:dyDescent="0.3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 spans="1:30" ht="15.75" customHeight="1" x14ac:dyDescent="0.3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 spans="1:30" ht="15.75" customHeight="1" x14ac:dyDescent="0.3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 spans="1:30" ht="15.75" customHeight="1" x14ac:dyDescent="0.3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 spans="1:30" ht="15.75" customHeight="1" x14ac:dyDescent="0.3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 spans="1:30" ht="15.75" customHeight="1" x14ac:dyDescent="0.3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 spans="1:30" ht="15.75" customHeight="1" x14ac:dyDescent="0.3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 spans="1:30" ht="15.75" customHeight="1" x14ac:dyDescent="0.3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 spans="1:30" ht="15.75" customHeight="1" x14ac:dyDescent="0.3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 spans="1:30" ht="15.75" customHeight="1" x14ac:dyDescent="0.3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 spans="1:30" ht="15.75" customHeight="1" x14ac:dyDescent="0.3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 spans="1:30" ht="15.75" customHeight="1" x14ac:dyDescent="0.3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 spans="1:30" ht="15.75" customHeight="1" x14ac:dyDescent="0.3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 spans="1:30" ht="15.75" customHeight="1" x14ac:dyDescent="0.3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 spans="1:30" ht="15.75" customHeight="1" x14ac:dyDescent="0.3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 spans="1:30" ht="15.75" customHeight="1" x14ac:dyDescent="0.3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 spans="1:30" ht="15.75" customHeight="1" x14ac:dyDescent="0.3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 spans="1:30" ht="15.75" customHeight="1" x14ac:dyDescent="0.3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 spans="1:30" ht="15.75" customHeight="1" x14ac:dyDescent="0.3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 spans="1:30" ht="15.75" customHeight="1" x14ac:dyDescent="0.3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 spans="1:30" ht="15.75" customHeight="1" x14ac:dyDescent="0.3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 spans="1:30" ht="15.75" customHeight="1" x14ac:dyDescent="0.3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 spans="1:30" ht="15.75" customHeight="1" x14ac:dyDescent="0.3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 spans="1:30" ht="15.75" customHeight="1" x14ac:dyDescent="0.3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 spans="1:30" ht="15.75" customHeight="1" x14ac:dyDescent="0.3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 spans="1:30" ht="15.75" customHeight="1" x14ac:dyDescent="0.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 spans="1:30" ht="15.75" customHeight="1" x14ac:dyDescent="0.3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 spans="1:30" ht="15.75" customHeight="1" x14ac:dyDescent="0.3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 spans="1:30" ht="15.75" customHeight="1" x14ac:dyDescent="0.3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 spans="1:30" ht="15.75" customHeight="1" x14ac:dyDescent="0.3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 spans="1:30" ht="15.75" customHeight="1" x14ac:dyDescent="0.3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 spans="1:30" ht="15.75" customHeight="1" x14ac:dyDescent="0.3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 spans="1:30" ht="15.75" customHeight="1" x14ac:dyDescent="0.3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 spans="1:30" ht="15.75" customHeight="1" x14ac:dyDescent="0.3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 spans="1:30" ht="15.75" customHeight="1" x14ac:dyDescent="0.3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 spans="1:30" ht="15.75" customHeight="1" x14ac:dyDescent="0.3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 spans="1:30" ht="15.75" customHeight="1" x14ac:dyDescent="0.3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 spans="1:30" ht="15.75" customHeight="1" x14ac:dyDescent="0.3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 spans="1:30" ht="15.75" customHeight="1" x14ac:dyDescent="0.3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 spans="1:30" ht="15.75" customHeight="1" x14ac:dyDescent="0.3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 spans="1:30" ht="15.75" customHeight="1" x14ac:dyDescent="0.3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 spans="1:30" ht="15.75" customHeight="1" x14ac:dyDescent="0.3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 spans="1:30" ht="15.75" customHeight="1" x14ac:dyDescent="0.3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 spans="1:30" ht="15.75" customHeight="1" x14ac:dyDescent="0.3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 spans="1:30" ht="15.75" customHeight="1" x14ac:dyDescent="0.3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 spans="1:30" ht="15.75" customHeight="1" x14ac:dyDescent="0.3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 spans="1:30" ht="15.75" customHeight="1" x14ac:dyDescent="0.3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 spans="1:30" ht="15.75" customHeight="1" x14ac:dyDescent="0.3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 spans="1:30" ht="15.75" customHeight="1" x14ac:dyDescent="0.3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 spans="1:30" ht="15.75" customHeight="1" x14ac:dyDescent="0.3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 spans="1:30" ht="15.75" customHeight="1" x14ac:dyDescent="0.3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 spans="1:30" ht="15.75" customHeight="1" x14ac:dyDescent="0.3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 spans="1:30" ht="15.75" customHeight="1" x14ac:dyDescent="0.3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 spans="1:30" ht="15.75" customHeight="1" x14ac:dyDescent="0.3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 spans="1:30" ht="15.75" customHeight="1" x14ac:dyDescent="0.3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 spans="1:30" ht="15.75" customHeight="1" x14ac:dyDescent="0.3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 spans="1:30" ht="15.75" customHeight="1" x14ac:dyDescent="0.3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 spans="1:30" ht="15.75" customHeight="1" x14ac:dyDescent="0.3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 spans="1:30" ht="15.75" customHeight="1" x14ac:dyDescent="0.3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 spans="1:30" ht="15.75" customHeight="1" x14ac:dyDescent="0.3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 spans="1:30" ht="15.75" customHeight="1" x14ac:dyDescent="0.3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 spans="1:30" ht="15.75" customHeight="1" x14ac:dyDescent="0.3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 spans="1:30" ht="15.75" customHeight="1" x14ac:dyDescent="0.3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 spans="1:30" ht="15.75" customHeight="1" x14ac:dyDescent="0.3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 spans="1:30" ht="15.75" customHeight="1" x14ac:dyDescent="0.3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 spans="1:30" ht="15.75" customHeight="1" x14ac:dyDescent="0.3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 spans="1:30" ht="15.75" customHeight="1" x14ac:dyDescent="0.3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 spans="1:30" ht="15.75" customHeight="1" x14ac:dyDescent="0.3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 spans="1:30" ht="15.75" customHeight="1" x14ac:dyDescent="0.3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 spans="1:30" ht="15.75" customHeight="1" x14ac:dyDescent="0.3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 spans="1:30" ht="15.75" customHeight="1" x14ac:dyDescent="0.3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 spans="1:30" ht="15.75" customHeight="1" x14ac:dyDescent="0.3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 spans="1:30" ht="15.75" customHeight="1" x14ac:dyDescent="0.3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 spans="1:30" ht="15.75" customHeight="1" x14ac:dyDescent="0.3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 spans="1:30" ht="15.75" customHeight="1" x14ac:dyDescent="0.3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 spans="1:30" ht="15.75" customHeight="1" x14ac:dyDescent="0.3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 spans="1:30" ht="15.75" customHeight="1" x14ac:dyDescent="0.3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 spans="1:30" ht="15.75" customHeight="1" x14ac:dyDescent="0.3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 spans="1:30" ht="15.75" customHeight="1" x14ac:dyDescent="0.3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 spans="1:30" ht="15.75" customHeight="1" x14ac:dyDescent="0.3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 spans="1:30" ht="15.75" customHeight="1" x14ac:dyDescent="0.3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 spans="1:30" ht="15.75" customHeight="1" x14ac:dyDescent="0.3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 spans="1:30" ht="15.75" customHeight="1" x14ac:dyDescent="0.3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 spans="1:30" ht="15.75" customHeight="1" x14ac:dyDescent="0.3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 spans="1:30" ht="15.75" customHeight="1" x14ac:dyDescent="0.3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 spans="1:30" ht="15.75" customHeight="1" x14ac:dyDescent="0.3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 spans="1:30" ht="15.75" customHeight="1" x14ac:dyDescent="0.3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 spans="1:30" ht="15.75" customHeight="1" x14ac:dyDescent="0.3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 spans="1:30" ht="15.75" customHeight="1" x14ac:dyDescent="0.3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 spans="1:30" ht="15.75" customHeight="1" x14ac:dyDescent="0.3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 spans="1:30" ht="15.75" customHeight="1" x14ac:dyDescent="0.3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 spans="1:30" ht="15.75" customHeight="1" x14ac:dyDescent="0.3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 spans="1:30" ht="15.75" customHeight="1" x14ac:dyDescent="0.3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 spans="1:30" ht="15.75" customHeight="1" x14ac:dyDescent="0.3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 spans="1:30" ht="15.75" customHeight="1" x14ac:dyDescent="0.3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 spans="1:30" ht="15.75" customHeight="1" x14ac:dyDescent="0.3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 spans="1:30" ht="15.75" customHeight="1" x14ac:dyDescent="0.3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 spans="1:30" ht="15.75" customHeight="1" x14ac:dyDescent="0.3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 spans="1:30" ht="15.75" customHeight="1" x14ac:dyDescent="0.3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 spans="1:30" ht="15.75" customHeight="1" x14ac:dyDescent="0.3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 spans="1:30" ht="15.75" customHeight="1" x14ac:dyDescent="0.3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 spans="1:30" ht="15.75" customHeight="1" x14ac:dyDescent="0.3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 spans="1:30" ht="15.75" customHeight="1" x14ac:dyDescent="0.3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 spans="1:30" ht="15.75" customHeight="1" x14ac:dyDescent="0.3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 spans="1:30" ht="15.75" customHeight="1" x14ac:dyDescent="0.3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 spans="1:30" ht="15.75" customHeight="1" x14ac:dyDescent="0.3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 spans="1:30" ht="15.75" customHeight="1" x14ac:dyDescent="0.3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 spans="1:30" ht="15.75" customHeight="1" x14ac:dyDescent="0.3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 spans="1:30" ht="15.75" customHeight="1" x14ac:dyDescent="0.3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 spans="1:30" ht="15.75" customHeight="1" x14ac:dyDescent="0.3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 spans="1:30" ht="15.75" customHeight="1" x14ac:dyDescent="0.3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 spans="1:30" ht="15.75" customHeight="1" x14ac:dyDescent="0.3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 spans="1:30" ht="15.75" customHeight="1" x14ac:dyDescent="0.3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 spans="1:30" ht="15.75" customHeight="1" x14ac:dyDescent="0.3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 spans="1:30" ht="15.75" customHeight="1" x14ac:dyDescent="0.3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 spans="1:30" ht="15.75" customHeight="1" x14ac:dyDescent="0.3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 spans="1:30" ht="15.75" customHeight="1" x14ac:dyDescent="0.3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 spans="1:30" ht="15.75" customHeight="1" x14ac:dyDescent="0.3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 spans="1:30" ht="15.75" customHeight="1" x14ac:dyDescent="0.3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 spans="1:30" ht="15.75" customHeight="1" x14ac:dyDescent="0.3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 spans="1:30" ht="15.75" customHeight="1" x14ac:dyDescent="0.3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 spans="1:30" ht="15.75" customHeight="1" x14ac:dyDescent="0.3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 spans="1:30" ht="15.75" customHeight="1" x14ac:dyDescent="0.3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 spans="1:30" ht="15.75" customHeight="1" x14ac:dyDescent="0.3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 spans="1:30" ht="15.75" customHeight="1" x14ac:dyDescent="0.3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 spans="1:30" ht="15.75" customHeight="1" x14ac:dyDescent="0.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 spans="1:30" ht="15.75" customHeight="1" x14ac:dyDescent="0.3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 spans="1:30" ht="15.75" customHeight="1" x14ac:dyDescent="0.3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 spans="1:30" ht="15.75" customHeight="1" x14ac:dyDescent="0.3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 spans="1:30" ht="15.75" customHeight="1" x14ac:dyDescent="0.3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 spans="1:30" ht="15.75" customHeight="1" x14ac:dyDescent="0.3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 spans="1:30" ht="15.75" customHeight="1" x14ac:dyDescent="0.3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 spans="1:30" ht="15.75" customHeight="1" x14ac:dyDescent="0.3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 spans="1:30" ht="15.75" customHeight="1" x14ac:dyDescent="0.3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 spans="1:30" ht="15.75" customHeight="1" x14ac:dyDescent="0.3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 spans="1:30" ht="15.75" customHeight="1" x14ac:dyDescent="0.3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 spans="1:30" ht="15.75" customHeight="1" x14ac:dyDescent="0.3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 spans="1:30" ht="15.75" customHeight="1" x14ac:dyDescent="0.3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 spans="1:30" ht="15.75" customHeight="1" x14ac:dyDescent="0.3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 spans="1:30" ht="15.75" customHeight="1" x14ac:dyDescent="0.3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 spans="1:30" ht="15.75" customHeight="1" x14ac:dyDescent="0.3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 spans="1:30" ht="15.75" customHeight="1" x14ac:dyDescent="0.3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 spans="1:30" ht="15.75" customHeight="1" x14ac:dyDescent="0.3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 spans="1:30" ht="15.75" customHeight="1" x14ac:dyDescent="0.3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 spans="1:30" ht="15.75" customHeight="1" x14ac:dyDescent="0.3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 spans="1:30" ht="15.75" customHeight="1" x14ac:dyDescent="0.3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 spans="1:30" ht="15.75" customHeight="1" x14ac:dyDescent="0.3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 spans="1:30" ht="15.75" customHeight="1" x14ac:dyDescent="0.3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 spans="1:30" ht="15.75" customHeight="1" x14ac:dyDescent="0.3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 spans="1:30" ht="15.75" customHeight="1" x14ac:dyDescent="0.3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 spans="1:30" ht="15.75" customHeight="1" x14ac:dyDescent="0.3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 spans="1:30" ht="15.75" customHeight="1" x14ac:dyDescent="0.3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 spans="1:30" ht="15.75" customHeight="1" x14ac:dyDescent="0.3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 spans="1:30" ht="15.75" customHeight="1" x14ac:dyDescent="0.3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 spans="1:30" ht="15.75" customHeight="1" x14ac:dyDescent="0.3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 spans="1:30" ht="15.75" customHeight="1" x14ac:dyDescent="0.3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 spans="1:30" ht="15.75" customHeight="1" x14ac:dyDescent="0.3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 spans="1:30" ht="15.75" customHeight="1" x14ac:dyDescent="0.3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 spans="1:30" ht="15.75" customHeight="1" x14ac:dyDescent="0.3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 spans="1:30" ht="15.75" customHeight="1" x14ac:dyDescent="0.3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 spans="1:30" ht="15.75" customHeight="1" x14ac:dyDescent="0.3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 spans="1:30" ht="15.75" customHeight="1" x14ac:dyDescent="0.3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 spans="1:30" ht="15.75" customHeight="1" x14ac:dyDescent="0.3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 spans="1:30" ht="15.75" customHeight="1" x14ac:dyDescent="0.3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 spans="1:30" ht="15.75" customHeight="1" x14ac:dyDescent="0.3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 spans="1:30" ht="15.75" customHeight="1" x14ac:dyDescent="0.3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 spans="1:30" ht="15.75" customHeight="1" x14ac:dyDescent="0.3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 spans="1:30" ht="15.75" customHeight="1" x14ac:dyDescent="0.3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 spans="1:30" ht="15.75" customHeight="1" x14ac:dyDescent="0.3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 spans="1:30" ht="15.75" customHeight="1" x14ac:dyDescent="0.3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 spans="1:30" ht="15.75" customHeight="1" x14ac:dyDescent="0.3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 spans="1:30" ht="15.75" customHeight="1" x14ac:dyDescent="0.3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 spans="1:30" ht="15.75" customHeight="1" x14ac:dyDescent="0.3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 spans="1:30" ht="15.75" customHeight="1" x14ac:dyDescent="0.3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 spans="1:30" ht="15.75" customHeight="1" x14ac:dyDescent="0.3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 spans="1:30" ht="15.75" customHeight="1" x14ac:dyDescent="0.3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 spans="1:30" ht="15.75" customHeight="1" x14ac:dyDescent="0.3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 spans="1:30" ht="15.75" customHeight="1" x14ac:dyDescent="0.3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 spans="1:30" ht="15.75" customHeight="1" x14ac:dyDescent="0.3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 spans="1:30" ht="15.75" customHeight="1" x14ac:dyDescent="0.3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 spans="1:30" ht="15.75" customHeight="1" x14ac:dyDescent="0.3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 spans="1:30" ht="15.75" customHeight="1" x14ac:dyDescent="0.3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 spans="1:30" ht="15.75" customHeight="1" x14ac:dyDescent="0.3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 spans="1:30" ht="15.75" customHeight="1" x14ac:dyDescent="0.3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 spans="1:30" ht="15.75" customHeight="1" x14ac:dyDescent="0.3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 spans="1:30" ht="15.75" customHeight="1" x14ac:dyDescent="0.3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 spans="1:30" ht="15.75" customHeight="1" x14ac:dyDescent="0.3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 spans="1:30" ht="15.75" customHeight="1" x14ac:dyDescent="0.3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 spans="1:30" ht="15.75" customHeight="1" x14ac:dyDescent="0.3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 spans="1:30" ht="15.75" customHeight="1" x14ac:dyDescent="0.3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 spans="1:30" ht="15.75" customHeight="1" x14ac:dyDescent="0.3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 spans="1:30" ht="15.75" customHeight="1" x14ac:dyDescent="0.3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 spans="1:30" ht="15.75" customHeight="1" x14ac:dyDescent="0.3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 spans="1:30" ht="15.75" customHeight="1" x14ac:dyDescent="0.3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 spans="1:30" ht="15.75" customHeight="1" x14ac:dyDescent="0.3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 spans="1:30" ht="15.75" customHeight="1" x14ac:dyDescent="0.3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 spans="1:30" ht="15.75" customHeight="1" x14ac:dyDescent="0.3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 spans="1:30" ht="15.75" customHeight="1" x14ac:dyDescent="0.3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 spans="1:30" ht="15.75" customHeight="1" x14ac:dyDescent="0.3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 spans="1:30" ht="15.75" customHeight="1" x14ac:dyDescent="0.3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 spans="1:30" ht="15.75" customHeight="1" x14ac:dyDescent="0.3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 spans="1:30" ht="15.75" customHeight="1" x14ac:dyDescent="0.3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 spans="1:30" ht="15.75" customHeight="1" x14ac:dyDescent="0.3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 spans="1:30" ht="15.75" customHeight="1" x14ac:dyDescent="0.3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 spans="1:30" ht="15.75" customHeight="1" x14ac:dyDescent="0.3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 spans="1:30" ht="15.75" customHeight="1" x14ac:dyDescent="0.3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 spans="1:30" ht="15.75" customHeight="1" x14ac:dyDescent="0.3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 spans="1:30" ht="15.75" customHeight="1" x14ac:dyDescent="0.3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 spans="1:30" ht="15.75" customHeight="1" x14ac:dyDescent="0.3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 spans="1:30" ht="15.75" customHeight="1" x14ac:dyDescent="0.3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 spans="1:30" ht="15.75" customHeight="1" x14ac:dyDescent="0.3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 spans="1:30" ht="15.75" customHeight="1" x14ac:dyDescent="0.3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 spans="1:30" ht="15.75" customHeight="1" x14ac:dyDescent="0.3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 spans="1:30" ht="15.75" customHeight="1" x14ac:dyDescent="0.3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 spans="1:30" ht="15.75" customHeight="1" x14ac:dyDescent="0.3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 spans="1:30" ht="15.75" customHeight="1" x14ac:dyDescent="0.3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 spans="1:30" ht="15.75" customHeight="1" x14ac:dyDescent="0.3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 spans="1:30" ht="15.75" customHeight="1" x14ac:dyDescent="0.3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 spans="1:30" ht="15.75" customHeight="1" x14ac:dyDescent="0.3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 spans="1:30" ht="15.75" customHeight="1" x14ac:dyDescent="0.3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 spans="1:30" ht="15.75" customHeight="1" x14ac:dyDescent="0.3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 spans="1:30" ht="15.75" customHeight="1" x14ac:dyDescent="0.3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 spans="1:30" ht="15.75" customHeight="1" x14ac:dyDescent="0.3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 spans="1:30" ht="15.75" customHeight="1" x14ac:dyDescent="0.3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 spans="1:30" ht="15.75" customHeight="1" x14ac:dyDescent="0.3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 spans="1:30" ht="15.75" customHeight="1" x14ac:dyDescent="0.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 spans="1:30" ht="15.75" customHeight="1" x14ac:dyDescent="0.3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 spans="1:30" ht="15.75" customHeight="1" x14ac:dyDescent="0.3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 spans="1:30" ht="15.75" customHeight="1" x14ac:dyDescent="0.3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 spans="1:30" ht="15.75" customHeight="1" x14ac:dyDescent="0.3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 spans="1:30" ht="15.75" customHeight="1" x14ac:dyDescent="0.3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 spans="1:30" ht="15.75" customHeight="1" x14ac:dyDescent="0.3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 spans="1:30" ht="15.75" customHeight="1" x14ac:dyDescent="0.3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 spans="1:30" ht="15.75" customHeight="1" x14ac:dyDescent="0.3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 spans="1:30" ht="15.75" customHeight="1" x14ac:dyDescent="0.3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 spans="1:30" ht="15.75" customHeight="1" x14ac:dyDescent="0.3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 spans="1:30" ht="15.75" customHeight="1" x14ac:dyDescent="0.3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 spans="1:30" ht="15.75" customHeight="1" x14ac:dyDescent="0.3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 spans="1:30" ht="15.75" customHeight="1" x14ac:dyDescent="0.3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 spans="1:30" ht="15.75" customHeight="1" x14ac:dyDescent="0.3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 spans="1:30" ht="15.75" customHeight="1" x14ac:dyDescent="0.3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 spans="1:30" ht="15.75" customHeight="1" x14ac:dyDescent="0.3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 spans="1:30" ht="15.75" customHeight="1" x14ac:dyDescent="0.3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 spans="1:30" ht="15.75" customHeight="1" x14ac:dyDescent="0.3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 spans="1:30" ht="15.75" customHeight="1" x14ac:dyDescent="0.3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 spans="1:30" ht="15.75" customHeight="1" x14ac:dyDescent="0.3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 spans="1:30" ht="15.75" customHeight="1" x14ac:dyDescent="0.3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 spans="1:30" ht="15.75" customHeight="1" x14ac:dyDescent="0.3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 spans="1:30" ht="15.75" customHeight="1" x14ac:dyDescent="0.3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 spans="1:30" ht="15.75" customHeight="1" x14ac:dyDescent="0.3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 spans="1:30" ht="15.75" customHeight="1" x14ac:dyDescent="0.3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 spans="1:30" ht="15.75" customHeight="1" x14ac:dyDescent="0.3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 spans="1:30" ht="15.75" customHeight="1" x14ac:dyDescent="0.3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 spans="1:30" ht="15.75" customHeight="1" x14ac:dyDescent="0.3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 spans="1:30" ht="15.75" customHeight="1" x14ac:dyDescent="0.3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 spans="1:30" ht="15.75" customHeight="1" x14ac:dyDescent="0.3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 spans="1:30" ht="15.75" customHeight="1" x14ac:dyDescent="0.3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 spans="1:30" ht="15.75" customHeight="1" x14ac:dyDescent="0.3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 spans="1:30" ht="15.75" customHeight="1" x14ac:dyDescent="0.3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 spans="1:30" ht="15.75" customHeight="1" x14ac:dyDescent="0.3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 spans="1:30" ht="15.75" customHeight="1" x14ac:dyDescent="0.3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 spans="1:30" ht="15.75" customHeight="1" x14ac:dyDescent="0.3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 spans="1:30" ht="15.75" customHeight="1" x14ac:dyDescent="0.3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 spans="1:30" ht="15.75" customHeight="1" x14ac:dyDescent="0.3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 spans="1:30" ht="15.75" customHeight="1" x14ac:dyDescent="0.3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 spans="1:30" ht="15.75" customHeight="1" x14ac:dyDescent="0.3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 spans="1:30" ht="15.75" customHeight="1" x14ac:dyDescent="0.3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 spans="1:30" ht="15.75" customHeight="1" x14ac:dyDescent="0.3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 spans="1:30" ht="15.75" customHeight="1" x14ac:dyDescent="0.3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 spans="1:30" ht="15.75" customHeight="1" x14ac:dyDescent="0.3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 spans="1:30" ht="15.75" customHeight="1" x14ac:dyDescent="0.3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 spans="1:30" ht="15.75" customHeight="1" x14ac:dyDescent="0.3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 spans="1:30" ht="15.75" customHeight="1" x14ac:dyDescent="0.3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 spans="1:30" ht="15.75" customHeight="1" x14ac:dyDescent="0.3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 spans="1:30" ht="15.75" customHeight="1" x14ac:dyDescent="0.3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 spans="1:30" ht="15.75" customHeight="1" x14ac:dyDescent="0.3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 spans="1:30" ht="15.75" customHeight="1" x14ac:dyDescent="0.3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 spans="1:30" ht="15.75" customHeight="1" x14ac:dyDescent="0.3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 spans="1:30" ht="15.75" customHeight="1" x14ac:dyDescent="0.3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 spans="1:30" ht="15.75" customHeight="1" x14ac:dyDescent="0.3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 spans="1:30" ht="15.75" customHeight="1" x14ac:dyDescent="0.3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 spans="1:30" ht="15.75" customHeight="1" x14ac:dyDescent="0.3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 spans="1:30" ht="15.75" customHeight="1" x14ac:dyDescent="0.3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 spans="1:30" ht="15.75" customHeight="1" x14ac:dyDescent="0.3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 spans="1:30" ht="15.75" customHeight="1" x14ac:dyDescent="0.3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 spans="1:30" ht="15.75" customHeight="1" x14ac:dyDescent="0.3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 spans="1:30" ht="15.75" customHeight="1" x14ac:dyDescent="0.3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 spans="1:30" ht="15.75" customHeight="1" x14ac:dyDescent="0.3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 spans="1:30" ht="15.75" customHeight="1" x14ac:dyDescent="0.3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 spans="1:30" ht="15.75" customHeight="1" x14ac:dyDescent="0.3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  <row r="1000" spans="1:30" ht="15.75" customHeight="1" x14ac:dyDescent="0.3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</row>
  </sheetData>
  <mergeCells count="4">
    <mergeCell ref="B2:K2"/>
    <mergeCell ref="M2:W2"/>
    <mergeCell ref="B16:K16"/>
    <mergeCell ref="M16:X1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showGridLines="0" workbookViewId="0">
      <selection activeCell="G4" sqref="G4"/>
    </sheetView>
  </sheetViews>
  <sheetFormatPr defaultColWidth="11.1640625" defaultRowHeight="15" customHeight="1" x14ac:dyDescent="0.35"/>
  <cols>
    <col min="1" max="1" width="10.9140625" customWidth="1"/>
    <col min="2" max="2" width="6.6640625" style="198" customWidth="1"/>
    <col min="3" max="3" width="77.83203125" customWidth="1"/>
    <col min="4" max="6" width="10.9140625" style="198" customWidth="1"/>
    <col min="7" max="26" width="10.9140625" customWidth="1"/>
  </cols>
  <sheetData>
    <row r="1" spans="1:8" ht="15" customHeight="1" thickBot="1" x14ac:dyDescent="0.4"/>
    <row r="2" spans="1:8" ht="24" thickBot="1" x14ac:dyDescent="0.6">
      <c r="B2" s="321" t="s">
        <v>10</v>
      </c>
      <c r="C2" s="322"/>
      <c r="D2" s="322"/>
      <c r="E2" s="322"/>
      <c r="F2" s="323"/>
      <c r="G2" s="1"/>
      <c r="H2" s="1"/>
    </row>
    <row r="3" spans="1:8" ht="16" thickBot="1" x14ac:dyDescent="0.4">
      <c r="B3" s="203" t="s">
        <v>11</v>
      </c>
      <c r="C3" s="204" t="s">
        <v>12</v>
      </c>
      <c r="D3" s="324" t="s">
        <v>13</v>
      </c>
      <c r="E3" s="325"/>
      <c r="F3" s="326"/>
    </row>
    <row r="4" spans="1:8" ht="15.5" x14ac:dyDescent="0.35">
      <c r="B4" s="205"/>
      <c r="C4" s="206"/>
      <c r="D4" s="201" t="s">
        <v>14</v>
      </c>
      <c r="E4" s="201" t="s">
        <v>15</v>
      </c>
      <c r="F4" s="202" t="s">
        <v>4</v>
      </c>
    </row>
    <row r="5" spans="1:8" ht="15.5" x14ac:dyDescent="0.35">
      <c r="B5" s="80">
        <v>2019</v>
      </c>
      <c r="C5" s="4"/>
      <c r="D5" s="65">
        <f>D10-5</f>
        <v>35</v>
      </c>
      <c r="E5" s="65">
        <v>8</v>
      </c>
      <c r="F5" s="95">
        <v>10</v>
      </c>
    </row>
    <row r="6" spans="1:8" ht="15.5" x14ac:dyDescent="0.35">
      <c r="B6" s="80">
        <v>2020</v>
      </c>
      <c r="C6" s="207"/>
      <c r="D6" s="208"/>
      <c r="E6" s="208"/>
      <c r="F6" s="209"/>
    </row>
    <row r="7" spans="1:8" ht="15.5" x14ac:dyDescent="0.35">
      <c r="B7" s="80">
        <v>2021</v>
      </c>
      <c r="C7" s="210"/>
      <c r="D7" s="211"/>
      <c r="E7" s="211"/>
      <c r="F7" s="211"/>
    </row>
    <row r="8" spans="1:8" ht="15.5" x14ac:dyDescent="0.35">
      <c r="B8" s="80">
        <v>2022</v>
      </c>
      <c r="C8" s="4" t="s">
        <v>229</v>
      </c>
      <c r="D8" s="183">
        <f t="shared" ref="D8:F8" si="0">D5+3</f>
        <v>38</v>
      </c>
      <c r="E8" s="183">
        <f t="shared" si="0"/>
        <v>11</v>
      </c>
      <c r="F8" s="183">
        <f t="shared" si="0"/>
        <v>13</v>
      </c>
    </row>
    <row r="9" spans="1:8" ht="15.5" x14ac:dyDescent="0.35">
      <c r="B9" s="80">
        <v>2023</v>
      </c>
      <c r="C9" s="3"/>
      <c r="D9" s="65"/>
      <c r="E9" s="65"/>
      <c r="F9" s="95"/>
    </row>
    <row r="10" spans="1:8" ht="15.5" x14ac:dyDescent="0.35">
      <c r="A10" s="143" t="s">
        <v>16</v>
      </c>
      <c r="B10" s="197">
        <v>2024</v>
      </c>
      <c r="C10" s="6"/>
      <c r="D10" s="6">
        <v>40</v>
      </c>
      <c r="E10" s="6">
        <v>13</v>
      </c>
      <c r="F10" s="200">
        <v>15</v>
      </c>
    </row>
    <row r="11" spans="1:8" ht="15.5" x14ac:dyDescent="0.35">
      <c r="B11" s="80">
        <v>2025</v>
      </c>
      <c r="D11" s="65">
        <f t="shared" ref="D11:F11" si="1">D10+1</f>
        <v>41</v>
      </c>
      <c r="E11" s="65">
        <f t="shared" si="1"/>
        <v>14</v>
      </c>
      <c r="F11" s="65">
        <f t="shared" si="1"/>
        <v>16</v>
      </c>
    </row>
    <row r="12" spans="1:8" ht="15.5" x14ac:dyDescent="0.35">
      <c r="B12" s="80">
        <v>2026</v>
      </c>
      <c r="C12" s="3" t="s">
        <v>17</v>
      </c>
      <c r="D12" s="65">
        <f t="shared" ref="D12:F12" si="2">D11+1</f>
        <v>42</v>
      </c>
      <c r="E12" s="65">
        <f t="shared" si="2"/>
        <v>15</v>
      </c>
      <c r="F12" s="65">
        <f t="shared" si="2"/>
        <v>17</v>
      </c>
    </row>
    <row r="13" spans="1:8" ht="15.5" x14ac:dyDescent="0.35">
      <c r="B13" s="80">
        <v>2027</v>
      </c>
      <c r="C13" s="4" t="s">
        <v>18</v>
      </c>
      <c r="D13" s="65">
        <f t="shared" ref="D13:F13" si="3">D12+1</f>
        <v>43</v>
      </c>
      <c r="E13" s="65">
        <f t="shared" si="3"/>
        <v>16</v>
      </c>
      <c r="F13" s="65">
        <f t="shared" si="3"/>
        <v>18</v>
      </c>
    </row>
    <row r="14" spans="1:8" ht="15.5" x14ac:dyDescent="0.35">
      <c r="B14" s="80">
        <v>5</v>
      </c>
      <c r="C14" s="3" t="s">
        <v>19</v>
      </c>
      <c r="D14" s="65">
        <f t="shared" ref="D14:F14" si="4">D13+1</f>
        <v>44</v>
      </c>
      <c r="E14" s="65">
        <f t="shared" si="4"/>
        <v>17</v>
      </c>
      <c r="F14" s="65">
        <f t="shared" si="4"/>
        <v>19</v>
      </c>
    </row>
    <row r="15" spans="1:8" ht="15.5" x14ac:dyDescent="0.35">
      <c r="B15" s="80">
        <v>2029</v>
      </c>
      <c r="C15" s="3" t="s">
        <v>20</v>
      </c>
      <c r="D15" s="65">
        <f t="shared" ref="D15:F15" si="5">D14+1</f>
        <v>45</v>
      </c>
      <c r="E15" s="65">
        <f t="shared" si="5"/>
        <v>18</v>
      </c>
      <c r="F15" s="65">
        <f t="shared" si="5"/>
        <v>20</v>
      </c>
    </row>
    <row r="16" spans="1:8" ht="15.5" x14ac:dyDescent="0.35">
      <c r="B16" s="80">
        <v>2030</v>
      </c>
      <c r="C16" s="4" t="s">
        <v>21</v>
      </c>
      <c r="D16" s="65">
        <f t="shared" ref="D16:F16" si="6">D15+1</f>
        <v>46</v>
      </c>
      <c r="E16" s="65">
        <f t="shared" si="6"/>
        <v>19</v>
      </c>
      <c r="F16" s="65">
        <f t="shared" si="6"/>
        <v>21</v>
      </c>
    </row>
    <row r="17" spans="2:6" ht="15.5" x14ac:dyDescent="0.35">
      <c r="B17" s="80">
        <v>2031</v>
      </c>
      <c r="C17" s="3"/>
      <c r="D17" s="65">
        <f t="shared" ref="D17:F17" si="7">D16+1</f>
        <v>47</v>
      </c>
      <c r="E17" s="65">
        <f t="shared" si="7"/>
        <v>20</v>
      </c>
      <c r="F17" s="65">
        <f t="shared" si="7"/>
        <v>22</v>
      </c>
    </row>
    <row r="18" spans="2:6" ht="15.5" x14ac:dyDescent="0.35">
      <c r="B18" s="80">
        <v>2032</v>
      </c>
      <c r="C18" s="4" t="s">
        <v>22</v>
      </c>
      <c r="D18" s="65">
        <f t="shared" ref="D18:F18" si="8">D17+1</f>
        <v>48</v>
      </c>
      <c r="E18" s="65">
        <f t="shared" si="8"/>
        <v>21</v>
      </c>
      <c r="F18" s="65">
        <f t="shared" si="8"/>
        <v>23</v>
      </c>
    </row>
    <row r="19" spans="2:6" ht="15.5" x14ac:dyDescent="0.35">
      <c r="B19" s="80">
        <v>2033</v>
      </c>
      <c r="C19" s="4"/>
      <c r="D19" s="65">
        <f t="shared" ref="D19:F19" si="9">D18+1</f>
        <v>49</v>
      </c>
      <c r="E19" s="65">
        <f t="shared" si="9"/>
        <v>22</v>
      </c>
      <c r="F19" s="65">
        <f t="shared" si="9"/>
        <v>24</v>
      </c>
    </row>
    <row r="20" spans="2:6" ht="15.75" customHeight="1" x14ac:dyDescent="0.35">
      <c r="B20" s="80">
        <v>2034</v>
      </c>
      <c r="C20" s="3" t="s">
        <v>23</v>
      </c>
      <c r="D20" s="65">
        <f t="shared" ref="D20:F20" si="10">D19+1</f>
        <v>50</v>
      </c>
      <c r="E20" s="65">
        <f t="shared" si="10"/>
        <v>23</v>
      </c>
      <c r="F20" s="65">
        <f t="shared" si="10"/>
        <v>25</v>
      </c>
    </row>
    <row r="21" spans="2:6" ht="15.75" customHeight="1" x14ac:dyDescent="0.35">
      <c r="B21" s="80">
        <v>2035</v>
      </c>
      <c r="C21" s="3"/>
      <c r="D21" s="65">
        <f t="shared" ref="D21:F21" si="11">D20+1</f>
        <v>51</v>
      </c>
      <c r="E21" s="65">
        <f t="shared" si="11"/>
        <v>24</v>
      </c>
      <c r="F21" s="65">
        <f t="shared" si="11"/>
        <v>26</v>
      </c>
    </row>
    <row r="22" spans="2:6" ht="15.75" customHeight="1" x14ac:dyDescent="0.35">
      <c r="B22" s="80">
        <v>2036</v>
      </c>
      <c r="C22" s="3" t="s">
        <v>24</v>
      </c>
      <c r="D22" s="65">
        <f t="shared" ref="D22:F22" si="12">D21+1</f>
        <v>52</v>
      </c>
      <c r="E22" s="65">
        <f t="shared" si="12"/>
        <v>25</v>
      </c>
      <c r="F22" s="65">
        <f t="shared" si="12"/>
        <v>27</v>
      </c>
    </row>
    <row r="23" spans="2:6" ht="15.75" customHeight="1" x14ac:dyDescent="0.35">
      <c r="B23" s="80">
        <v>2037</v>
      </c>
      <c r="C23" s="3"/>
      <c r="D23" s="65">
        <f t="shared" ref="D23:F23" si="13">D22+1</f>
        <v>53</v>
      </c>
      <c r="E23" s="65">
        <f t="shared" si="13"/>
        <v>26</v>
      </c>
      <c r="F23" s="65">
        <f t="shared" si="13"/>
        <v>28</v>
      </c>
    </row>
    <row r="24" spans="2:6" ht="15.75" customHeight="1" x14ac:dyDescent="0.35">
      <c r="B24" s="80">
        <v>2038</v>
      </c>
      <c r="C24" s="3" t="s">
        <v>228</v>
      </c>
      <c r="D24" s="65">
        <f t="shared" ref="D24:F24" si="14">D23+1</f>
        <v>54</v>
      </c>
      <c r="E24" s="65">
        <f t="shared" si="14"/>
        <v>27</v>
      </c>
      <c r="F24" s="65">
        <f t="shared" si="14"/>
        <v>29</v>
      </c>
    </row>
    <row r="25" spans="2:6" ht="15.75" customHeight="1" x14ac:dyDescent="0.35">
      <c r="B25" s="80">
        <v>2044</v>
      </c>
      <c r="C25" s="3" t="s">
        <v>25</v>
      </c>
      <c r="D25" s="65">
        <f t="shared" ref="D25:F25" si="15">D24+6</f>
        <v>60</v>
      </c>
      <c r="E25" s="65">
        <f t="shared" si="15"/>
        <v>33</v>
      </c>
      <c r="F25" s="65">
        <f t="shared" si="15"/>
        <v>35</v>
      </c>
    </row>
    <row r="26" spans="2:6" ht="15.75" customHeight="1" x14ac:dyDescent="0.35">
      <c r="B26" s="84">
        <v>2054</v>
      </c>
      <c r="C26" s="7" t="s">
        <v>26</v>
      </c>
      <c r="D26" s="65">
        <f t="shared" ref="D26:F26" si="16">D25+10</f>
        <v>70</v>
      </c>
      <c r="E26" s="65">
        <f t="shared" si="16"/>
        <v>43</v>
      </c>
      <c r="F26" s="65">
        <f t="shared" si="16"/>
        <v>45</v>
      </c>
    </row>
    <row r="27" spans="2:6" ht="15.75" customHeight="1" x14ac:dyDescent="0.35"/>
    <row r="28" spans="2:6" ht="15.75" customHeight="1" x14ac:dyDescent="0.35"/>
    <row r="29" spans="2:6" ht="15.75" customHeight="1" x14ac:dyDescent="0.35"/>
    <row r="30" spans="2:6" ht="15.75" customHeight="1" x14ac:dyDescent="0.35"/>
    <row r="31" spans="2:6" ht="15.75" customHeight="1" x14ac:dyDescent="0.35"/>
    <row r="32" spans="2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">
    <mergeCell ref="B2:F2"/>
    <mergeCell ref="D3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zoomScale="102" workbookViewId="0">
      <selection activeCell="B16" sqref="B16"/>
    </sheetView>
  </sheetViews>
  <sheetFormatPr defaultColWidth="11.1640625" defaultRowHeight="15" customHeight="1" x14ac:dyDescent="0.35"/>
  <cols>
    <col min="1" max="1" width="37.9140625" customWidth="1"/>
    <col min="2" max="2" width="17.9140625" customWidth="1"/>
    <col min="3" max="3" width="19.08203125" customWidth="1"/>
    <col min="4" max="4" width="16.58203125" customWidth="1"/>
    <col min="5" max="5" width="15.6640625" customWidth="1"/>
    <col min="6" max="6" width="16.83203125" customWidth="1"/>
    <col min="7" max="7" width="14" customWidth="1"/>
    <col min="8" max="26" width="10.9140625" customWidth="1"/>
  </cols>
  <sheetData>
    <row r="1" spans="1:9" ht="15" customHeight="1" x14ac:dyDescent="0.35">
      <c r="A1" s="327" t="s">
        <v>27</v>
      </c>
      <c r="B1" s="328"/>
      <c r="C1" s="328"/>
      <c r="D1" s="328"/>
      <c r="E1" s="328"/>
      <c r="F1" s="328"/>
      <c r="G1" s="328"/>
      <c r="H1" s="328"/>
      <c r="I1" s="329"/>
    </row>
    <row r="2" spans="1:9" ht="15.75" customHeight="1" x14ac:dyDescent="0.35">
      <c r="A2" s="330"/>
      <c r="B2" s="331"/>
      <c r="C2" s="331"/>
      <c r="D2" s="331"/>
      <c r="E2" s="331"/>
      <c r="F2" s="331"/>
      <c r="G2" s="331"/>
      <c r="H2" s="331"/>
      <c r="I2" s="332"/>
    </row>
    <row r="3" spans="1:9" ht="15" customHeight="1" thickBot="1" x14ac:dyDescent="0.4"/>
    <row r="4" spans="1:9" ht="16" thickBot="1" x14ac:dyDescent="0.4">
      <c r="A4" s="333" t="s">
        <v>28</v>
      </c>
      <c r="B4" s="334"/>
      <c r="C4" s="334"/>
      <c r="D4" s="334"/>
      <c r="E4" s="334"/>
      <c r="F4" s="334"/>
      <c r="G4" s="334"/>
      <c r="H4" s="334"/>
      <c r="I4" s="335"/>
    </row>
    <row r="5" spans="1:9" ht="15.5" x14ac:dyDescent="0.35">
      <c r="A5" s="2"/>
      <c r="B5" s="213" t="s">
        <v>29</v>
      </c>
      <c r="C5" s="213" t="s">
        <v>30</v>
      </c>
      <c r="D5" s="213" t="s">
        <v>31</v>
      </c>
      <c r="E5" s="213" t="s">
        <v>32</v>
      </c>
      <c r="F5" s="214"/>
      <c r="G5" s="214"/>
      <c r="H5" s="214"/>
      <c r="I5" s="9"/>
    </row>
    <row r="6" spans="1:9" ht="15.5" x14ac:dyDescent="0.35">
      <c r="A6" s="10" t="s">
        <v>33</v>
      </c>
      <c r="B6" s="212">
        <v>12500</v>
      </c>
      <c r="C6" s="212">
        <v>2500</v>
      </c>
      <c r="D6" s="212">
        <v>1200</v>
      </c>
      <c r="E6" s="212">
        <f t="shared" ref="E6:E7" si="0">D6*12</f>
        <v>14400</v>
      </c>
      <c r="F6" s="11"/>
      <c r="I6" s="9"/>
    </row>
    <row r="7" spans="1:9" ht="15.5" x14ac:dyDescent="0.35">
      <c r="A7" s="10">
        <v>2025</v>
      </c>
      <c r="B7" s="212">
        <v>12500</v>
      </c>
      <c r="C7" s="212">
        <v>2500</v>
      </c>
      <c r="D7" s="212">
        <v>1200</v>
      </c>
      <c r="E7" s="212">
        <f t="shared" si="0"/>
        <v>14400</v>
      </c>
      <c r="F7" s="11"/>
      <c r="I7" s="9"/>
    </row>
    <row r="8" spans="1:9" ht="15.5" x14ac:dyDescent="0.35">
      <c r="A8" s="10"/>
      <c r="B8" s="11"/>
      <c r="C8" s="11"/>
      <c r="D8" s="11"/>
      <c r="E8" s="11"/>
      <c r="F8" s="11"/>
      <c r="I8" s="9"/>
    </row>
    <row r="9" spans="1:9" ht="15.5" x14ac:dyDescent="0.35">
      <c r="A9" s="10"/>
      <c r="B9" s="11"/>
      <c r="C9" s="11"/>
      <c r="D9" s="11"/>
      <c r="E9" s="11"/>
      <c r="F9" s="11"/>
      <c r="I9" s="9"/>
    </row>
    <row r="10" spans="1:9" ht="15.5" x14ac:dyDescent="0.35">
      <c r="A10" s="10"/>
      <c r="B10" s="12"/>
      <c r="I10" s="9"/>
    </row>
    <row r="11" spans="1:9" ht="15.5" x14ac:dyDescent="0.35">
      <c r="A11" s="10" t="s">
        <v>34</v>
      </c>
      <c r="B11" s="11">
        <f>SUM(B6:B9)</f>
        <v>25000</v>
      </c>
      <c r="I11" s="9"/>
    </row>
    <row r="12" spans="1:9" ht="15.5" x14ac:dyDescent="0.35">
      <c r="A12" s="2"/>
      <c r="I12" s="9"/>
    </row>
    <row r="13" spans="1:9" ht="15.5" x14ac:dyDescent="0.35">
      <c r="A13" s="13" t="s">
        <v>35</v>
      </c>
      <c r="B13" s="217" t="s">
        <v>29</v>
      </c>
      <c r="C13" s="217" t="s">
        <v>30</v>
      </c>
      <c r="D13" s="14"/>
      <c r="E13" s="216" t="s">
        <v>36</v>
      </c>
      <c r="I13" s="9"/>
    </row>
    <row r="14" spans="1:9" ht="15.5" x14ac:dyDescent="0.35">
      <c r="A14" s="15">
        <v>2028</v>
      </c>
      <c r="B14" s="218">
        <f>B6*(1+'Inflation estimation'!$N$18)^4</f>
        <v>15794.875204828171</v>
      </c>
      <c r="C14" s="212">
        <f>C6*(1+'Inflation estimation'!$N$18)^4</f>
        <v>3158.975040965634</v>
      </c>
      <c r="D14" s="11"/>
      <c r="E14" s="16">
        <f t="shared" ref="E14:E15" si="1">SUM(B14:D14)</f>
        <v>18953.850245793805</v>
      </c>
      <c r="I14" s="9"/>
    </row>
    <row r="15" spans="1:9" ht="15.5" x14ac:dyDescent="0.35">
      <c r="A15" s="15">
        <v>2029</v>
      </c>
      <c r="B15" s="218">
        <f>B7*(1+'Inflation estimation'!$N$18)^5</f>
        <v>16746.256747589796</v>
      </c>
      <c r="C15" s="212">
        <f>C7*(1+'Inflation estimation'!$N$18)^5</f>
        <v>3349.2513495179592</v>
      </c>
      <c r="E15" s="16">
        <f t="shared" si="1"/>
        <v>20095.508097107755</v>
      </c>
      <c r="I15" s="9"/>
    </row>
    <row r="16" spans="1:9" ht="16" thickBot="1" x14ac:dyDescent="0.4">
      <c r="A16" s="15"/>
      <c r="B16" s="16"/>
      <c r="E16" s="16"/>
      <c r="I16" s="9"/>
    </row>
    <row r="17" spans="1:9" ht="15.5" x14ac:dyDescent="0.35">
      <c r="A17" s="15"/>
      <c r="B17" s="16"/>
      <c r="E17" s="17">
        <f>SUM(E14,E15)</f>
        <v>39049.358342901556</v>
      </c>
      <c r="G17" s="11"/>
      <c r="I17" s="9"/>
    </row>
    <row r="18" spans="1:9" ht="15.5" x14ac:dyDescent="0.35">
      <c r="A18" s="18"/>
      <c r="B18" s="19"/>
      <c r="C18" s="19"/>
      <c r="D18" s="19"/>
      <c r="E18" s="20"/>
      <c r="F18" s="19"/>
      <c r="G18" s="19"/>
      <c r="H18" s="19"/>
      <c r="I18" s="21"/>
    </row>
    <row r="20" spans="1:9" ht="15.5" x14ac:dyDescent="0.35">
      <c r="A20" s="215" t="s">
        <v>37</v>
      </c>
      <c r="B20" s="8" t="s">
        <v>38</v>
      </c>
      <c r="F20" s="14"/>
    </row>
    <row r="21" spans="1:9" ht="15.75" customHeight="1" x14ac:dyDescent="0.35">
      <c r="B21" s="8" t="s">
        <v>39</v>
      </c>
    </row>
    <row r="22" spans="1:9" ht="15.75" customHeight="1" x14ac:dyDescent="0.35">
      <c r="F22" s="22"/>
    </row>
    <row r="23" spans="1:9" ht="15.75" customHeight="1" x14ac:dyDescent="0.35">
      <c r="G23" s="12"/>
    </row>
    <row r="24" spans="1:9" ht="15.75" customHeight="1" x14ac:dyDescent="0.35">
      <c r="B24" s="23"/>
    </row>
    <row r="25" spans="1:9" ht="15.75" customHeight="1" x14ac:dyDescent="0.35"/>
    <row r="26" spans="1:9" ht="15.75" customHeight="1" x14ac:dyDescent="0.35">
      <c r="F26" s="14"/>
    </row>
    <row r="27" spans="1:9" ht="15.75" customHeight="1" x14ac:dyDescent="0.35">
      <c r="B27" s="12"/>
    </row>
    <row r="28" spans="1:9" ht="15.75" customHeight="1" x14ac:dyDescent="0.35">
      <c r="B28" s="12"/>
      <c r="F28" s="22"/>
    </row>
    <row r="29" spans="1:9" ht="15.75" customHeight="1" x14ac:dyDescent="0.35">
      <c r="B29" s="24"/>
    </row>
    <row r="30" spans="1:9" ht="15.75" customHeight="1" x14ac:dyDescent="0.35"/>
    <row r="31" spans="1:9" ht="15.75" customHeight="1" x14ac:dyDescent="0.35"/>
    <row r="32" spans="1:9" ht="15.75" customHeight="1" x14ac:dyDescent="0.35"/>
    <row r="33" spans="1:1" ht="15.75" customHeight="1" x14ac:dyDescent="0.35"/>
    <row r="34" spans="1:1" ht="15.75" customHeight="1" x14ac:dyDescent="0.35"/>
    <row r="35" spans="1:1" ht="15.75" customHeight="1" x14ac:dyDescent="0.35"/>
    <row r="36" spans="1:1" ht="15.75" customHeight="1" x14ac:dyDescent="0.35">
      <c r="A36" s="25"/>
    </row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I2"/>
    <mergeCell ref="A4:I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topLeftCell="A2" workbookViewId="0">
      <selection activeCell="A7" sqref="A7"/>
    </sheetView>
  </sheetViews>
  <sheetFormatPr defaultColWidth="11.1640625" defaultRowHeight="15" customHeight="1" x14ac:dyDescent="0.35"/>
  <cols>
    <col min="1" max="1" width="85.6640625" customWidth="1"/>
    <col min="2" max="2" width="13.33203125" customWidth="1"/>
    <col min="3" max="3" width="14.6640625" customWidth="1"/>
    <col min="4" max="26" width="10.9140625" customWidth="1"/>
  </cols>
  <sheetData>
    <row r="1" spans="1:8" ht="15.5" x14ac:dyDescent="0.35">
      <c r="A1" s="327" t="s">
        <v>40</v>
      </c>
      <c r="B1" s="336"/>
      <c r="C1" s="336"/>
      <c r="D1" s="336"/>
      <c r="E1" s="336"/>
      <c r="F1" s="337"/>
    </row>
    <row r="2" spans="1:8" ht="15.5" x14ac:dyDescent="0.35">
      <c r="A2" s="338"/>
      <c r="B2" s="339"/>
      <c r="C2" s="339"/>
      <c r="D2" s="339"/>
      <c r="E2" s="339"/>
      <c r="F2" s="340"/>
    </row>
    <row r="3" spans="1:8" ht="15.5" x14ac:dyDescent="0.35">
      <c r="A3" s="341" t="s">
        <v>41</v>
      </c>
      <c r="B3" s="342"/>
      <c r="C3" s="342"/>
      <c r="D3" s="342"/>
      <c r="E3" s="342"/>
      <c r="F3" s="343"/>
    </row>
    <row r="4" spans="1:8" ht="15.5" x14ac:dyDescent="0.35">
      <c r="B4" s="26">
        <v>2024</v>
      </c>
      <c r="C4" s="27" t="s">
        <v>42</v>
      </c>
      <c r="F4" s="9"/>
    </row>
    <row r="5" spans="1:8" ht="15.5" x14ac:dyDescent="0.35">
      <c r="A5" s="2" t="s">
        <v>43</v>
      </c>
      <c r="B5" s="11">
        <f>B24</f>
        <v>207195.29999999996</v>
      </c>
      <c r="C5" s="11">
        <f>B5*(1+'Inflation estimation'!X19)^(3)*(1+'Inflation estimation'!X22)^(7)</f>
        <v>612876.78168454079</v>
      </c>
      <c r="F5" s="9"/>
      <c r="H5" s="12"/>
    </row>
    <row r="6" spans="1:8" ht="15.5" x14ac:dyDescent="0.35">
      <c r="A6" s="2" t="s">
        <v>44</v>
      </c>
      <c r="B6" s="11">
        <v>150000</v>
      </c>
      <c r="C6" s="11">
        <f>B6*(1+'Inflation estimation'!$W$18)^10</f>
        <v>242334.48876116876</v>
      </c>
      <c r="F6" s="9"/>
      <c r="H6" s="12"/>
    </row>
    <row r="7" spans="1:8" ht="15.5" x14ac:dyDescent="0.35">
      <c r="A7" s="2" t="s">
        <v>45</v>
      </c>
      <c r="B7" s="11">
        <v>10000</v>
      </c>
      <c r="C7" s="11">
        <f>B7*(1+'Inflation estimation'!$W$18)^10</f>
        <v>16155.632584077917</v>
      </c>
      <c r="F7" s="9"/>
    </row>
    <row r="8" spans="1:8" ht="15.5" x14ac:dyDescent="0.35">
      <c r="A8" s="2" t="s">
        <v>46</v>
      </c>
      <c r="B8" s="11">
        <v>50000</v>
      </c>
      <c r="C8" s="11">
        <f>B8*(1+'Inflation estimation'!$W$18)^10</f>
        <v>80778.162920389586</v>
      </c>
      <c r="F8" s="9"/>
    </row>
    <row r="9" spans="1:8" ht="15.5" x14ac:dyDescent="0.35">
      <c r="A9" s="2" t="s">
        <v>47</v>
      </c>
      <c r="B9" s="11">
        <v>50000</v>
      </c>
      <c r="C9" s="11">
        <f>B9*(1+'Inflation estimation'!$S$15)^10</f>
        <v>84216.034318302351</v>
      </c>
      <c r="F9" s="9"/>
    </row>
    <row r="10" spans="1:8" ht="15.5" x14ac:dyDescent="0.35">
      <c r="A10" s="2" t="s">
        <v>48</v>
      </c>
      <c r="B10" s="11">
        <f>4.5*400</f>
        <v>1800</v>
      </c>
      <c r="C10" s="11">
        <f>B10*(1+'Inflation estimation'!$W$18)^10</f>
        <v>2908.0138651340249</v>
      </c>
      <c r="F10" s="9"/>
    </row>
    <row r="11" spans="1:8" ht="15.5" x14ac:dyDescent="0.35">
      <c r="A11" s="28" t="s">
        <v>49</v>
      </c>
      <c r="B11" s="16">
        <f t="shared" ref="B11:C11" si="0">SUM(B5:B10)</f>
        <v>468995.29999999993</v>
      </c>
      <c r="C11" s="29">
        <f t="shared" si="0"/>
        <v>1039269.1141336134</v>
      </c>
      <c r="F11" s="9"/>
    </row>
    <row r="12" spans="1:8" ht="15.5" x14ac:dyDescent="0.35">
      <c r="A12" s="30"/>
      <c r="B12" s="19"/>
      <c r="C12" s="19"/>
      <c r="D12" s="19"/>
      <c r="E12" s="19"/>
      <c r="F12" s="21"/>
    </row>
    <row r="14" spans="1:8" ht="15.5" x14ac:dyDescent="0.35">
      <c r="A14" s="215" t="s">
        <v>37</v>
      </c>
    </row>
    <row r="15" spans="1:8" ht="15.5" x14ac:dyDescent="0.35">
      <c r="A15" s="8" t="s">
        <v>50</v>
      </c>
    </row>
    <row r="16" spans="1:8" ht="15.5" x14ac:dyDescent="0.35">
      <c r="A16" s="8" t="s">
        <v>51</v>
      </c>
    </row>
    <row r="17" spans="1:2" ht="15.5" x14ac:dyDescent="0.35">
      <c r="A17" s="8" t="s">
        <v>52</v>
      </c>
    </row>
    <row r="18" spans="1:2" ht="15.5" x14ac:dyDescent="0.35">
      <c r="A18" s="8" t="s">
        <v>53</v>
      </c>
    </row>
    <row r="20" spans="1:2" ht="15.5" x14ac:dyDescent="0.35">
      <c r="A20" s="219" t="s">
        <v>54</v>
      </c>
    </row>
    <row r="21" spans="1:2" ht="15.75" customHeight="1" x14ac:dyDescent="0.35">
      <c r="A21" s="8" t="s">
        <v>55</v>
      </c>
      <c r="B21" s="11">
        <v>5858</v>
      </c>
    </row>
    <row r="22" spans="1:2" ht="15.75" customHeight="1" x14ac:dyDescent="0.35">
      <c r="A22" s="8" t="s">
        <v>56</v>
      </c>
      <c r="B22" s="11">
        <v>45</v>
      </c>
    </row>
    <row r="23" spans="1:2" ht="15.75" customHeight="1" x14ac:dyDescent="0.35">
      <c r="A23" s="8" t="s">
        <v>57</v>
      </c>
      <c r="B23" s="11">
        <f>3*11.7</f>
        <v>35.099999999999994</v>
      </c>
    </row>
    <row r="24" spans="1:2" ht="15.75" customHeight="1" x14ac:dyDescent="0.35">
      <c r="A24" s="14" t="s">
        <v>58</v>
      </c>
      <c r="B24" s="16">
        <f>(B21+B22)*B23</f>
        <v>207195.29999999996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F2"/>
    <mergeCell ref="A3:F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workbookViewId="0">
      <selection activeCell="A21" sqref="A21"/>
    </sheetView>
  </sheetViews>
  <sheetFormatPr defaultColWidth="11.1640625" defaultRowHeight="15" customHeight="1" x14ac:dyDescent="0.35"/>
  <cols>
    <col min="1" max="1" width="89.6640625" customWidth="1"/>
    <col min="2" max="2" width="27.4140625" customWidth="1"/>
    <col min="3" max="3" width="18.33203125" customWidth="1"/>
    <col min="4" max="26" width="10.9140625" customWidth="1"/>
  </cols>
  <sheetData>
    <row r="1" spans="1:11" ht="15.75" customHeight="1" x14ac:dyDescent="0.35">
      <c r="F1" s="31"/>
      <c r="G1" s="31"/>
      <c r="H1" s="31"/>
      <c r="I1" s="31"/>
      <c r="J1" s="31"/>
      <c r="K1" s="31"/>
    </row>
    <row r="2" spans="1:11" ht="23.5" x14ac:dyDescent="0.35">
      <c r="A2" s="344" t="s">
        <v>59</v>
      </c>
      <c r="B2" s="345"/>
      <c r="C2" s="345"/>
      <c r="D2" s="345"/>
      <c r="E2" s="346"/>
    </row>
    <row r="3" spans="1:11" ht="15.5" x14ac:dyDescent="0.35">
      <c r="A3" s="32"/>
      <c r="B3" s="26">
        <v>2024</v>
      </c>
      <c r="C3" s="26" t="s">
        <v>60</v>
      </c>
      <c r="D3" s="33"/>
      <c r="E3" s="34"/>
    </row>
    <row r="4" spans="1:11" ht="15.5" x14ac:dyDescent="0.35">
      <c r="A4" s="35" t="s">
        <v>61</v>
      </c>
      <c r="B4" s="11">
        <f>B23</f>
        <v>207195.29999999996</v>
      </c>
      <c r="C4" s="11">
        <f>B4*(1+'Inflation estimation'!X19)^(3)*(1+'Inflation estimation'!X22)^(9)</f>
        <v>760304.56118454086</v>
      </c>
      <c r="D4" s="36"/>
      <c r="E4" s="37"/>
    </row>
    <row r="5" spans="1:11" ht="15.5" x14ac:dyDescent="0.35">
      <c r="A5" s="35" t="s">
        <v>62</v>
      </c>
      <c r="B5" s="11">
        <v>150000</v>
      </c>
      <c r="C5" s="11">
        <f>B5*(1+'Inflation estimation'!$W$18)^12</f>
        <v>266735.00884108094</v>
      </c>
      <c r="D5" s="36"/>
      <c r="E5" s="37"/>
    </row>
    <row r="6" spans="1:11" ht="15.5" x14ac:dyDescent="0.35">
      <c r="A6" s="35" t="s">
        <v>63</v>
      </c>
      <c r="B6" s="11">
        <v>20000</v>
      </c>
      <c r="C6" s="11">
        <f>B6*(1+'Inflation estimation'!$W$18)^12</f>
        <v>35564.667845477459</v>
      </c>
      <c r="D6" s="36"/>
      <c r="E6" s="37"/>
    </row>
    <row r="7" spans="1:11" ht="15.5" x14ac:dyDescent="0.35">
      <c r="A7" s="35" t="s">
        <v>46</v>
      </c>
      <c r="B7" s="11">
        <f>50000</f>
        <v>50000</v>
      </c>
      <c r="C7" s="11">
        <f>B7*(1+'Inflation estimation'!$W$18)^12</f>
        <v>88911.669613693652</v>
      </c>
      <c r="D7" s="36"/>
      <c r="E7" s="37"/>
    </row>
    <row r="8" spans="1:11" ht="15.5" x14ac:dyDescent="0.35">
      <c r="A8" s="35" t="s">
        <v>47</v>
      </c>
      <c r="B8" s="11">
        <v>25000</v>
      </c>
      <c r="C8" s="11">
        <f>B8*(1+'Inflation estimation'!$S$15)^12</f>
        <v>46735.807170082371</v>
      </c>
      <c r="D8" s="36"/>
      <c r="E8" s="37"/>
    </row>
    <row r="9" spans="1:11" ht="15.5" x14ac:dyDescent="0.35">
      <c r="A9" s="35" t="s">
        <v>48</v>
      </c>
      <c r="B9" s="11">
        <f>400*4.5</f>
        <v>1800</v>
      </c>
      <c r="C9" s="11">
        <f>B9*(1+'Inflation estimation'!$W$18)^12</f>
        <v>3200.8201060929714</v>
      </c>
      <c r="D9" s="36"/>
      <c r="E9" s="37"/>
    </row>
    <row r="10" spans="1:11" ht="15.5" x14ac:dyDescent="0.35">
      <c r="A10" s="38" t="s">
        <v>49</v>
      </c>
      <c r="B10" s="16">
        <f t="shared" ref="B10:C10" si="0">SUM(B4:B9)</f>
        <v>453995.29999999993</v>
      </c>
      <c r="C10" s="16">
        <f t="shared" si="0"/>
        <v>1201452.5347609683</v>
      </c>
      <c r="D10" s="36"/>
      <c r="E10" s="37"/>
    </row>
    <row r="11" spans="1:11" ht="15.5" x14ac:dyDescent="0.35">
      <c r="A11" s="39"/>
      <c r="B11" s="20"/>
      <c r="C11" s="20"/>
      <c r="D11" s="20"/>
      <c r="E11" s="40"/>
    </row>
    <row r="13" spans="1:11" ht="15.5" x14ac:dyDescent="0.35">
      <c r="A13" s="14" t="s">
        <v>37</v>
      </c>
    </row>
    <row r="14" spans="1:11" ht="15.5" x14ac:dyDescent="0.35">
      <c r="A14" s="8" t="s">
        <v>50</v>
      </c>
    </row>
    <row r="15" spans="1:11" ht="15.5" x14ac:dyDescent="0.35">
      <c r="A15" s="8" t="s">
        <v>51</v>
      </c>
    </row>
    <row r="16" spans="1:11" ht="15.5" x14ac:dyDescent="0.35">
      <c r="A16" s="8" t="s">
        <v>52</v>
      </c>
    </row>
    <row r="17" spans="1:2" ht="15.5" x14ac:dyDescent="0.35">
      <c r="A17" s="8" t="s">
        <v>53</v>
      </c>
    </row>
    <row r="19" spans="1:2" ht="15.5" x14ac:dyDescent="0.35">
      <c r="A19" s="219" t="s">
        <v>54</v>
      </c>
    </row>
    <row r="20" spans="1:2" ht="15.5" x14ac:dyDescent="0.35">
      <c r="A20" s="23" t="s">
        <v>55</v>
      </c>
      <c r="B20" s="41">
        <v>5858</v>
      </c>
    </row>
    <row r="21" spans="1:2" ht="15.75" customHeight="1" x14ac:dyDescent="0.35">
      <c r="A21" s="23" t="s">
        <v>56</v>
      </c>
      <c r="B21" s="41">
        <v>45</v>
      </c>
    </row>
    <row r="22" spans="1:2" ht="15.75" customHeight="1" x14ac:dyDescent="0.35">
      <c r="A22" s="23" t="s">
        <v>57</v>
      </c>
      <c r="B22" s="41">
        <f>3*11.7</f>
        <v>35.099999999999994</v>
      </c>
    </row>
    <row r="23" spans="1:2" ht="15.75" customHeight="1" x14ac:dyDescent="0.35">
      <c r="A23" s="23" t="s">
        <v>58</v>
      </c>
      <c r="B23" s="41">
        <f>(B20+B21)*B22</f>
        <v>207195.29999999996</v>
      </c>
    </row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:E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000"/>
  <sheetViews>
    <sheetView showGridLines="0" workbookViewId="0">
      <selection activeCell="D9" sqref="D9"/>
    </sheetView>
  </sheetViews>
  <sheetFormatPr defaultColWidth="11.1640625" defaultRowHeight="15" customHeight="1" x14ac:dyDescent="0.35"/>
  <cols>
    <col min="1" max="1" width="10.9140625" customWidth="1"/>
    <col min="2" max="2" width="31.1640625" customWidth="1"/>
    <col min="3" max="3" width="17.08203125" customWidth="1"/>
    <col min="4" max="4" width="49.33203125" customWidth="1"/>
    <col min="5" max="5" width="24.58203125" customWidth="1"/>
    <col min="6" max="6" width="16.6640625" customWidth="1"/>
    <col min="7" max="7" width="27.9140625" customWidth="1"/>
    <col min="8" max="8" width="11" customWidth="1"/>
    <col min="9" max="9" width="16.08203125" customWidth="1"/>
    <col min="10" max="26" width="10.9140625" customWidth="1"/>
  </cols>
  <sheetData>
    <row r="2" spans="1:10" ht="15.5" x14ac:dyDescent="0.35">
      <c r="B2" s="349" t="s">
        <v>64</v>
      </c>
      <c r="C2" s="350"/>
      <c r="D2" s="349" t="s">
        <v>65</v>
      </c>
      <c r="E2" s="350"/>
      <c r="G2" s="349" t="s">
        <v>66</v>
      </c>
      <c r="H2" s="350"/>
    </row>
    <row r="3" spans="1:10" ht="15.5" x14ac:dyDescent="0.35">
      <c r="B3" s="224" t="s">
        <v>67</v>
      </c>
      <c r="C3" s="225">
        <v>20000</v>
      </c>
      <c r="D3" s="228" t="s">
        <v>68</v>
      </c>
      <c r="E3" s="229">
        <v>15000</v>
      </c>
      <c r="G3" s="224" t="s">
        <v>67</v>
      </c>
      <c r="H3" s="231">
        <v>10000</v>
      </c>
    </row>
    <row r="4" spans="1:10" ht="15.5" x14ac:dyDescent="0.35">
      <c r="B4" s="224" t="s">
        <v>69</v>
      </c>
      <c r="C4" s="225">
        <f>C3*12</f>
        <v>240000</v>
      </c>
      <c r="D4" s="224" t="s">
        <v>70</v>
      </c>
      <c r="E4" s="225">
        <f>E3*12</f>
        <v>180000</v>
      </c>
      <c r="G4" s="224" t="s">
        <v>71</v>
      </c>
      <c r="H4" s="232">
        <f>H3*12</f>
        <v>120000</v>
      </c>
    </row>
    <row r="5" spans="1:10" ht="15.5" x14ac:dyDescent="0.35">
      <c r="B5" s="226" t="s">
        <v>72</v>
      </c>
      <c r="C5" s="227">
        <v>0.05</v>
      </c>
      <c r="D5" s="226" t="s">
        <v>72</v>
      </c>
      <c r="E5" s="230">
        <v>0.05</v>
      </c>
      <c r="G5" s="226" t="s">
        <v>73</v>
      </c>
      <c r="H5" s="233">
        <v>0.05</v>
      </c>
    </row>
    <row r="6" spans="1:10" ht="15.5" x14ac:dyDescent="0.35">
      <c r="F6" s="42"/>
    </row>
    <row r="7" spans="1:10" ht="15.5" x14ac:dyDescent="0.35">
      <c r="D7" s="14" t="s">
        <v>74</v>
      </c>
      <c r="E7" s="43"/>
      <c r="F7" s="14"/>
      <c r="G7" s="8" t="s">
        <v>75</v>
      </c>
    </row>
    <row r="8" spans="1:10" ht="15.5" x14ac:dyDescent="0.35">
      <c r="B8" s="8" t="s">
        <v>76</v>
      </c>
      <c r="C8" s="11">
        <f>D27/12</f>
        <v>43657.491767638727</v>
      </c>
      <c r="D8" s="14" t="s">
        <v>77</v>
      </c>
      <c r="E8" s="14">
        <v>28000</v>
      </c>
      <c r="F8" s="14"/>
      <c r="G8" s="8" t="s">
        <v>78</v>
      </c>
      <c r="H8" s="8">
        <v>17000</v>
      </c>
    </row>
    <row r="9" spans="1:10" ht="15.5" x14ac:dyDescent="0.35">
      <c r="A9" s="33"/>
      <c r="B9" s="33"/>
      <c r="C9" s="33"/>
      <c r="D9" s="33"/>
      <c r="E9" s="33"/>
      <c r="F9" s="33"/>
      <c r="G9" s="23" t="s">
        <v>79</v>
      </c>
      <c r="H9" s="44">
        <v>36000</v>
      </c>
      <c r="I9" s="8" t="s">
        <v>80</v>
      </c>
    </row>
    <row r="10" spans="1:10" ht="15.5" x14ac:dyDescent="0.35">
      <c r="A10" s="33"/>
      <c r="B10" s="221" t="s">
        <v>81</v>
      </c>
      <c r="C10" s="222" t="s">
        <v>82</v>
      </c>
      <c r="D10" s="223" t="s">
        <v>64</v>
      </c>
      <c r="E10" s="222" t="s">
        <v>83</v>
      </c>
      <c r="F10" s="222" t="s">
        <v>84</v>
      </c>
      <c r="G10" s="220" t="s">
        <v>85</v>
      </c>
    </row>
    <row r="11" spans="1:10" ht="15.5" x14ac:dyDescent="0.35">
      <c r="A11" s="33"/>
      <c r="B11" s="45">
        <v>2024</v>
      </c>
      <c r="C11" s="46">
        <v>40</v>
      </c>
      <c r="D11" s="47">
        <f>C4</f>
        <v>240000</v>
      </c>
      <c r="E11" s="47">
        <v>0</v>
      </c>
      <c r="F11" s="47">
        <v>0</v>
      </c>
      <c r="G11" s="48">
        <f t="shared" ref="G11:G41" si="0">D11+E11+F11</f>
        <v>240000</v>
      </c>
    </row>
    <row r="12" spans="1:10" ht="15.5" x14ac:dyDescent="0.35">
      <c r="A12" s="33"/>
      <c r="B12" s="32">
        <v>2025</v>
      </c>
      <c r="C12" s="33">
        <v>41</v>
      </c>
      <c r="D12" s="47">
        <f t="shared" ref="D12:D31" si="1">D11*(1+$C$5)</f>
        <v>252000</v>
      </c>
      <c r="E12" s="47">
        <f>$E$3*12</f>
        <v>180000</v>
      </c>
      <c r="F12" s="47">
        <v>0</v>
      </c>
      <c r="G12" s="48">
        <f t="shared" si="0"/>
        <v>432000</v>
      </c>
    </row>
    <row r="13" spans="1:10" ht="15.5" x14ac:dyDescent="0.35">
      <c r="A13" s="49">
        <v>1</v>
      </c>
      <c r="B13" s="32">
        <v>2026</v>
      </c>
      <c r="C13" s="33">
        <v>42</v>
      </c>
      <c r="D13" s="47">
        <f t="shared" si="1"/>
        <v>264600</v>
      </c>
      <c r="E13" s="47">
        <f t="shared" ref="E13:E25" si="2">($E$3)*12*(1+$E$5)^A13</f>
        <v>189000</v>
      </c>
      <c r="F13" s="47">
        <v>0</v>
      </c>
      <c r="G13" s="48">
        <f t="shared" si="0"/>
        <v>453600</v>
      </c>
      <c r="J13" s="50"/>
    </row>
    <row r="14" spans="1:10" ht="15.5" x14ac:dyDescent="0.35">
      <c r="A14" s="49">
        <v>2</v>
      </c>
      <c r="B14" s="32">
        <v>2027</v>
      </c>
      <c r="C14" s="33">
        <v>43</v>
      </c>
      <c r="D14" s="47">
        <f t="shared" si="1"/>
        <v>277830</v>
      </c>
      <c r="E14" s="47">
        <f t="shared" si="2"/>
        <v>198450</v>
      </c>
      <c r="F14" s="47">
        <v>0</v>
      </c>
      <c r="G14" s="48">
        <f t="shared" si="0"/>
        <v>476280</v>
      </c>
      <c r="J14" s="25"/>
    </row>
    <row r="15" spans="1:10" ht="15.5" x14ac:dyDescent="0.35">
      <c r="A15" s="49">
        <v>3</v>
      </c>
      <c r="B15" s="32">
        <v>2028</v>
      </c>
      <c r="C15" s="33">
        <v>44</v>
      </c>
      <c r="D15" s="47">
        <f t="shared" si="1"/>
        <v>291721.5</v>
      </c>
      <c r="E15" s="47">
        <f t="shared" si="2"/>
        <v>208372.50000000003</v>
      </c>
      <c r="F15" s="47">
        <v>0</v>
      </c>
      <c r="G15" s="48">
        <f t="shared" si="0"/>
        <v>500094</v>
      </c>
    </row>
    <row r="16" spans="1:10" ht="15.5" x14ac:dyDescent="0.35">
      <c r="A16" s="49">
        <v>4</v>
      </c>
      <c r="B16" s="32">
        <v>2029</v>
      </c>
      <c r="C16" s="33">
        <v>45</v>
      </c>
      <c r="D16" s="47">
        <f t="shared" si="1"/>
        <v>306307.57500000001</v>
      </c>
      <c r="E16" s="47">
        <f t="shared" si="2"/>
        <v>218791.125</v>
      </c>
      <c r="F16" s="47">
        <v>0</v>
      </c>
      <c r="G16" s="48">
        <f t="shared" si="0"/>
        <v>525098.69999999995</v>
      </c>
    </row>
    <row r="17" spans="1:9" ht="15.5" x14ac:dyDescent="0.35">
      <c r="A17" s="49">
        <v>5</v>
      </c>
      <c r="B17" s="32">
        <v>2030</v>
      </c>
      <c r="C17" s="33">
        <v>46</v>
      </c>
      <c r="D17" s="47">
        <f t="shared" si="1"/>
        <v>321622.95375000004</v>
      </c>
      <c r="E17" s="47">
        <f t="shared" si="2"/>
        <v>229730.68125000002</v>
      </c>
      <c r="F17" s="47">
        <f>H3*12</f>
        <v>120000</v>
      </c>
      <c r="G17" s="48">
        <f t="shared" si="0"/>
        <v>671353.63500000001</v>
      </c>
    </row>
    <row r="18" spans="1:9" ht="15.5" x14ac:dyDescent="0.35">
      <c r="A18" s="49">
        <v>6</v>
      </c>
      <c r="B18" s="32">
        <v>2031</v>
      </c>
      <c r="C18" s="33">
        <v>47</v>
      </c>
      <c r="D18" s="47">
        <f t="shared" si="1"/>
        <v>337704.10143750004</v>
      </c>
      <c r="E18" s="47">
        <f t="shared" si="2"/>
        <v>241217.21531249999</v>
      </c>
      <c r="F18" s="47">
        <f>H3*(1+H5)*12</f>
        <v>126000</v>
      </c>
      <c r="G18" s="48">
        <f t="shared" si="0"/>
        <v>704921.31675</v>
      </c>
    </row>
    <row r="19" spans="1:9" ht="15.5" x14ac:dyDescent="0.35">
      <c r="A19" s="49">
        <v>7</v>
      </c>
      <c r="B19" s="32">
        <v>2032</v>
      </c>
      <c r="C19" s="33">
        <v>48</v>
      </c>
      <c r="D19" s="47">
        <f t="shared" si="1"/>
        <v>354589.30650937505</v>
      </c>
      <c r="E19" s="47">
        <f t="shared" si="2"/>
        <v>253278.07607812504</v>
      </c>
      <c r="F19" s="47">
        <f>H8*12</f>
        <v>204000</v>
      </c>
      <c r="G19" s="48">
        <f t="shared" si="0"/>
        <v>811867.38258750015</v>
      </c>
    </row>
    <row r="20" spans="1:9" ht="15.5" x14ac:dyDescent="0.35">
      <c r="A20" s="49">
        <v>8</v>
      </c>
      <c r="B20" s="32">
        <v>2033</v>
      </c>
      <c r="C20" s="33">
        <v>49</v>
      </c>
      <c r="D20" s="47">
        <f t="shared" si="1"/>
        <v>372318.77183484379</v>
      </c>
      <c r="E20" s="47">
        <f t="shared" si="2"/>
        <v>265941.97988203127</v>
      </c>
      <c r="F20" s="47">
        <f t="shared" ref="F20:F28" si="3">F19*(1+$H$5)</f>
        <v>214200</v>
      </c>
      <c r="G20" s="48">
        <f t="shared" si="0"/>
        <v>852460.75171687501</v>
      </c>
    </row>
    <row r="21" spans="1:9" ht="15.75" customHeight="1" x14ac:dyDescent="0.35">
      <c r="A21" s="49">
        <v>9</v>
      </c>
      <c r="B21" s="51">
        <v>2034</v>
      </c>
      <c r="C21" s="33">
        <v>50</v>
      </c>
      <c r="D21" s="47">
        <f t="shared" si="1"/>
        <v>390934.71042658598</v>
      </c>
      <c r="E21" s="47">
        <f t="shared" si="2"/>
        <v>279239.07887613284</v>
      </c>
      <c r="F21" s="52">
        <f t="shared" si="3"/>
        <v>224910</v>
      </c>
      <c r="G21" s="48">
        <f t="shared" si="0"/>
        <v>895083.78930271883</v>
      </c>
    </row>
    <row r="22" spans="1:9" ht="15.75" customHeight="1" x14ac:dyDescent="0.35">
      <c r="A22" s="49">
        <v>10</v>
      </c>
      <c r="B22" s="32">
        <v>2035</v>
      </c>
      <c r="C22" s="33">
        <v>51</v>
      </c>
      <c r="D22" s="47">
        <f t="shared" si="1"/>
        <v>410481.44594791532</v>
      </c>
      <c r="E22" s="47">
        <f t="shared" si="2"/>
        <v>293201.03281993949</v>
      </c>
      <c r="F22" s="52">
        <f t="shared" si="3"/>
        <v>236155.5</v>
      </c>
      <c r="G22" s="48">
        <f t="shared" si="0"/>
        <v>939837.97876785486</v>
      </c>
    </row>
    <row r="23" spans="1:9" ht="15.75" customHeight="1" x14ac:dyDescent="0.35">
      <c r="A23" s="49">
        <v>11</v>
      </c>
      <c r="B23" s="51">
        <v>2036</v>
      </c>
      <c r="C23" s="33">
        <v>52</v>
      </c>
      <c r="D23" s="47">
        <f t="shared" si="1"/>
        <v>431005.5182453111</v>
      </c>
      <c r="E23" s="47">
        <f t="shared" si="2"/>
        <v>307861.08446093649</v>
      </c>
      <c r="F23" s="52">
        <f t="shared" si="3"/>
        <v>247963.27500000002</v>
      </c>
      <c r="G23" s="48">
        <f t="shared" si="0"/>
        <v>986829.87770624761</v>
      </c>
    </row>
    <row r="24" spans="1:9" ht="15.75" customHeight="1" x14ac:dyDescent="0.35">
      <c r="A24" s="49">
        <v>12</v>
      </c>
      <c r="B24" s="32">
        <v>2037</v>
      </c>
      <c r="C24" s="33">
        <v>53</v>
      </c>
      <c r="D24" s="47">
        <f t="shared" si="1"/>
        <v>452555.79415757669</v>
      </c>
      <c r="E24" s="47">
        <f t="shared" si="2"/>
        <v>323254.13868398324</v>
      </c>
      <c r="F24" s="52">
        <f t="shared" si="3"/>
        <v>260361.43875000003</v>
      </c>
      <c r="G24" s="48">
        <f t="shared" si="0"/>
        <v>1036171.3715915598</v>
      </c>
    </row>
    <row r="25" spans="1:9" ht="15.75" customHeight="1" x14ac:dyDescent="0.35">
      <c r="A25" s="49">
        <v>13</v>
      </c>
      <c r="B25" s="32">
        <v>2038</v>
      </c>
      <c r="C25" s="33">
        <v>54</v>
      </c>
      <c r="D25" s="47">
        <f t="shared" si="1"/>
        <v>475183.58386545553</v>
      </c>
      <c r="E25" s="47">
        <f t="shared" si="2"/>
        <v>339416.8456181825</v>
      </c>
      <c r="F25" s="52">
        <f t="shared" si="3"/>
        <v>273379.51068750006</v>
      </c>
      <c r="G25" s="48">
        <f t="shared" si="0"/>
        <v>1087979.9401711382</v>
      </c>
    </row>
    <row r="26" spans="1:9" ht="15.75" customHeight="1" x14ac:dyDescent="0.35">
      <c r="A26" s="49">
        <v>14</v>
      </c>
      <c r="B26" s="32">
        <v>2039</v>
      </c>
      <c r="C26" s="33">
        <v>55</v>
      </c>
      <c r="D26" s="47">
        <f t="shared" si="1"/>
        <v>498942.76305872831</v>
      </c>
      <c r="E26" s="47">
        <f t="shared" ref="E26:E41" si="4">($E$8)*12*(1+$E$5)^A26</f>
        <v>665257.01741163747</v>
      </c>
      <c r="F26" s="52">
        <f t="shared" si="3"/>
        <v>287048.48622187506</v>
      </c>
      <c r="G26" s="48">
        <f t="shared" si="0"/>
        <v>1451248.2666922407</v>
      </c>
    </row>
    <row r="27" spans="1:9" ht="15.75" customHeight="1" x14ac:dyDescent="0.35">
      <c r="A27" s="49">
        <v>15</v>
      </c>
      <c r="B27" s="32">
        <v>2040</v>
      </c>
      <c r="C27" s="33">
        <v>56</v>
      </c>
      <c r="D27" s="47">
        <f t="shared" si="1"/>
        <v>523889.90121166472</v>
      </c>
      <c r="E27" s="47">
        <f t="shared" si="4"/>
        <v>698519.86828221963</v>
      </c>
      <c r="F27" s="52">
        <f t="shared" si="3"/>
        <v>301400.91053296882</v>
      </c>
      <c r="G27" s="48">
        <f t="shared" si="0"/>
        <v>1523810.6800268532</v>
      </c>
    </row>
    <row r="28" spans="1:9" ht="15.75" customHeight="1" x14ac:dyDescent="0.35">
      <c r="A28" s="49">
        <v>16</v>
      </c>
      <c r="B28" s="32">
        <v>2041</v>
      </c>
      <c r="C28" s="33">
        <v>57</v>
      </c>
      <c r="D28" s="47">
        <f t="shared" si="1"/>
        <v>550084.39627224801</v>
      </c>
      <c r="E28" s="47">
        <f t="shared" si="4"/>
        <v>733445.86169633048</v>
      </c>
      <c r="F28" s="52">
        <f t="shared" si="3"/>
        <v>316470.95605961728</v>
      </c>
      <c r="G28" s="48">
        <f t="shared" si="0"/>
        <v>1600001.2140281957</v>
      </c>
    </row>
    <row r="29" spans="1:9" ht="15.75" customHeight="1" x14ac:dyDescent="0.35">
      <c r="A29" s="49">
        <v>17</v>
      </c>
      <c r="B29" s="32">
        <v>2042</v>
      </c>
      <c r="C29" s="33">
        <v>58</v>
      </c>
      <c r="D29" s="47">
        <f t="shared" si="1"/>
        <v>577588.61608586041</v>
      </c>
      <c r="E29" s="47">
        <f t="shared" si="4"/>
        <v>770118.15478114714</v>
      </c>
      <c r="F29" s="52">
        <f t="shared" ref="F29:F30" si="5">H8*12</f>
        <v>204000</v>
      </c>
      <c r="G29" s="48">
        <f t="shared" si="0"/>
        <v>1551706.7708670076</v>
      </c>
    </row>
    <row r="30" spans="1:9" ht="15.75" customHeight="1" x14ac:dyDescent="0.35">
      <c r="A30" s="49">
        <v>18</v>
      </c>
      <c r="B30" s="32">
        <v>2043</v>
      </c>
      <c r="C30" s="33">
        <v>59</v>
      </c>
      <c r="D30" s="47">
        <f t="shared" si="1"/>
        <v>606468.04689015343</v>
      </c>
      <c r="E30" s="47">
        <f t="shared" si="4"/>
        <v>808624.06252020446</v>
      </c>
      <c r="F30" s="52">
        <f t="shared" si="5"/>
        <v>432000</v>
      </c>
      <c r="G30" s="48">
        <f t="shared" si="0"/>
        <v>1847092.1094103579</v>
      </c>
    </row>
    <row r="31" spans="1:9" ht="15.75" customHeight="1" x14ac:dyDescent="0.35">
      <c r="A31" s="49">
        <v>19</v>
      </c>
      <c r="B31" s="53">
        <v>2044</v>
      </c>
      <c r="C31" s="54">
        <v>60</v>
      </c>
      <c r="D31" s="47">
        <f t="shared" si="1"/>
        <v>636791.44923466118</v>
      </c>
      <c r="E31" s="47">
        <f t="shared" si="4"/>
        <v>849055.26564621471</v>
      </c>
      <c r="F31" s="55">
        <f t="shared" ref="F31:F41" si="6">F30*(1+$H$5)</f>
        <v>453600</v>
      </c>
      <c r="G31" s="48">
        <f t="shared" si="0"/>
        <v>1939446.7148808758</v>
      </c>
      <c r="I31" s="56" t="s">
        <v>25</v>
      </c>
    </row>
    <row r="32" spans="1:9" ht="15.75" customHeight="1" x14ac:dyDescent="0.35">
      <c r="A32" s="49">
        <v>20</v>
      </c>
      <c r="B32" s="32">
        <v>2045</v>
      </c>
      <c r="C32" s="33">
        <v>61</v>
      </c>
      <c r="D32" s="47">
        <v>0</v>
      </c>
      <c r="E32" s="47">
        <f t="shared" si="4"/>
        <v>891508.0289285254</v>
      </c>
      <c r="F32" s="52">
        <f t="shared" si="6"/>
        <v>476280</v>
      </c>
      <c r="G32" s="48">
        <f t="shared" si="0"/>
        <v>1367788.0289285253</v>
      </c>
    </row>
    <row r="33" spans="1:9" ht="15.75" customHeight="1" x14ac:dyDescent="0.35">
      <c r="A33" s="49">
        <v>21</v>
      </c>
      <c r="B33" s="32">
        <v>2046</v>
      </c>
      <c r="C33" s="33">
        <v>62</v>
      </c>
      <c r="D33" s="47">
        <v>0</v>
      </c>
      <c r="E33" s="47">
        <f t="shared" si="4"/>
        <v>936083.43037495168</v>
      </c>
      <c r="F33" s="52">
        <f t="shared" si="6"/>
        <v>500094</v>
      </c>
      <c r="G33" s="48">
        <f t="shared" si="0"/>
        <v>1436177.4303749516</v>
      </c>
    </row>
    <row r="34" spans="1:9" ht="15.75" customHeight="1" x14ac:dyDescent="0.35">
      <c r="A34" s="49">
        <v>22</v>
      </c>
      <c r="B34" s="32">
        <v>2047</v>
      </c>
      <c r="C34" s="33">
        <v>63</v>
      </c>
      <c r="D34" s="47">
        <v>0</v>
      </c>
      <c r="E34" s="47">
        <f t="shared" si="4"/>
        <v>982887.60189369915</v>
      </c>
      <c r="F34" s="52">
        <f t="shared" si="6"/>
        <v>525098.70000000007</v>
      </c>
      <c r="G34" s="48">
        <f t="shared" si="0"/>
        <v>1507986.3018936992</v>
      </c>
    </row>
    <row r="35" spans="1:9" ht="15.75" customHeight="1" x14ac:dyDescent="0.35">
      <c r="A35" s="49">
        <v>23</v>
      </c>
      <c r="B35" s="32">
        <v>2048</v>
      </c>
      <c r="C35" s="33">
        <v>64</v>
      </c>
      <c r="D35" s="47">
        <v>0</v>
      </c>
      <c r="E35" s="47">
        <f t="shared" si="4"/>
        <v>1032031.9819883844</v>
      </c>
      <c r="F35" s="52">
        <f t="shared" si="6"/>
        <v>551353.63500000013</v>
      </c>
      <c r="G35" s="48">
        <f t="shared" si="0"/>
        <v>1583385.6169883846</v>
      </c>
    </row>
    <row r="36" spans="1:9" ht="15.75" customHeight="1" x14ac:dyDescent="0.35">
      <c r="A36" s="49">
        <v>24</v>
      </c>
      <c r="B36" s="32">
        <v>2049</v>
      </c>
      <c r="C36" s="33">
        <v>65</v>
      </c>
      <c r="D36" s="47">
        <v>0</v>
      </c>
      <c r="E36" s="47">
        <f t="shared" si="4"/>
        <v>1083633.5810878035</v>
      </c>
      <c r="F36" s="52">
        <f t="shared" si="6"/>
        <v>578921.31675000011</v>
      </c>
      <c r="G36" s="48">
        <f t="shared" si="0"/>
        <v>1662554.8978378037</v>
      </c>
    </row>
    <row r="37" spans="1:9" ht="15.75" customHeight="1" x14ac:dyDescent="0.35">
      <c r="A37" s="49">
        <v>25</v>
      </c>
      <c r="B37" s="32">
        <v>2050</v>
      </c>
      <c r="C37" s="33">
        <v>66</v>
      </c>
      <c r="D37" s="47">
        <v>0</v>
      </c>
      <c r="E37" s="47">
        <f t="shared" si="4"/>
        <v>1137815.2601421936</v>
      </c>
      <c r="F37" s="52">
        <f t="shared" si="6"/>
        <v>607867.38258750015</v>
      </c>
      <c r="G37" s="48">
        <f t="shared" si="0"/>
        <v>1745682.6427296938</v>
      </c>
    </row>
    <row r="38" spans="1:9" ht="15.75" customHeight="1" x14ac:dyDescent="0.35">
      <c r="A38" s="49">
        <v>26</v>
      </c>
      <c r="B38" s="32">
        <v>2051</v>
      </c>
      <c r="C38" s="33">
        <v>67</v>
      </c>
      <c r="D38" s="47">
        <v>0</v>
      </c>
      <c r="E38" s="47">
        <f t="shared" si="4"/>
        <v>1194706.0231493034</v>
      </c>
      <c r="F38" s="52">
        <f t="shared" si="6"/>
        <v>638260.75171687524</v>
      </c>
      <c r="G38" s="48">
        <f t="shared" si="0"/>
        <v>1832966.7748661786</v>
      </c>
    </row>
    <row r="39" spans="1:9" ht="15.75" customHeight="1" x14ac:dyDescent="0.35">
      <c r="A39" s="49">
        <v>27</v>
      </c>
      <c r="B39" s="32">
        <v>2052</v>
      </c>
      <c r="C39" s="33">
        <v>68</v>
      </c>
      <c r="D39" s="47">
        <v>0</v>
      </c>
      <c r="E39" s="47">
        <f t="shared" si="4"/>
        <v>1254441.3243067686</v>
      </c>
      <c r="F39" s="52">
        <f t="shared" si="6"/>
        <v>670173.78930271906</v>
      </c>
      <c r="G39" s="48">
        <f t="shared" si="0"/>
        <v>1924615.1136094877</v>
      </c>
    </row>
    <row r="40" spans="1:9" ht="15.75" customHeight="1" x14ac:dyDescent="0.35">
      <c r="A40" s="49">
        <v>28</v>
      </c>
      <c r="B40" s="32">
        <v>2053</v>
      </c>
      <c r="C40" s="33">
        <v>69</v>
      </c>
      <c r="D40" s="47">
        <v>0</v>
      </c>
      <c r="E40" s="47">
        <f t="shared" si="4"/>
        <v>1317163.3905221068</v>
      </c>
      <c r="F40" s="52">
        <f t="shared" si="6"/>
        <v>703682.47876785509</v>
      </c>
      <c r="G40" s="48">
        <f t="shared" si="0"/>
        <v>2020845.8692899619</v>
      </c>
    </row>
    <row r="41" spans="1:9" ht="15.75" customHeight="1" x14ac:dyDescent="0.35">
      <c r="A41" s="49">
        <v>29</v>
      </c>
      <c r="B41" s="57">
        <v>2054</v>
      </c>
      <c r="C41" s="58">
        <v>70</v>
      </c>
      <c r="D41" s="59">
        <v>0</v>
      </c>
      <c r="E41" s="47">
        <f t="shared" si="4"/>
        <v>1383021.5600482125</v>
      </c>
      <c r="F41" s="59">
        <f t="shared" si="6"/>
        <v>738866.60270624782</v>
      </c>
      <c r="G41" s="60">
        <f t="shared" si="0"/>
        <v>2121888.1627544602</v>
      </c>
      <c r="I41" s="61" t="s">
        <v>86</v>
      </c>
    </row>
    <row r="42" spans="1:9" ht="15.75" customHeight="1" x14ac:dyDescent="0.35"/>
    <row r="43" spans="1:9" ht="15.75" customHeight="1" x14ac:dyDescent="0.35"/>
    <row r="44" spans="1:9" ht="15.75" customHeight="1" x14ac:dyDescent="0.35">
      <c r="B44" s="61"/>
      <c r="F44" s="62"/>
    </row>
    <row r="45" spans="1:9" ht="15.75" customHeight="1" x14ac:dyDescent="0.35">
      <c r="B45" s="61"/>
    </row>
    <row r="46" spans="1:9" ht="49.5" customHeight="1" x14ac:dyDescent="0.35">
      <c r="B46" s="347" t="s">
        <v>87</v>
      </c>
      <c r="C46" s="348"/>
      <c r="D46" s="348"/>
      <c r="E46" s="348"/>
      <c r="F46" s="348"/>
      <c r="G46" s="348"/>
    </row>
    <row r="47" spans="1:9" ht="15.75" customHeight="1" x14ac:dyDescent="0.35">
      <c r="B47" s="61"/>
      <c r="C47" s="61"/>
      <c r="D47" s="61"/>
    </row>
    <row r="48" spans="1:9" ht="15.75" customHeight="1" x14ac:dyDescent="0.35">
      <c r="B48" s="61"/>
      <c r="C48" s="61"/>
      <c r="D48" s="61"/>
    </row>
    <row r="49" spans="2:2" ht="15.75" customHeight="1" x14ac:dyDescent="0.35">
      <c r="B49" s="14"/>
    </row>
    <row r="50" spans="2:2" ht="15.75" customHeight="1" x14ac:dyDescent="0.35">
      <c r="B50" s="14"/>
    </row>
    <row r="51" spans="2:2" ht="15.75" customHeight="1" x14ac:dyDescent="0.35">
      <c r="B51" s="14"/>
    </row>
    <row r="52" spans="2:2" ht="15.75" customHeight="1" x14ac:dyDescent="0.35">
      <c r="B52" s="14"/>
    </row>
    <row r="53" spans="2:2" ht="15.75" customHeight="1" x14ac:dyDescent="0.35"/>
    <row r="54" spans="2:2" ht="15.75" customHeight="1" x14ac:dyDescent="0.35"/>
    <row r="55" spans="2:2" ht="15.75" customHeight="1" x14ac:dyDescent="0.35"/>
    <row r="56" spans="2:2" ht="15.75" customHeight="1" x14ac:dyDescent="0.35"/>
    <row r="57" spans="2:2" ht="15.75" customHeight="1" x14ac:dyDescent="0.35"/>
    <row r="58" spans="2:2" ht="15.75" customHeight="1" x14ac:dyDescent="0.35"/>
    <row r="59" spans="2:2" ht="15.75" customHeight="1" x14ac:dyDescent="0.35"/>
    <row r="60" spans="2:2" ht="15.75" customHeight="1" x14ac:dyDescent="0.35"/>
    <row r="61" spans="2:2" ht="15.75" customHeight="1" x14ac:dyDescent="0.35"/>
    <row r="62" spans="2:2" ht="15.75" customHeight="1" x14ac:dyDescent="0.35"/>
    <row r="63" spans="2:2" ht="15.75" customHeight="1" x14ac:dyDescent="0.35"/>
    <row r="64" spans="2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B46:G46"/>
    <mergeCell ref="B2:C2"/>
    <mergeCell ref="D2:E2"/>
    <mergeCell ref="G2:H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000"/>
  <sheetViews>
    <sheetView showGridLines="0" workbookViewId="0">
      <selection activeCell="E18" sqref="E18"/>
    </sheetView>
  </sheetViews>
  <sheetFormatPr defaultColWidth="11.1640625" defaultRowHeight="15" customHeight="1" x14ac:dyDescent="0.35"/>
  <cols>
    <col min="1" max="1" width="5.58203125" customWidth="1"/>
    <col min="2" max="2" width="45.08203125" customWidth="1"/>
    <col min="3" max="4" width="10.9140625" customWidth="1"/>
    <col min="5" max="5" width="40.9140625" customWidth="1"/>
    <col min="6" max="6" width="13" customWidth="1"/>
    <col min="7" max="27" width="10.9140625" customWidth="1"/>
  </cols>
  <sheetData>
    <row r="1" spans="2:8" ht="15.5" x14ac:dyDescent="0.35">
      <c r="B1" s="351" t="s">
        <v>88</v>
      </c>
      <c r="C1" s="352"/>
      <c r="E1" s="351" t="s">
        <v>89</v>
      </c>
      <c r="F1" s="352"/>
    </row>
    <row r="2" spans="2:8" ht="15.5" x14ac:dyDescent="0.35">
      <c r="B2" s="353" t="s">
        <v>90</v>
      </c>
      <c r="C2" s="354"/>
      <c r="D2" s="14"/>
      <c r="E2" s="355" t="s">
        <v>91</v>
      </c>
      <c r="F2" s="354"/>
    </row>
    <row r="3" spans="2:8" ht="15.5" x14ac:dyDescent="0.35">
      <c r="B3" s="224" t="s">
        <v>92</v>
      </c>
      <c r="C3" s="234">
        <v>200000</v>
      </c>
      <c r="E3" s="224" t="s">
        <v>93</v>
      </c>
      <c r="F3" s="234">
        <v>500000</v>
      </c>
    </row>
    <row r="4" spans="2:8" ht="15.5" x14ac:dyDescent="0.35">
      <c r="B4" s="235"/>
      <c r="C4" s="234"/>
      <c r="E4" s="235"/>
      <c r="F4" s="236"/>
    </row>
    <row r="5" spans="2:8" ht="15.5" x14ac:dyDescent="0.35">
      <c r="B5" s="224" t="s">
        <v>94</v>
      </c>
      <c r="C5" s="234">
        <v>228</v>
      </c>
      <c r="E5" s="224" t="s">
        <v>95</v>
      </c>
      <c r="F5" s="234">
        <v>11000</v>
      </c>
      <c r="H5" s="8" t="s">
        <v>96</v>
      </c>
    </row>
    <row r="6" spans="2:8" ht="15" customHeight="1" x14ac:dyDescent="0.35">
      <c r="B6" s="235"/>
      <c r="C6" s="236"/>
      <c r="E6" s="235"/>
      <c r="F6" s="236"/>
    </row>
    <row r="7" spans="2:8" ht="15.5" x14ac:dyDescent="0.35">
      <c r="B7" s="226" t="s">
        <v>97</v>
      </c>
      <c r="C7" s="237">
        <f>C5</f>
        <v>228</v>
      </c>
      <c r="E7" s="235"/>
      <c r="F7" s="236"/>
    </row>
    <row r="8" spans="2:8" ht="15.5" x14ac:dyDescent="0.35">
      <c r="E8" s="238" t="s">
        <v>98</v>
      </c>
      <c r="F8" s="234">
        <f>SUM(C5,F5)</f>
        <v>11228</v>
      </c>
    </row>
    <row r="9" spans="2:8" ht="15.5" x14ac:dyDescent="0.35">
      <c r="E9" s="238" t="s">
        <v>99</v>
      </c>
      <c r="F9" s="234">
        <f>(F8+C7)*(1+'Inflation estimation'!O19)</f>
        <v>11944.708443659962</v>
      </c>
    </row>
    <row r="10" spans="2:8" ht="15" customHeight="1" x14ac:dyDescent="0.35">
      <c r="E10" s="235"/>
      <c r="F10" s="236"/>
    </row>
    <row r="11" spans="2:8" ht="15.5" x14ac:dyDescent="0.35">
      <c r="E11" s="238" t="s">
        <v>100</v>
      </c>
      <c r="F11" s="236"/>
    </row>
    <row r="12" spans="2:8" ht="15.5" x14ac:dyDescent="0.35">
      <c r="E12" s="224" t="s">
        <v>101</v>
      </c>
      <c r="F12" s="236"/>
    </row>
    <row r="13" spans="2:8" ht="15.5" x14ac:dyDescent="0.35">
      <c r="E13" s="224" t="s">
        <v>102</v>
      </c>
      <c r="F13" s="236"/>
    </row>
    <row r="14" spans="2:8" ht="15" customHeight="1" x14ac:dyDescent="0.35">
      <c r="E14" s="235"/>
      <c r="F14" s="236"/>
    </row>
    <row r="15" spans="2:8" ht="15.5" x14ac:dyDescent="0.35">
      <c r="E15" s="224" t="s">
        <v>103</v>
      </c>
      <c r="F15" s="234">
        <v>12409</v>
      </c>
    </row>
    <row r="16" spans="2:8" ht="15.5" x14ac:dyDescent="0.35">
      <c r="E16" s="226" t="s">
        <v>104</v>
      </c>
      <c r="F16" s="239">
        <f>F15*(1+'Inflation estimation'!O19)*(1+'Inflation estimation'!O20)*(1+'Inflation estimation'!O21)*(1+'Inflation estimation'!O22)*(1+'Inflation estimation'!O23)*(1+'Inflation estimation'!O24)*(1+'Inflation estimation'!O25)*(1+'Inflation estimation'!O26)</f>
        <v>16643.904383642301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B1:C1"/>
    <mergeCell ref="E1:F1"/>
    <mergeCell ref="B2:C2"/>
    <mergeCell ref="E2:F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showGridLines="0" workbookViewId="0">
      <selection activeCell="B1" sqref="B1"/>
    </sheetView>
  </sheetViews>
  <sheetFormatPr defaultColWidth="11.1640625" defaultRowHeight="15" customHeight="1" x14ac:dyDescent="0.35"/>
  <cols>
    <col min="1" max="1" width="11.6640625" customWidth="1"/>
    <col min="2" max="2" width="50" customWidth="1"/>
    <col min="3" max="3" width="19.58203125" customWidth="1"/>
    <col min="4" max="4" width="14" customWidth="1"/>
    <col min="5" max="5" width="24.1640625" customWidth="1"/>
    <col min="6" max="6" width="15.83203125" customWidth="1"/>
    <col min="7" max="7" width="48.83203125" customWidth="1"/>
    <col min="8" max="8" width="15.6640625" customWidth="1"/>
    <col min="9" max="9" width="21.1640625" customWidth="1"/>
    <col min="10" max="11" width="10.9140625" customWidth="1"/>
    <col min="12" max="12" width="7.83203125" customWidth="1"/>
    <col min="13" max="13" width="9.33203125" customWidth="1"/>
    <col min="14" max="14" width="10.9140625" customWidth="1"/>
    <col min="15" max="15" width="16" customWidth="1"/>
    <col min="16" max="16" width="22.6640625" customWidth="1"/>
    <col min="17" max="17" width="24.1640625" customWidth="1"/>
    <col min="18" max="18" width="18.6640625" customWidth="1"/>
    <col min="19" max="19" width="14.83203125" customWidth="1"/>
    <col min="20" max="20" width="10.9140625" customWidth="1"/>
    <col min="21" max="21" width="23.1640625" customWidth="1"/>
    <col min="22" max="22" width="22.1640625" customWidth="1"/>
    <col min="23" max="26" width="10.9140625" customWidth="1"/>
  </cols>
  <sheetData>
    <row r="1" spans="1:22" ht="15.5" x14ac:dyDescent="0.35">
      <c r="F1" s="11"/>
    </row>
    <row r="2" spans="1:22" ht="24" customHeight="1" x14ac:dyDescent="0.35">
      <c r="A2" s="356" t="s">
        <v>105</v>
      </c>
      <c r="B2" s="357"/>
      <c r="C2" s="357"/>
      <c r="D2" s="357"/>
      <c r="E2" s="357"/>
      <c r="F2" s="357"/>
      <c r="G2" s="357"/>
      <c r="H2" s="357"/>
      <c r="I2" s="358"/>
    </row>
    <row r="3" spans="1:22" ht="16.5" customHeight="1" x14ac:dyDescent="0.35">
      <c r="A3" s="359"/>
      <c r="B3" s="360"/>
      <c r="C3" s="360"/>
      <c r="D3" s="360"/>
      <c r="E3" s="360"/>
      <c r="F3" s="360"/>
      <c r="G3" s="360"/>
      <c r="H3" s="360"/>
      <c r="I3" s="361"/>
      <c r="L3" s="362" t="s">
        <v>106</v>
      </c>
      <c r="M3" s="363"/>
      <c r="N3" s="363"/>
      <c r="O3" s="363"/>
      <c r="P3" s="363"/>
      <c r="Q3" s="363"/>
      <c r="R3" s="363"/>
      <c r="S3" s="363"/>
      <c r="T3" s="363"/>
      <c r="U3" s="363"/>
      <c r="V3" s="364"/>
    </row>
    <row r="4" spans="1:22" ht="15.5" x14ac:dyDescent="0.35">
      <c r="A4" s="240" t="s">
        <v>107</v>
      </c>
      <c r="B4" s="241" t="s">
        <v>108</v>
      </c>
      <c r="C4" s="241" t="s">
        <v>109</v>
      </c>
      <c r="D4" s="241" t="s">
        <v>110</v>
      </c>
      <c r="E4" s="241" t="s">
        <v>111</v>
      </c>
      <c r="F4" s="241" t="s">
        <v>112</v>
      </c>
      <c r="G4" s="241" t="s">
        <v>113</v>
      </c>
      <c r="H4" s="241" t="s">
        <v>114</v>
      </c>
      <c r="I4" s="242" t="s">
        <v>115</v>
      </c>
      <c r="L4" s="5"/>
      <c r="M4" s="5" t="s">
        <v>116</v>
      </c>
      <c r="N4" s="5" t="s">
        <v>117</v>
      </c>
      <c r="O4" s="5" t="s">
        <v>109</v>
      </c>
      <c r="P4" s="5" t="s">
        <v>118</v>
      </c>
      <c r="Q4" s="5" t="s">
        <v>119</v>
      </c>
      <c r="R4" s="5" t="s">
        <v>120</v>
      </c>
      <c r="S4" s="5" t="s">
        <v>108</v>
      </c>
      <c r="T4" s="5" t="s">
        <v>121</v>
      </c>
      <c r="U4" s="5" t="s">
        <v>122</v>
      </c>
      <c r="V4" s="64" t="s">
        <v>123</v>
      </c>
    </row>
    <row r="5" spans="1:22" ht="15.5" x14ac:dyDescent="0.35">
      <c r="A5" s="65">
        <v>2024</v>
      </c>
      <c r="B5" s="66">
        <f>(850*12)+(12/2.5*1100)</f>
        <v>15480</v>
      </c>
      <c r="C5" s="66">
        <f>(8000*12)</f>
        <v>96000</v>
      </c>
      <c r="D5" s="66">
        <f>3000*12</f>
        <v>36000</v>
      </c>
      <c r="E5" s="66">
        <f>(8000*12)</f>
        <v>96000</v>
      </c>
      <c r="F5" s="66">
        <v>15000</v>
      </c>
      <c r="G5" s="66">
        <f t="shared" ref="G5:G8" si="0">500</f>
        <v>500</v>
      </c>
      <c r="H5" s="66">
        <v>6000</v>
      </c>
      <c r="I5" s="66">
        <f t="shared" ref="I5:I35" si="1">SUM(B5:H5)</f>
        <v>264980</v>
      </c>
      <c r="L5" s="3">
        <v>2024</v>
      </c>
      <c r="M5" s="67">
        <f>'Inflation estimation'!N18</f>
        <v>6.0233558696988432E-2</v>
      </c>
      <c r="N5" s="67">
        <f>'Inflation estimation'!O18</f>
        <v>1.8681318681316617E-2</v>
      </c>
      <c r="O5" s="67">
        <f>'Inflation estimation'!P18</f>
        <v>-5.2190476190475454E-2</v>
      </c>
      <c r="P5" s="67">
        <f>'Inflation estimation'!Q18</f>
        <v>1.2156862745092312E-2</v>
      </c>
      <c r="Q5" s="67">
        <f>'Inflation estimation'!R18</f>
        <v>-9.8159509202476736E-3</v>
      </c>
      <c r="R5" s="67">
        <f>'Inflation estimation'!S18</f>
        <v>0</v>
      </c>
      <c r="S5" s="67">
        <f>'Inflation estimation'!T18</f>
        <v>-3.0439560439565194E-2</v>
      </c>
      <c r="T5" s="67">
        <f>'Inflation estimation'!U18</f>
        <v>6.6903000000000004E-2</v>
      </c>
      <c r="U5" s="67">
        <f>'Inflation estimation'!V18</f>
        <v>1.536086372750879E-2</v>
      </c>
      <c r="V5" s="67">
        <f>'Inflation estimation'!W18</f>
        <v>4.9137466666666664E-2</v>
      </c>
    </row>
    <row r="6" spans="1:22" ht="15.5" x14ac:dyDescent="0.35">
      <c r="A6" s="65">
        <v>2025</v>
      </c>
      <c r="B6" s="66">
        <f t="shared" ref="B6:B35" si="2">B5*(1+S6)</f>
        <v>16083.549812988871</v>
      </c>
      <c r="C6" s="66">
        <f t="shared" ref="C6:C12" si="3">C5*(1+O6)</f>
        <v>98848.289973691426</v>
      </c>
      <c r="D6" s="66">
        <f t="shared" ref="D6:D12" si="4">D5*(1+V5)</f>
        <v>37768.948799999998</v>
      </c>
      <c r="E6" s="66">
        <f t="shared" ref="E6:E18" si="5">E5*(1+4%)</f>
        <v>99840</v>
      </c>
      <c r="F6" s="66">
        <f t="shared" ref="F6:F35" si="6">F5*(1+Q6)</f>
        <v>15563.534978033158</v>
      </c>
      <c r="G6" s="66">
        <f t="shared" si="0"/>
        <v>500</v>
      </c>
      <c r="H6" s="66">
        <f t="shared" ref="H6:H12" si="7">H5*(1+N6)</f>
        <v>6255.9576345984433</v>
      </c>
      <c r="I6" s="66">
        <f t="shared" si="1"/>
        <v>274860.2811993119</v>
      </c>
      <c r="L6" s="3">
        <v>2025</v>
      </c>
      <c r="M6" s="67">
        <f>'Inflation estimation'!N19</f>
        <v>6.0233558696988432E-2</v>
      </c>
      <c r="N6" s="67">
        <f>'Inflation estimation'!O19</f>
        <v>4.265960576640726E-2</v>
      </c>
      <c r="O6" s="67">
        <f>'Inflation estimation'!P19</f>
        <v>2.9669687225952313E-2</v>
      </c>
      <c r="P6" s="67">
        <f>'Inflation estimation'!Q19</f>
        <v>3.8322003451795261E-2</v>
      </c>
      <c r="Q6" s="67">
        <f>'Inflation estimation'!R19</f>
        <v>3.7568998535543852E-2</v>
      </c>
      <c r="R6" s="67">
        <f>'Inflation estimation'!S19</f>
        <v>0</v>
      </c>
      <c r="S6" s="67">
        <f>'Inflation estimation'!T19</f>
        <v>3.8989006007033034E-2</v>
      </c>
      <c r="T6" s="67">
        <f>'Inflation estimation'!U19</f>
        <v>6.6903000000000004E-2</v>
      </c>
      <c r="U6" s="67">
        <f>'Inflation estimation'!V19</f>
        <v>1.536086372750879E-2</v>
      </c>
      <c r="V6" s="67">
        <f>'Inflation estimation'!W19</f>
        <v>4.9137466666666664E-2</v>
      </c>
    </row>
    <row r="7" spans="1:22" ht="15.5" x14ac:dyDescent="0.35">
      <c r="A7" s="65">
        <v>2026</v>
      </c>
      <c r="B7" s="66">
        <f t="shared" si="2"/>
        <v>16687.099625977582</v>
      </c>
      <c r="C7" s="66">
        <f t="shared" si="3"/>
        <v>101696.5799473839</v>
      </c>
      <c r="D7" s="66">
        <f t="shared" si="4"/>
        <v>39624.81926269504</v>
      </c>
      <c r="E7" s="66">
        <f t="shared" si="5"/>
        <v>103833.60000000001</v>
      </c>
      <c r="F7" s="66">
        <f t="shared" si="6"/>
        <v>16127.069956066316</v>
      </c>
      <c r="G7" s="66">
        <f t="shared" si="0"/>
        <v>500</v>
      </c>
      <c r="H7" s="66">
        <f t="shared" si="7"/>
        <v>6511.9152691968284</v>
      </c>
      <c r="I7" s="66">
        <f t="shared" si="1"/>
        <v>284981.08406131971</v>
      </c>
      <c r="L7" s="3">
        <v>2026</v>
      </c>
      <c r="M7" s="67">
        <f>'Inflation estimation'!N20</f>
        <v>6.0233558696988432E-2</v>
      </c>
      <c r="N7" s="67">
        <f>'Inflation estimation'!O20</f>
        <v>4.091422121895727E-2</v>
      </c>
      <c r="O7" s="67">
        <f>'Inflation estimation'!P20</f>
        <v>2.8814762242731273E-2</v>
      </c>
      <c r="P7" s="67">
        <f>'Inflation estimation'!Q20</f>
        <v>3.6907629159738109E-2</v>
      </c>
      <c r="Q7" s="67">
        <f>'Inflation estimation'!R20</f>
        <v>3.620867488193058E-2</v>
      </c>
      <c r="R7" s="67">
        <f>'Inflation estimation'!S20</f>
        <v>0</v>
      </c>
      <c r="S7" s="67">
        <f>'Inflation estimation'!T20</f>
        <v>3.7525908148790199E-2</v>
      </c>
      <c r="T7" s="67">
        <f>'Inflation estimation'!U20</f>
        <v>6.6903000000000004E-2</v>
      </c>
      <c r="U7" s="67">
        <f>'Inflation estimation'!V20</f>
        <v>1.536086372750879E-2</v>
      </c>
      <c r="V7" s="67">
        <f>'Inflation estimation'!W20</f>
        <v>4.9137466666666664E-2</v>
      </c>
    </row>
    <row r="8" spans="1:22" ht="15.5" x14ac:dyDescent="0.35">
      <c r="A8" s="65">
        <v>2027</v>
      </c>
      <c r="B8" s="66">
        <f t="shared" si="2"/>
        <v>17290.649438966451</v>
      </c>
      <c r="C8" s="66">
        <f t="shared" si="3"/>
        <v>104544.86992107531</v>
      </c>
      <c r="D8" s="66">
        <f t="shared" si="4"/>
        <v>41571.882498388404</v>
      </c>
      <c r="E8" s="66">
        <f t="shared" si="5"/>
        <v>107986.944</v>
      </c>
      <c r="F8" s="66">
        <f t="shared" si="6"/>
        <v>16690.604934099472</v>
      </c>
      <c r="G8" s="66">
        <f t="shared" si="0"/>
        <v>500</v>
      </c>
      <c r="H8" s="66">
        <f t="shared" si="7"/>
        <v>6767.8729037952144</v>
      </c>
      <c r="I8" s="66">
        <f t="shared" si="1"/>
        <v>295352.82369632489</v>
      </c>
      <c r="L8" s="3">
        <v>2027</v>
      </c>
      <c r="M8" s="67">
        <f>'Inflation estimation'!N21</f>
        <v>6.0233558696988432E-2</v>
      </c>
      <c r="N8" s="67">
        <f>'Inflation estimation'!O21</f>
        <v>3.9306044998640655E-2</v>
      </c>
      <c r="O8" s="67">
        <f>'Inflation estimation'!P21</f>
        <v>2.8007726269310806E-2</v>
      </c>
      <c r="P8" s="67">
        <f>'Inflation estimation'!Q21</f>
        <v>3.5593941178402311E-2</v>
      </c>
      <c r="Q8" s="67">
        <f>'Inflation estimation'!R21</f>
        <v>3.4943419949708732E-2</v>
      </c>
      <c r="R8" s="67">
        <f>'Inflation estimation'!S21</f>
        <v>0</v>
      </c>
      <c r="S8" s="67">
        <f>'Inflation estimation'!T21</f>
        <v>3.6168646829991768E-2</v>
      </c>
      <c r="T8" s="67">
        <f>'Inflation estimation'!U21</f>
        <v>6.6903000000000004E-2</v>
      </c>
      <c r="U8" s="67">
        <f>'Inflation estimation'!V21</f>
        <v>1.536086372750879E-2</v>
      </c>
      <c r="V8" s="67">
        <f>'Inflation estimation'!W21</f>
        <v>4.9137466666666664E-2</v>
      </c>
    </row>
    <row r="9" spans="1:22" ht="15.5" x14ac:dyDescent="0.35">
      <c r="A9" s="65">
        <v>2028</v>
      </c>
      <c r="B9" s="66">
        <f t="shared" si="2"/>
        <v>17894.199251955164</v>
      </c>
      <c r="C9" s="66">
        <f t="shared" si="3"/>
        <v>107393.15989476777</v>
      </c>
      <c r="D9" s="66">
        <f t="shared" si="4"/>
        <v>43614.619488923548</v>
      </c>
      <c r="E9" s="66">
        <f t="shared" si="5"/>
        <v>112306.42176000001</v>
      </c>
      <c r="F9" s="66">
        <f t="shared" si="6"/>
        <v>17254.139912132461</v>
      </c>
      <c r="G9" s="66">
        <f>'Divya (daughter) - Education '!B14</f>
        <v>15794.875204828171</v>
      </c>
      <c r="H9" s="66">
        <f t="shared" si="7"/>
        <v>7023.8305383936586</v>
      </c>
      <c r="I9" s="66">
        <f t="shared" si="1"/>
        <v>321281.24605100078</v>
      </c>
      <c r="L9" s="3">
        <v>2028</v>
      </c>
      <c r="M9" s="67">
        <f>'Inflation estimation'!N22</f>
        <v>6.0233558696988432E-2</v>
      </c>
      <c r="N9" s="67">
        <f>'Inflation estimation'!O22</f>
        <v>3.7819509650500516E-2</v>
      </c>
      <c r="O9" s="67">
        <f>'Inflation estimation'!P22</f>
        <v>2.7244665145623514E-2</v>
      </c>
      <c r="P9" s="67">
        <f>'Inflation estimation'!Q22</f>
        <v>3.4370557573840221E-2</v>
      </c>
      <c r="Q9" s="67">
        <f>'Inflation estimation'!R22</f>
        <v>3.3763604150839788E-2</v>
      </c>
      <c r="R9" s="67">
        <f>'Inflation estimation'!S22</f>
        <v>0</v>
      </c>
      <c r="S9" s="67">
        <f>'Inflation estimation'!T22</f>
        <v>3.4906139015723925E-2</v>
      </c>
      <c r="T9" s="67">
        <f>'Inflation estimation'!U22</f>
        <v>6.6903000000000004E-2</v>
      </c>
      <c r="U9" s="67">
        <f>'Inflation estimation'!V22</f>
        <v>1.536086372750879E-2</v>
      </c>
      <c r="V9" s="67">
        <f>'Inflation estimation'!W22</f>
        <v>4.9137466666666664E-2</v>
      </c>
    </row>
    <row r="10" spans="1:22" ht="15.5" x14ac:dyDescent="0.35">
      <c r="A10" s="65">
        <v>2029</v>
      </c>
      <c r="B10" s="66">
        <f t="shared" si="2"/>
        <v>18497.749064944037</v>
      </c>
      <c r="C10" s="66">
        <f t="shared" si="3"/>
        <v>110241.44986845918</v>
      </c>
      <c r="D10" s="66">
        <f t="shared" si="4"/>
        <v>45757.731400239878</v>
      </c>
      <c r="E10" s="66">
        <f t="shared" si="5"/>
        <v>116798.67863040001</v>
      </c>
      <c r="F10" s="66">
        <f t="shared" si="6"/>
        <v>17817.674890165617</v>
      </c>
      <c r="G10" s="66">
        <f>'Divya (daughter) - Education '!B15</f>
        <v>16746.256747589796</v>
      </c>
      <c r="H10" s="66">
        <f t="shared" si="7"/>
        <v>7279.7881729920437</v>
      </c>
      <c r="I10" s="66">
        <f t="shared" si="1"/>
        <v>333139.32877479057</v>
      </c>
      <c r="L10" s="3">
        <v>2029</v>
      </c>
      <c r="M10" s="67">
        <f>'Inflation estimation'!N23</f>
        <v>6.0233558696988432E-2</v>
      </c>
      <c r="N10" s="67">
        <f>'Inflation estimation'!O23</f>
        <v>3.6441316913793598E-2</v>
      </c>
      <c r="O10" s="67">
        <f>'Inflation estimation'!P23</f>
        <v>2.6522079958187117E-2</v>
      </c>
      <c r="P10" s="67">
        <f>'Inflation estimation'!Q23</f>
        <v>3.322847631554593E-2</v>
      </c>
      <c r="Q10" s="67">
        <f>'Inflation estimation'!R23</f>
        <v>3.2660855939675049E-2</v>
      </c>
      <c r="R10" s="67">
        <f>'Inflation estimation'!S23</f>
        <v>0</v>
      </c>
      <c r="S10" s="67">
        <f>'Inflation estimation'!T23</f>
        <v>3.3728796940881711E-2</v>
      </c>
      <c r="T10" s="67">
        <f>'Inflation estimation'!U23</f>
        <v>6.6903000000000004E-2</v>
      </c>
      <c r="U10" s="67">
        <f>'Inflation estimation'!V23</f>
        <v>1.536086372750879E-2</v>
      </c>
      <c r="V10" s="67">
        <f>'Inflation estimation'!W23</f>
        <v>4.9137466666666664E-2</v>
      </c>
    </row>
    <row r="11" spans="1:22" ht="15.5" x14ac:dyDescent="0.35">
      <c r="A11" s="65">
        <v>2030</v>
      </c>
      <c r="B11" s="66">
        <f t="shared" si="2"/>
        <v>19101.29887793275</v>
      </c>
      <c r="C11" s="66">
        <f t="shared" si="3"/>
        <v>113089.73984215166</v>
      </c>
      <c r="D11" s="66">
        <f t="shared" si="4"/>
        <v>48006.150401661449</v>
      </c>
      <c r="E11" s="66">
        <f t="shared" si="5"/>
        <v>121470.62577561602</v>
      </c>
      <c r="F11" s="66">
        <f t="shared" si="6"/>
        <v>18381.209868198774</v>
      </c>
      <c r="G11" s="66">
        <v>0</v>
      </c>
      <c r="H11" s="66">
        <f t="shared" si="7"/>
        <v>7535.7458075904879</v>
      </c>
      <c r="I11" s="66">
        <f t="shared" si="1"/>
        <v>327584.77057315118</v>
      </c>
      <c r="L11" s="3">
        <v>2030</v>
      </c>
      <c r="M11" s="67">
        <f>'Inflation estimation'!N24</f>
        <v>6.0233558696988432E-2</v>
      </c>
      <c r="N11" s="67">
        <f>'Inflation estimation'!O24</f>
        <v>3.5160038797288795E-2</v>
      </c>
      <c r="O11" s="67">
        <f>'Inflation estimation'!P24</f>
        <v>2.5836833396976067E-2</v>
      </c>
      <c r="P11" s="67">
        <f>'Inflation estimation'!Q24</f>
        <v>3.2159853388910253E-2</v>
      </c>
      <c r="Q11" s="67">
        <f>'Inflation estimation'!R24</f>
        <v>3.1627862866899559E-2</v>
      </c>
      <c r="R11" s="67">
        <f>'Inflation estimation'!S24</f>
        <v>0</v>
      </c>
      <c r="S11" s="67">
        <f>'Inflation estimation'!T24</f>
        <v>3.2628284169587296E-2</v>
      </c>
      <c r="T11" s="67">
        <f>'Inflation estimation'!U24</f>
        <v>6.6903000000000004E-2</v>
      </c>
      <c r="U11" s="67">
        <f>'Inflation estimation'!V24</f>
        <v>1.536086372750879E-2</v>
      </c>
      <c r="V11" s="67">
        <f>'Inflation estimation'!W24</f>
        <v>4.9137466666666664E-2</v>
      </c>
    </row>
    <row r="12" spans="1:22" ht="15.5" x14ac:dyDescent="0.35">
      <c r="A12" s="65">
        <v>2031</v>
      </c>
      <c r="B12" s="66">
        <f t="shared" si="2"/>
        <v>19704.848690921623</v>
      </c>
      <c r="C12" s="66">
        <f t="shared" si="3"/>
        <v>115938.02981584307</v>
      </c>
      <c r="D12" s="66">
        <f t="shared" si="4"/>
        <v>50365.05101681807</v>
      </c>
      <c r="E12" s="66">
        <f t="shared" si="5"/>
        <v>126329.45080664067</v>
      </c>
      <c r="F12" s="66">
        <f t="shared" si="6"/>
        <v>18944.74484623193</v>
      </c>
      <c r="G12" s="66">
        <v>0</v>
      </c>
      <c r="H12" s="66">
        <f t="shared" si="7"/>
        <v>7791.7034421888729</v>
      </c>
      <c r="I12" s="66">
        <f t="shared" si="1"/>
        <v>339073.82861864421</v>
      </c>
      <c r="L12" s="3">
        <v>2031</v>
      </c>
      <c r="M12" s="67">
        <f>'Inflation estimation'!N25</f>
        <v>6.0233558696988432E-2</v>
      </c>
      <c r="N12" s="67">
        <f>'Inflation estimation'!O25</f>
        <v>3.396579995314708E-2</v>
      </c>
      <c r="O12" s="67">
        <f>'Inflation estimation'!P25</f>
        <v>2.5186104218357874E-2</v>
      </c>
      <c r="P12" s="67">
        <f>'Inflation estimation'!Q25</f>
        <v>3.1157822388954814E-2</v>
      </c>
      <c r="Q12" s="67">
        <f>'Inflation estimation'!R25</f>
        <v>3.0658209229639688E-2</v>
      </c>
      <c r="R12" s="67">
        <f>'Inflation estimation'!S25</f>
        <v>0</v>
      </c>
      <c r="S12" s="67">
        <f>'Inflation estimation'!T25</f>
        <v>3.1597317902089861E-2</v>
      </c>
      <c r="T12" s="67">
        <f>'Inflation estimation'!U25</f>
        <v>6.6903000000000004E-2</v>
      </c>
      <c r="U12" s="67">
        <f>'Inflation estimation'!V25</f>
        <v>1.536086372750879E-2</v>
      </c>
      <c r="V12" s="67">
        <f>'Inflation estimation'!W25</f>
        <v>4.9137466666666664E-2</v>
      </c>
    </row>
    <row r="13" spans="1:22" ht="15.75" customHeight="1" x14ac:dyDescent="0.35">
      <c r="A13" s="68">
        <v>2032</v>
      </c>
      <c r="B13" s="66">
        <f t="shared" si="2"/>
        <v>20308.398503910335</v>
      </c>
      <c r="C13" s="66">
        <f>C12*(2/3)*(1+O13)</f>
        <v>79190.879859690365</v>
      </c>
      <c r="D13" s="66">
        <f>D12*(2/3)*(1+V12)</f>
        <v>35226.57468821462</v>
      </c>
      <c r="E13" s="66">
        <f t="shared" si="5"/>
        <v>131382.6288389063</v>
      </c>
      <c r="F13" s="66">
        <f t="shared" si="6"/>
        <v>19508.279824264919</v>
      </c>
      <c r="G13" s="66">
        <v>0</v>
      </c>
      <c r="H13" s="66">
        <f>H12*(2/3)*(1+N13)</f>
        <v>5365.1073845248775</v>
      </c>
      <c r="I13" s="66">
        <f t="shared" si="1"/>
        <v>290981.86909951142</v>
      </c>
      <c r="L13" s="3">
        <v>2032</v>
      </c>
      <c r="M13" s="67">
        <f>'Inflation estimation'!N26</f>
        <v>6.0233558696988432E-2</v>
      </c>
      <c r="N13" s="67">
        <f>'Inflation estimation'!O26</f>
        <v>3.2850022655192213E-2</v>
      </c>
      <c r="O13" s="67">
        <f>'Inflation estimation'!P26</f>
        <v>2.4567348420675428E-2</v>
      </c>
      <c r="P13" s="67">
        <f>'Inflation estimation'!Q26</f>
        <v>3.0216346821449136E-2</v>
      </c>
      <c r="Q13" s="67">
        <f>'Inflation estimation'!R26</f>
        <v>2.9746242697223479E-2</v>
      </c>
      <c r="R13" s="67">
        <f>'Inflation estimation'!S26</f>
        <v>0</v>
      </c>
      <c r="S13" s="67">
        <f>'Inflation estimation'!T26</f>
        <v>3.0629507612853546E-2</v>
      </c>
      <c r="T13" s="67">
        <f>'Inflation estimation'!U26</f>
        <v>6.6903000000000004E-2</v>
      </c>
      <c r="U13" s="67">
        <f>'Inflation estimation'!V26</f>
        <v>1.536086372750879E-2</v>
      </c>
      <c r="V13" s="67">
        <f>'Inflation estimation'!W26</f>
        <v>4.9137466666666664E-2</v>
      </c>
    </row>
    <row r="14" spans="1:22" ht="16.5" customHeight="1" x14ac:dyDescent="0.35">
      <c r="A14" s="65">
        <v>2033</v>
      </c>
      <c r="B14" s="66">
        <f t="shared" si="2"/>
        <v>20911.948316899048</v>
      </c>
      <c r="C14" s="66">
        <f t="shared" ref="C14:C16" si="8">C13*(1+O14)</f>
        <v>81089.739842151306</v>
      </c>
      <c r="D14" s="66">
        <f t="shared" ref="D14:D16" si="9">D13*(1+V13)</f>
        <v>36957.519327737609</v>
      </c>
      <c r="E14" s="66">
        <f t="shared" si="5"/>
        <v>136637.93399246255</v>
      </c>
      <c r="F14" s="66">
        <f t="shared" si="6"/>
        <v>20071.814802298075</v>
      </c>
      <c r="G14" s="66">
        <v>0</v>
      </c>
      <c r="H14" s="66">
        <f t="shared" ref="H14:H16" si="10">H13*(1+N14)</f>
        <v>5535.7458075904678</v>
      </c>
      <c r="I14" s="66">
        <f t="shared" si="1"/>
        <v>301204.70208913909</v>
      </c>
      <c r="L14" s="3">
        <v>2033</v>
      </c>
      <c r="M14" s="67">
        <f>'Inflation estimation'!N27</f>
        <v>6.0233558696988432E-2</v>
      </c>
      <c r="N14" s="67">
        <f>'Inflation estimation'!O27</f>
        <v>3.1805220443076321E-2</v>
      </c>
      <c r="O14" s="67">
        <f>'Inflation estimation'!P27</f>
        <v>2.3978266005193039E-2</v>
      </c>
      <c r="P14" s="67">
        <f>'Inflation estimation'!Q27</f>
        <v>2.933009839601608E-2</v>
      </c>
      <c r="Q14" s="67">
        <f>'Inflation estimation'!R27</f>
        <v>2.8886964053704833E-2</v>
      </c>
      <c r="R14" s="67">
        <f>'Inflation estimation'!S27</f>
        <v>0</v>
      </c>
      <c r="S14" s="67">
        <f>'Inflation estimation'!T27</f>
        <v>2.9719222462199602E-2</v>
      </c>
      <c r="T14" s="67">
        <f>'Inflation estimation'!U27</f>
        <v>6.6903000000000004E-2</v>
      </c>
      <c r="U14" s="67">
        <f>'Inflation estimation'!V27</f>
        <v>1.536086372750879E-2</v>
      </c>
      <c r="V14" s="67">
        <f>'Inflation estimation'!W27</f>
        <v>4.9137466666666664E-2</v>
      </c>
    </row>
    <row r="15" spans="1:22" ht="15.5" x14ac:dyDescent="0.35">
      <c r="A15" s="68">
        <v>2034</v>
      </c>
      <c r="B15" s="66">
        <f t="shared" si="2"/>
        <v>21515.498129887921</v>
      </c>
      <c r="C15" s="66">
        <f t="shared" si="8"/>
        <v>82988.599824612946</v>
      </c>
      <c r="D15" s="66">
        <f t="shared" si="9"/>
        <v>38773.518201787003</v>
      </c>
      <c r="E15" s="66">
        <f t="shared" si="5"/>
        <v>142103.45135216106</v>
      </c>
      <c r="F15" s="66">
        <f t="shared" si="6"/>
        <v>20635.349780331231</v>
      </c>
      <c r="G15" s="66">
        <v>0</v>
      </c>
      <c r="H15" s="66">
        <f t="shared" si="10"/>
        <v>5706.3842306560964</v>
      </c>
      <c r="I15" s="66">
        <f t="shared" si="1"/>
        <v>311722.8015194363</v>
      </c>
      <c r="L15" s="3">
        <v>2034</v>
      </c>
      <c r="M15" s="67">
        <f>'Inflation estimation'!N28</f>
        <v>6.0233558696988432E-2</v>
      </c>
      <c r="N15" s="67">
        <f>'Inflation estimation'!O28</f>
        <v>3.0824829931976661E-2</v>
      </c>
      <c r="O15" s="67">
        <f>'Inflation estimation'!P28</f>
        <v>2.341677240743345E-2</v>
      </c>
      <c r="P15" s="67">
        <f>'Inflation estimation'!Q28</f>
        <v>2.8494356127070075E-2</v>
      </c>
      <c r="Q15" s="67">
        <f>'Inflation estimation'!R28</f>
        <v>2.8075935513745209E-2</v>
      </c>
      <c r="R15" s="67">
        <f>'Inflation estimation'!S28</f>
        <v>0</v>
      </c>
      <c r="S15" s="67">
        <f>'Inflation estimation'!T28</f>
        <v>2.8861481667929567E-2</v>
      </c>
      <c r="T15" s="67">
        <f>'Inflation estimation'!U28</f>
        <v>6.6903000000000004E-2</v>
      </c>
      <c r="U15" s="67">
        <f>'Inflation estimation'!V28</f>
        <v>1.536086372750879E-2</v>
      </c>
      <c r="V15" s="67">
        <f>'Inflation estimation'!W28</f>
        <v>4.9137466666666664E-2</v>
      </c>
    </row>
    <row r="16" spans="1:22" ht="15.5" x14ac:dyDescent="0.35">
      <c r="A16" s="65">
        <v>2035</v>
      </c>
      <c r="B16" s="66">
        <f t="shared" si="2"/>
        <v>22119.04794287663</v>
      </c>
      <c r="C16" s="66">
        <f t="shared" si="8"/>
        <v>84887.459807073887</v>
      </c>
      <c r="D16" s="66">
        <f t="shared" si="9"/>
        <v>40678.7506599767</v>
      </c>
      <c r="E16" s="66">
        <f t="shared" si="5"/>
        <v>147787.58940624751</v>
      </c>
      <c r="F16" s="66">
        <f t="shared" si="6"/>
        <v>21198.884758364387</v>
      </c>
      <c r="G16" s="66">
        <v>0</v>
      </c>
      <c r="H16" s="66">
        <f t="shared" si="10"/>
        <v>5877.0226537216859</v>
      </c>
      <c r="I16" s="66">
        <f t="shared" si="1"/>
        <v>322548.75522826082</v>
      </c>
      <c r="L16" s="3">
        <v>2035</v>
      </c>
      <c r="M16" s="67">
        <f>'Inflation estimation'!N29</f>
        <v>6.0233558696988432E-2</v>
      </c>
      <c r="N16" s="67">
        <f>'Inflation estimation'!O29</f>
        <v>2.9903072798511898E-2</v>
      </c>
      <c r="O16" s="67">
        <f>'Inflation estimation'!P29</f>
        <v>2.2880973850311515E-2</v>
      </c>
      <c r="P16" s="67">
        <f>'Inflation estimation'!Q29</f>
        <v>2.7704922207224536E-2</v>
      </c>
      <c r="Q16" s="67">
        <f>'Inflation estimation'!R29</f>
        <v>2.730920406158055E-2</v>
      </c>
      <c r="R16" s="67">
        <f>'Inflation estimation'!S29</f>
        <v>0</v>
      </c>
      <c r="S16" s="67">
        <f>'Inflation estimation'!T29</f>
        <v>2.8051863328709015E-2</v>
      </c>
      <c r="T16" s="67">
        <f>'Inflation estimation'!U29</f>
        <v>6.6903000000000004E-2</v>
      </c>
      <c r="U16" s="67">
        <f>'Inflation estimation'!V29</f>
        <v>1.536086372750879E-2</v>
      </c>
      <c r="V16" s="67">
        <f>'Inflation estimation'!W29</f>
        <v>4.9137466666666664E-2</v>
      </c>
    </row>
    <row r="17" spans="1:22" ht="15.5" x14ac:dyDescent="0.35">
      <c r="A17" s="68">
        <v>2036</v>
      </c>
      <c r="B17" s="66">
        <f t="shared" si="2"/>
        <v>22722.597755865499</v>
      </c>
      <c r="C17" s="66">
        <f>C16*(3/2)*(1+O17)</f>
        <v>130179.47968430225</v>
      </c>
      <c r="D17" s="66">
        <f>D16*(3/2)*(1+V16)</f>
        <v>64016.402121859421</v>
      </c>
      <c r="E17" s="66">
        <f t="shared" si="5"/>
        <v>153699.09298249742</v>
      </c>
      <c r="F17" s="66">
        <f t="shared" si="6"/>
        <v>21762.419736397547</v>
      </c>
      <c r="G17" s="66">
        <v>0</v>
      </c>
      <c r="H17" s="66">
        <f>H16*(3/2)*(1+N17)</f>
        <v>9071.4916151809703</v>
      </c>
      <c r="I17" s="66">
        <f t="shared" si="1"/>
        <v>401451.48389610311</v>
      </c>
      <c r="L17" s="3">
        <v>2036</v>
      </c>
      <c r="M17" s="67">
        <f>'Inflation estimation'!N30</f>
        <v>6.0233558696988432E-2</v>
      </c>
      <c r="N17" s="67">
        <f>'Inflation estimation'!O30</f>
        <v>2.9034841810175793E-2</v>
      </c>
      <c r="O17" s="67">
        <f>'Inflation estimation'!P30</f>
        <v>2.2369146005505769E-2</v>
      </c>
      <c r="P17" s="67">
        <f>'Inflation estimation'!Q30</f>
        <v>2.6958051487893986E-2</v>
      </c>
      <c r="Q17" s="67">
        <f>'Inflation estimation'!R30</f>
        <v>2.6583237017258954E-2</v>
      </c>
      <c r="R17" s="67">
        <f>'Inflation estimation'!S30</f>
        <v>0</v>
      </c>
      <c r="S17" s="67">
        <f>'Inflation estimation'!T30</f>
        <v>2.7286428174827515E-2</v>
      </c>
      <c r="T17" s="67">
        <f>'Inflation estimation'!U30</f>
        <v>6.6903000000000004E-2</v>
      </c>
      <c r="U17" s="67">
        <f>'Inflation estimation'!V30</f>
        <v>1.536086372750879E-2</v>
      </c>
      <c r="V17" s="67">
        <f>'Inflation estimation'!W30</f>
        <v>4.9137466666666664E-2</v>
      </c>
    </row>
    <row r="18" spans="1:22" ht="15.5" x14ac:dyDescent="0.35">
      <c r="A18" s="65">
        <v>2037</v>
      </c>
      <c r="B18" s="66">
        <f t="shared" si="2"/>
        <v>23326.147568854212</v>
      </c>
      <c r="C18" s="66">
        <f t="shared" ref="C18:C35" si="11">C17*(1+O18)</f>
        <v>133027.76965799471</v>
      </c>
      <c r="D18" s="66">
        <f>D17*(1+V17)</f>
        <v>67162.005947242214</v>
      </c>
      <c r="E18" s="66">
        <f t="shared" si="5"/>
        <v>159847.05670179732</v>
      </c>
      <c r="F18" s="66">
        <f t="shared" si="6"/>
        <v>22325.954714430536</v>
      </c>
      <c r="G18" s="66">
        <v>0</v>
      </c>
      <c r="H18" s="66">
        <f t="shared" ref="H18:H35" si="12">H17*(1+N18)</f>
        <v>9327.4492497793563</v>
      </c>
      <c r="I18" s="66">
        <f t="shared" si="1"/>
        <v>415016.38384009834</v>
      </c>
      <c r="L18" s="3">
        <v>2037</v>
      </c>
      <c r="M18" s="67">
        <f>'Inflation estimation'!N31</f>
        <v>6.0233558696988432E-2</v>
      </c>
      <c r="N18" s="67">
        <f>'Inflation estimation'!O31</f>
        <v>2.8215606149053274E-2</v>
      </c>
      <c r="O18" s="67">
        <f>'Inflation estimation'!P31</f>
        <v>2.18797154559216E-2</v>
      </c>
      <c r="P18" s="67">
        <f>'Inflation estimation'!Q31</f>
        <v>2.625039206698232E-2</v>
      </c>
      <c r="Q18" s="67">
        <f>'Inflation estimation'!R31</f>
        <v>2.5894867613938999E-2</v>
      </c>
      <c r="R18" s="67">
        <f>'Inflation estimation'!S31</f>
        <v>0</v>
      </c>
      <c r="S18" s="67">
        <f>'Inflation estimation'!T31</f>
        <v>2.6561655470616952E-2</v>
      </c>
      <c r="T18" s="67">
        <f>'Inflation estimation'!U31</f>
        <v>6.6903000000000004E-2</v>
      </c>
      <c r="U18" s="67">
        <f>'Inflation estimation'!V31</f>
        <v>1.536086372750879E-2</v>
      </c>
      <c r="V18" s="67">
        <f>'Inflation estimation'!W31</f>
        <v>4.9137466666666664E-2</v>
      </c>
    </row>
    <row r="19" spans="1:22" ht="15.5" x14ac:dyDescent="0.35">
      <c r="A19" s="68">
        <v>2038</v>
      </c>
      <c r="B19" s="66">
        <f t="shared" si="2"/>
        <v>23929.697381843082</v>
      </c>
      <c r="C19" s="66">
        <f t="shared" si="11"/>
        <v>135876.05963168613</v>
      </c>
      <c r="D19" s="66">
        <f>(D18+15000)*(1+V18)</f>
        <v>86199.238775741294</v>
      </c>
      <c r="E19" s="66">
        <f t="shared" ref="E19:E35" si="13">$C$58*12</f>
        <v>336324</v>
      </c>
      <c r="F19" s="66">
        <f t="shared" si="6"/>
        <v>22889.489692463692</v>
      </c>
      <c r="G19" s="66">
        <v>0</v>
      </c>
      <c r="H19" s="66">
        <f t="shared" si="12"/>
        <v>9583.4068843777422</v>
      </c>
      <c r="I19" s="66">
        <f t="shared" si="1"/>
        <v>614801.89236611186</v>
      </c>
      <c r="L19" s="3">
        <v>2038</v>
      </c>
      <c r="M19" s="67">
        <f>'Inflation estimation'!N32</f>
        <v>6.0233558696988432E-2</v>
      </c>
      <c r="N19" s="67">
        <f>'Inflation estimation'!O32</f>
        <v>2.744133232399415E-2</v>
      </c>
      <c r="O19" s="67">
        <f>'Inflation estimation'!P32</f>
        <v>2.1411243539707359E-2</v>
      </c>
      <c r="P19" s="67">
        <f>'Inflation estimation'!Q32</f>
        <v>2.5578934994708202E-2</v>
      </c>
      <c r="Q19" s="67">
        <f>'Inflation estimation'!R32</f>
        <v>2.5241248817409412E-2</v>
      </c>
      <c r="R19" s="67">
        <f>'Inflation estimation'!S32</f>
        <v>0</v>
      </c>
      <c r="S19" s="67">
        <f>'Inflation estimation'!T32</f>
        <v>2.5874388867999309E-2</v>
      </c>
      <c r="T19" s="67">
        <f>'Inflation estimation'!U32</f>
        <v>6.6903000000000004E-2</v>
      </c>
      <c r="U19" s="67">
        <f>'Inflation estimation'!V32</f>
        <v>1.536086372750879E-2</v>
      </c>
      <c r="V19" s="67">
        <f>'Inflation estimation'!W32</f>
        <v>4.9137466666666664E-2</v>
      </c>
    </row>
    <row r="20" spans="1:22" ht="15.5" x14ac:dyDescent="0.35">
      <c r="A20" s="65">
        <v>2039</v>
      </c>
      <c r="B20" s="66">
        <f t="shared" si="2"/>
        <v>24533.247194831791</v>
      </c>
      <c r="C20" s="66">
        <f t="shared" si="11"/>
        <v>138724.34960537861</v>
      </c>
      <c r="D20" s="66">
        <f t="shared" ref="D20:D35" si="14">(D19+6000)*(1+V19)</f>
        <v>96729.675797776319</v>
      </c>
      <c r="E20" s="66">
        <f t="shared" si="13"/>
        <v>336324</v>
      </c>
      <c r="F20" s="66">
        <f t="shared" si="6"/>
        <v>23453.024670496849</v>
      </c>
      <c r="G20" s="66">
        <v>0</v>
      </c>
      <c r="H20" s="66">
        <f t="shared" si="12"/>
        <v>9839.3645189761864</v>
      </c>
      <c r="I20" s="66">
        <f t="shared" si="1"/>
        <v>629603.66178745974</v>
      </c>
      <c r="L20" s="3">
        <v>2039</v>
      </c>
      <c r="M20" s="67">
        <f>'Inflation estimation'!N33</f>
        <v>6.0233558696988432E-2</v>
      </c>
      <c r="N20" s="67">
        <f>'Inflation estimation'!O33</f>
        <v>2.6708417756496461E-2</v>
      </c>
      <c r="O20" s="67">
        <f>'Inflation estimation'!P33</f>
        <v>2.0962412226356975E-2</v>
      </c>
      <c r="P20" s="67">
        <f>'Inflation estimation'!Q33</f>
        <v>2.4940971505855059E-2</v>
      </c>
      <c r="Q20" s="67">
        <f>'Inflation estimation'!R33</f>
        <v>2.4619813967224458E-2</v>
      </c>
      <c r="R20" s="67">
        <f>'Inflation estimation'!S33</f>
        <v>0</v>
      </c>
      <c r="S20" s="67">
        <f>'Inflation estimation'!T33</f>
        <v>2.5221790453842541E-2</v>
      </c>
      <c r="T20" s="67">
        <f>'Inflation estimation'!U33</f>
        <v>6.6903000000000004E-2</v>
      </c>
      <c r="U20" s="67">
        <f>'Inflation estimation'!V33</f>
        <v>1.536086372750879E-2</v>
      </c>
      <c r="V20" s="67">
        <f>'Inflation estimation'!W33</f>
        <v>4.9137466666666664E-2</v>
      </c>
    </row>
    <row r="21" spans="1:22" ht="15.75" customHeight="1" x14ac:dyDescent="0.35">
      <c r="A21" s="65">
        <v>2040</v>
      </c>
      <c r="B21" s="66">
        <f t="shared" si="2"/>
        <v>25136.797007820503</v>
      </c>
      <c r="C21" s="66">
        <f t="shared" si="11"/>
        <v>141572.63957907003</v>
      </c>
      <c r="D21" s="66">
        <f t="shared" si="14"/>
        <v>107777.55181796702</v>
      </c>
      <c r="E21" s="66">
        <f t="shared" si="13"/>
        <v>336324</v>
      </c>
      <c r="F21" s="66">
        <f t="shared" si="6"/>
        <v>24016.559648530005</v>
      </c>
      <c r="G21" s="66">
        <v>0</v>
      </c>
      <c r="H21" s="66">
        <f t="shared" si="12"/>
        <v>10095.322153574571</v>
      </c>
      <c r="I21" s="66">
        <f t="shared" si="1"/>
        <v>644922.87020696211</v>
      </c>
      <c r="L21" s="3">
        <v>2040</v>
      </c>
      <c r="M21" s="67">
        <f>'Inflation estimation'!N34</f>
        <v>6.0233558696988432E-2</v>
      </c>
      <c r="N21" s="67">
        <f>'Inflation estimation'!O34</f>
        <v>2.6013634732684698E-2</v>
      </c>
      <c r="O21" s="67">
        <f>'Inflation estimation'!P34</f>
        <v>2.0532011732574684E-2</v>
      </c>
      <c r="P21" s="67">
        <f>'Inflation estimation'!Q34</f>
        <v>2.4334056496169154E-2</v>
      </c>
      <c r="Q21" s="67">
        <f>'Inflation estimation'!R34</f>
        <v>2.402824309233198E-2</v>
      </c>
      <c r="R21" s="67">
        <f>'Inflation estimation'!S34</f>
        <v>0</v>
      </c>
      <c r="S21" s="67">
        <f>'Inflation estimation'!T34</f>
        <v>2.4601301580487789E-2</v>
      </c>
      <c r="T21" s="67">
        <f>'Inflation estimation'!U34</f>
        <v>6.6903000000000004E-2</v>
      </c>
      <c r="U21" s="67">
        <f>'Inflation estimation'!V34</f>
        <v>1.536086372750879E-2</v>
      </c>
      <c r="V21" s="67">
        <f>'Inflation estimation'!W34</f>
        <v>4.9137466666666664E-2</v>
      </c>
    </row>
    <row r="22" spans="1:22" ht="15.75" customHeight="1" x14ac:dyDescent="0.35">
      <c r="A22" s="65">
        <v>2041</v>
      </c>
      <c r="B22" s="66">
        <f t="shared" si="2"/>
        <v>25740.346820809376</v>
      </c>
      <c r="C22" s="66">
        <f t="shared" si="11"/>
        <v>144420.92955276251</v>
      </c>
      <c r="D22" s="66">
        <f t="shared" si="14"/>
        <v>119368.29247783731</v>
      </c>
      <c r="E22" s="66">
        <f t="shared" si="13"/>
        <v>336324</v>
      </c>
      <c r="F22" s="66">
        <f t="shared" si="6"/>
        <v>24580.094626563161</v>
      </c>
      <c r="G22" s="66">
        <v>0</v>
      </c>
      <c r="H22" s="66">
        <f t="shared" si="12"/>
        <v>10351.279788173015</v>
      </c>
      <c r="I22" s="66">
        <f t="shared" si="1"/>
        <v>660784.94326614542</v>
      </c>
      <c r="L22" s="3">
        <v>2041</v>
      </c>
      <c r="M22" s="67">
        <f>'Inflation estimation'!N35</f>
        <v>6.0233558696988432E-2</v>
      </c>
      <c r="N22" s="67">
        <f>'Inflation estimation'!O35</f>
        <v>2.5354082881625883E-2</v>
      </c>
      <c r="O22" s="67">
        <f>'Inflation estimation'!P35</f>
        <v>2.0118929633304417E-2</v>
      </c>
      <c r="P22" s="67">
        <f>'Inflation estimation'!Q35</f>
        <v>2.3755977204740653E-2</v>
      </c>
      <c r="Q22" s="67">
        <f>'Inflation estimation'!R35</f>
        <v>2.3464433968903187E-2</v>
      </c>
      <c r="R22" s="67">
        <f>'Inflation estimation'!S35</f>
        <v>0</v>
      </c>
      <c r="S22" s="67">
        <f>'Inflation estimation'!T35</f>
        <v>2.4010609339014E-2</v>
      </c>
      <c r="T22" s="67">
        <f>'Inflation estimation'!U35</f>
        <v>6.6903000000000004E-2</v>
      </c>
      <c r="U22" s="67">
        <f>'Inflation estimation'!V35</f>
        <v>1.536086372750879E-2</v>
      </c>
      <c r="V22" s="67">
        <f>'Inflation estimation'!W35</f>
        <v>4.9137466666666664E-2</v>
      </c>
    </row>
    <row r="23" spans="1:22" ht="15.75" customHeight="1" x14ac:dyDescent="0.35">
      <c r="A23" s="65">
        <v>2042</v>
      </c>
      <c r="B23" s="66">
        <f t="shared" si="2"/>
        <v>26343.896633798089</v>
      </c>
      <c r="C23" s="66">
        <f t="shared" si="11"/>
        <v>147269.2195264539</v>
      </c>
      <c r="D23" s="66">
        <f t="shared" si="14"/>
        <v>131528.57277052396</v>
      </c>
      <c r="E23" s="66">
        <f t="shared" si="13"/>
        <v>336324</v>
      </c>
      <c r="F23" s="66">
        <f t="shared" si="6"/>
        <v>25143.629604596146</v>
      </c>
      <c r="G23" s="66">
        <v>0</v>
      </c>
      <c r="H23" s="66">
        <f t="shared" si="12"/>
        <v>10607.237422771401</v>
      </c>
      <c r="I23" s="66">
        <f t="shared" si="1"/>
        <v>677216.55595814355</v>
      </c>
      <c r="L23" s="3">
        <v>2042</v>
      </c>
      <c r="M23" s="67">
        <f>'Inflation estimation'!N36</f>
        <v>6.0233558696988432E-2</v>
      </c>
      <c r="N23" s="67">
        <f>'Inflation estimation'!O36</f>
        <v>2.4727148703953761E-2</v>
      </c>
      <c r="O23" s="67">
        <f>'Inflation estimation'!P36</f>
        <v>1.9722141261047765E-2</v>
      </c>
      <c r="P23" s="67">
        <f>'Inflation estimation'!Q36</f>
        <v>2.3204726256743191E-2</v>
      </c>
      <c r="Q23" s="67">
        <f>'Inflation estimation'!R36</f>
        <v>2.2926477159448622E-2</v>
      </c>
      <c r="R23" s="67">
        <f>'Inflation estimation'!S36</f>
        <v>0</v>
      </c>
      <c r="S23" s="67">
        <f>'Inflation estimation'!T36</f>
        <v>2.3447617749298599E-2</v>
      </c>
      <c r="T23" s="67">
        <f>'Inflation estimation'!U36</f>
        <v>6.6903000000000004E-2</v>
      </c>
      <c r="U23" s="67">
        <f>'Inflation estimation'!V36</f>
        <v>1.536086372750879E-2</v>
      </c>
      <c r="V23" s="67">
        <f>'Inflation estimation'!W36</f>
        <v>4.9137466666666664E-2</v>
      </c>
    </row>
    <row r="24" spans="1:22" ht="15.75" customHeight="1" x14ac:dyDescent="0.35">
      <c r="A24" s="65">
        <v>2043</v>
      </c>
      <c r="B24" s="66">
        <f t="shared" si="2"/>
        <v>26947.446446786962</v>
      </c>
      <c r="C24" s="66">
        <f t="shared" si="11"/>
        <v>150117.50950014638</v>
      </c>
      <c r="D24" s="66">
        <f t="shared" si="14"/>
        <v>144286.37843074981</v>
      </c>
      <c r="E24" s="66">
        <f t="shared" si="13"/>
        <v>336324</v>
      </c>
      <c r="F24" s="66">
        <f t="shared" si="6"/>
        <v>25707.164582629306</v>
      </c>
      <c r="G24" s="66">
        <v>0</v>
      </c>
      <c r="H24" s="66">
        <f t="shared" si="12"/>
        <v>10863.195057369845</v>
      </c>
      <c r="I24" s="66">
        <f t="shared" si="1"/>
        <v>694245.69401768234</v>
      </c>
      <c r="L24" s="3">
        <v>2043</v>
      </c>
      <c r="M24" s="67">
        <f>'Inflation estimation'!N37</f>
        <v>6.0233558696988432E-2</v>
      </c>
      <c r="N24" s="67">
        <f>'Inflation estimation'!O37</f>
        <v>2.4130470960229466E-2</v>
      </c>
      <c r="O24" s="67">
        <f>'Inflation estimation'!P37</f>
        <v>1.9340701219516143E-2</v>
      </c>
      <c r="P24" s="67">
        <f>'Inflation estimation'!Q37</f>
        <v>2.2678478374157818E-2</v>
      </c>
      <c r="Q24" s="67">
        <f>'Inflation estimation'!R37</f>
        <v>2.2412634408603749E-2</v>
      </c>
      <c r="R24" s="67">
        <f>'Inflation estimation'!S37</f>
        <v>0</v>
      </c>
      <c r="S24" s="67">
        <f>'Inflation estimation'!T37</f>
        <v>2.2910422910426442E-2</v>
      </c>
      <c r="T24" s="67">
        <f>'Inflation estimation'!U37</f>
        <v>6.6903000000000004E-2</v>
      </c>
      <c r="U24" s="67">
        <f>'Inflation estimation'!V37</f>
        <v>1.536086372750879E-2</v>
      </c>
      <c r="V24" s="67">
        <f>'Inflation estimation'!W37</f>
        <v>4.9137466666666664E-2</v>
      </c>
    </row>
    <row r="25" spans="1:22" ht="15.75" customHeight="1" x14ac:dyDescent="0.35">
      <c r="A25" s="65">
        <v>2044</v>
      </c>
      <c r="B25" s="66">
        <f t="shared" si="2"/>
        <v>27550.996259775675</v>
      </c>
      <c r="C25" s="66">
        <f t="shared" si="11"/>
        <v>152965.79947383777</v>
      </c>
      <c r="D25" s="66">
        <f t="shared" si="14"/>
        <v>157671.07034134484</v>
      </c>
      <c r="E25" s="66">
        <f t="shared" si="13"/>
        <v>336324</v>
      </c>
      <c r="F25" s="66">
        <f t="shared" si="6"/>
        <v>26270.699560662466</v>
      </c>
      <c r="G25" s="66">
        <v>0</v>
      </c>
      <c r="H25" s="66">
        <f t="shared" si="12"/>
        <v>11119.152691968231</v>
      </c>
      <c r="I25" s="66">
        <f t="shared" si="1"/>
        <v>711901.7183275891</v>
      </c>
      <c r="L25" s="3">
        <v>2044</v>
      </c>
      <c r="M25" s="67">
        <f>'Inflation estimation'!N38</f>
        <v>6.0233558696988432E-2</v>
      </c>
      <c r="N25" s="67">
        <f>'Inflation estimation'!O38</f>
        <v>2.3561910952223819E-2</v>
      </c>
      <c r="O25" s="67">
        <f>'Inflation estimation'!P38</f>
        <v>1.8973735863161423E-2</v>
      </c>
      <c r="P25" s="67">
        <f>'Inflation estimation'!Q38</f>
        <v>2.2175570185270166E-2</v>
      </c>
      <c r="Q25" s="67">
        <f>'Inflation estimation'!R38</f>
        <v>2.1921319880370937E-2</v>
      </c>
      <c r="R25" s="67">
        <f>'Inflation estimation'!S38</f>
        <v>0</v>
      </c>
      <c r="S25" s="67">
        <f>'Inflation estimation'!T38</f>
        <v>2.2397291490328763E-2</v>
      </c>
      <c r="T25" s="67">
        <f>'Inflation estimation'!U38</f>
        <v>6.6903000000000004E-2</v>
      </c>
      <c r="U25" s="67">
        <f>'Inflation estimation'!V38</f>
        <v>1.536086372750879E-2</v>
      </c>
      <c r="V25" s="67">
        <f>'Inflation estimation'!W38</f>
        <v>4.9137466666666664E-2</v>
      </c>
    </row>
    <row r="26" spans="1:22" ht="15.75" customHeight="1" x14ac:dyDescent="0.35">
      <c r="A26" s="65">
        <v>2045</v>
      </c>
      <c r="B26" s="66">
        <f t="shared" si="2"/>
        <v>28154.546072764548</v>
      </c>
      <c r="C26" s="66">
        <f t="shared" si="11"/>
        <v>155814.08944753025</v>
      </c>
      <c r="D26" s="66">
        <f t="shared" si="14"/>
        <v>171713.45210454031</v>
      </c>
      <c r="E26" s="66">
        <f t="shared" si="13"/>
        <v>336324</v>
      </c>
      <c r="F26" s="66">
        <f t="shared" si="6"/>
        <v>26834.234538695622</v>
      </c>
      <c r="G26" s="66">
        <v>0</v>
      </c>
      <c r="H26" s="66">
        <f t="shared" si="12"/>
        <v>11375.110326566675</v>
      </c>
      <c r="I26" s="66">
        <f t="shared" si="1"/>
        <v>730215.43249009736</v>
      </c>
      <c r="L26" s="3">
        <v>2045</v>
      </c>
      <c r="M26" s="67">
        <f>'Inflation estimation'!N39</f>
        <v>6.0233558696988432E-2</v>
      </c>
      <c r="N26" s="67">
        <f>'Inflation estimation'!O39</f>
        <v>2.3019526909036081E-2</v>
      </c>
      <c r="O26" s="67">
        <f>'Inflation estimation'!P39</f>
        <v>1.8620436617138303E-2</v>
      </c>
      <c r="P26" s="67">
        <f>'Inflation estimation'!Q39</f>
        <v>2.1694482662357961E-2</v>
      </c>
      <c r="Q26" s="67">
        <f>'Inflation estimation'!R39</f>
        <v>2.1451083810382743E-2</v>
      </c>
      <c r="R26" s="67">
        <f>'Inflation estimation'!S39</f>
        <v>0</v>
      </c>
      <c r="S26" s="67">
        <f>'Inflation estimation'!T39</f>
        <v>2.1906642042925029E-2</v>
      </c>
      <c r="T26" s="67">
        <f>'Inflation estimation'!U39</f>
        <v>6.6903000000000004E-2</v>
      </c>
      <c r="U26" s="67">
        <f>'Inflation estimation'!V39</f>
        <v>1.536086372750879E-2</v>
      </c>
      <c r="V26" s="67">
        <f>'Inflation estimation'!W39</f>
        <v>4.9137466666666664E-2</v>
      </c>
    </row>
    <row r="27" spans="1:22" ht="15.75" customHeight="1" x14ac:dyDescent="0.35">
      <c r="A27" s="65">
        <v>2046</v>
      </c>
      <c r="B27" s="66">
        <f t="shared" si="2"/>
        <v>28758.095885753261</v>
      </c>
      <c r="C27" s="66">
        <f t="shared" si="11"/>
        <v>158662.37942122167</v>
      </c>
      <c r="D27" s="66">
        <f t="shared" si="14"/>
        <v>186445.84093354541</v>
      </c>
      <c r="E27" s="66">
        <f t="shared" si="13"/>
        <v>336324</v>
      </c>
      <c r="F27" s="66">
        <f t="shared" si="6"/>
        <v>27397.769516728611</v>
      </c>
      <c r="G27" s="66">
        <v>0</v>
      </c>
      <c r="H27" s="66">
        <f t="shared" si="12"/>
        <v>11631.067961165061</v>
      </c>
      <c r="I27" s="66">
        <f t="shared" si="1"/>
        <v>749219.15371841402</v>
      </c>
      <c r="L27" s="3">
        <v>2046</v>
      </c>
      <c r="M27" s="67">
        <f>'Inflation estimation'!N40</f>
        <v>6.0233558696988432E-2</v>
      </c>
      <c r="N27" s="67">
        <f>'Inflation estimation'!O40</f>
        <v>2.2501551831158428E-2</v>
      </c>
      <c r="O27" s="67">
        <f>'Inflation estimation'!P40</f>
        <v>1.8280054029713222E-2</v>
      </c>
      <c r="P27" s="67">
        <f>'Inflation estimation'!Q40</f>
        <v>2.1233825796754813E-2</v>
      </c>
      <c r="Q27" s="67">
        <f>'Inflation estimation'!R40</f>
        <v>2.1000598217935318E-2</v>
      </c>
      <c r="R27" s="67">
        <f>'Inflation estimation'!S40</f>
        <v>0</v>
      </c>
      <c r="S27" s="67">
        <f>'Inflation estimation'!T40</f>
        <v>2.1437028728108709E-2</v>
      </c>
      <c r="T27" s="67">
        <f>'Inflation estimation'!U40</f>
        <v>6.6903000000000004E-2</v>
      </c>
      <c r="U27" s="67">
        <f>'Inflation estimation'!V40</f>
        <v>1.536086372750879E-2</v>
      </c>
      <c r="V27" s="67">
        <f>'Inflation estimation'!W40</f>
        <v>4.9137466666666664E-2</v>
      </c>
    </row>
    <row r="28" spans="1:22" ht="15.75" customHeight="1" x14ac:dyDescent="0.35">
      <c r="A28" s="65">
        <v>2047</v>
      </c>
      <c r="B28" s="66">
        <f t="shared" si="2"/>
        <v>29361.645698742133</v>
      </c>
      <c r="C28" s="66">
        <f t="shared" si="11"/>
        <v>161510.66939491412</v>
      </c>
      <c r="D28" s="66">
        <f t="shared" si="14"/>
        <v>201902.14202755611</v>
      </c>
      <c r="E28" s="66">
        <f t="shared" si="13"/>
        <v>336324</v>
      </c>
      <c r="F28" s="66">
        <f t="shared" si="6"/>
        <v>27961.304494761767</v>
      </c>
      <c r="G28" s="66">
        <v>0</v>
      </c>
      <c r="H28" s="66">
        <f t="shared" si="12"/>
        <v>11887.025595763505</v>
      </c>
      <c r="I28" s="66">
        <f t="shared" si="1"/>
        <v>768946.7872117376</v>
      </c>
      <c r="L28" s="3">
        <v>2047</v>
      </c>
      <c r="M28" s="67">
        <f>'Inflation estimation'!N41</f>
        <v>6.0233558696988432E-2</v>
      </c>
      <c r="N28" s="67">
        <f>'Inflation estimation'!O41</f>
        <v>2.2006374260133299E-2</v>
      </c>
      <c r="O28" s="67">
        <f>'Inflation estimation'!P41</f>
        <v>1.7951892465514652E-2</v>
      </c>
      <c r="P28" s="67">
        <f>'Inflation estimation'!Q41</f>
        <v>2.079232518585461E-2</v>
      </c>
      <c r="Q28" s="67">
        <f>'Inflation estimation'!R41</f>
        <v>2.0568644381400158E-2</v>
      </c>
      <c r="R28" s="67">
        <f>'Inflation estimation'!S41</f>
        <v>0</v>
      </c>
      <c r="S28" s="67">
        <f>'Inflation estimation'!T41</f>
        <v>2.0987127081938395E-2</v>
      </c>
      <c r="T28" s="67">
        <f>'Inflation estimation'!U41</f>
        <v>6.6903000000000004E-2</v>
      </c>
      <c r="U28" s="67">
        <f>'Inflation estimation'!V41</f>
        <v>1.536086372750879E-2</v>
      </c>
      <c r="V28" s="67">
        <f>'Inflation estimation'!W41</f>
        <v>4.9137466666666664E-2</v>
      </c>
    </row>
    <row r="29" spans="1:22" ht="15.75" customHeight="1" x14ac:dyDescent="0.35">
      <c r="A29" s="65">
        <v>2048</v>
      </c>
      <c r="B29" s="66">
        <f t="shared" si="2"/>
        <v>29965.195511730846</v>
      </c>
      <c r="C29" s="66">
        <f t="shared" si="11"/>
        <v>164358.95936860555</v>
      </c>
      <c r="D29" s="66">
        <f t="shared" si="14"/>
        <v>218117.92660136375</v>
      </c>
      <c r="E29" s="66">
        <f t="shared" si="13"/>
        <v>336324</v>
      </c>
      <c r="F29" s="66">
        <f t="shared" si="6"/>
        <v>28524.839472794923</v>
      </c>
      <c r="G29" s="66">
        <v>0</v>
      </c>
      <c r="H29" s="66">
        <f t="shared" si="12"/>
        <v>12142.983230361891</v>
      </c>
      <c r="I29" s="66">
        <f t="shared" si="1"/>
        <v>789433.90418485703</v>
      </c>
      <c r="L29" s="3">
        <v>2048</v>
      </c>
      <c r="M29" s="67">
        <f>'Inflation estimation'!N42</f>
        <v>6.0233558696988432E-2</v>
      </c>
      <c r="N29" s="67">
        <f>'Inflation estimation'!O42</f>
        <v>2.1532521532519278E-2</v>
      </c>
      <c r="O29" s="67">
        <f>'Inflation estimation'!P42</f>
        <v>1.7635305360087283E-2</v>
      </c>
      <c r="P29" s="67">
        <f>'Inflation estimation'!Q42</f>
        <v>2.0368810259288939E-2</v>
      </c>
      <c r="Q29" s="67">
        <f>'Inflation estimation'!R42</f>
        <v>2.015410182807198E-2</v>
      </c>
      <c r="R29" s="67">
        <f>'Inflation estimation'!S42</f>
        <v>0</v>
      </c>
      <c r="S29" s="67">
        <f>'Inflation estimation'!T42</f>
        <v>2.055572154167673E-2</v>
      </c>
      <c r="T29" s="67">
        <f>'Inflation estimation'!U42</f>
        <v>6.6903000000000004E-2</v>
      </c>
      <c r="U29" s="67">
        <f>'Inflation estimation'!V42</f>
        <v>1.536086372750879E-2</v>
      </c>
      <c r="V29" s="67">
        <f>'Inflation estimation'!W42</f>
        <v>4.9137466666666664E-2</v>
      </c>
    </row>
    <row r="30" spans="1:22" ht="15.75" customHeight="1" x14ac:dyDescent="0.35">
      <c r="A30" s="65">
        <v>2049</v>
      </c>
      <c r="B30" s="66">
        <f t="shared" si="2"/>
        <v>30568.745324719555</v>
      </c>
      <c r="C30" s="66">
        <f t="shared" si="11"/>
        <v>167207.24934229694</v>
      </c>
      <c r="D30" s="66">
        <f t="shared" si="14"/>
        <v>235130.51374914069</v>
      </c>
      <c r="E30" s="66">
        <f t="shared" si="13"/>
        <v>336324</v>
      </c>
      <c r="F30" s="66">
        <f t="shared" si="6"/>
        <v>29088.37445082808</v>
      </c>
      <c r="G30" s="66">
        <v>0</v>
      </c>
      <c r="H30" s="66">
        <f t="shared" si="12"/>
        <v>12398.940864960276</v>
      </c>
      <c r="I30" s="66">
        <f t="shared" si="1"/>
        <v>810717.82373194559</v>
      </c>
      <c r="L30" s="3">
        <v>2049</v>
      </c>
      <c r="M30" s="67">
        <f>'Inflation estimation'!N43</f>
        <v>6.0233558696988432E-2</v>
      </c>
      <c r="N30" s="67">
        <f>'Inflation estimation'!O43</f>
        <v>2.1078645151909381E-2</v>
      </c>
      <c r="O30" s="67">
        <f>'Inflation estimation'!P43</f>
        <v>1.7329690968069356E-2</v>
      </c>
      <c r="P30" s="67">
        <f>'Inflation estimation'!Q43</f>
        <v>1.9962203915379284E-2</v>
      </c>
      <c r="Q30" s="67">
        <f>'Inflation estimation'!R43</f>
        <v>1.9755938629229419E-2</v>
      </c>
      <c r="R30" s="67">
        <f>'Inflation estimation'!S43</f>
        <v>0</v>
      </c>
      <c r="S30" s="67">
        <f>'Inflation estimation'!T43</f>
        <v>2.0141694478597039E-2</v>
      </c>
      <c r="T30" s="67">
        <f>'Inflation estimation'!U43</f>
        <v>6.6903000000000004E-2</v>
      </c>
      <c r="U30" s="67">
        <f>'Inflation estimation'!V43</f>
        <v>1.536086372750879E-2</v>
      </c>
      <c r="V30" s="67">
        <f>'Inflation estimation'!W43</f>
        <v>4.9137466666666664E-2</v>
      </c>
    </row>
    <row r="31" spans="1:22" ht="15.75" customHeight="1" x14ac:dyDescent="0.35">
      <c r="A31" s="65">
        <v>2050</v>
      </c>
      <c r="B31" s="66">
        <f t="shared" si="2"/>
        <v>31172.295137708425</v>
      </c>
      <c r="C31" s="66">
        <f t="shared" si="11"/>
        <v>170055.53931598942</v>
      </c>
      <c r="D31" s="66">
        <f t="shared" si="14"/>
        <v>252979.0563308053</v>
      </c>
      <c r="E31" s="66">
        <f t="shared" si="13"/>
        <v>336324</v>
      </c>
      <c r="F31" s="66">
        <f t="shared" si="6"/>
        <v>29651.909428861236</v>
      </c>
      <c r="G31" s="66">
        <v>0</v>
      </c>
      <c r="H31" s="66">
        <f t="shared" si="12"/>
        <v>12654.898499558722</v>
      </c>
      <c r="I31" s="66">
        <f t="shared" si="1"/>
        <v>832837.6987129231</v>
      </c>
      <c r="L31" s="3">
        <v>2050</v>
      </c>
      <c r="M31" s="67">
        <f>'Inflation estimation'!N44</f>
        <v>6.0233558696988432E-2</v>
      </c>
      <c r="N31" s="67">
        <f>'Inflation estimation'!O44</f>
        <v>2.0643507972667896E-2</v>
      </c>
      <c r="O31" s="67">
        <f>'Inflation estimation'!P44</f>
        <v>1.7034488545778492E-2</v>
      </c>
      <c r="P31" s="67">
        <f>'Inflation estimation'!Q44</f>
        <v>1.9571513374470939E-2</v>
      </c>
      <c r="Q31" s="67">
        <f>'Inflation estimation'!R44</f>
        <v>1.937320282320254E-2</v>
      </c>
      <c r="R31" s="67">
        <f>'Inflation estimation'!S44</f>
        <v>0</v>
      </c>
      <c r="S31" s="67">
        <f>'Inflation estimation'!T44</f>
        <v>1.9744016529877229E-2</v>
      </c>
      <c r="T31" s="67">
        <f>'Inflation estimation'!U44</f>
        <v>6.6903000000000004E-2</v>
      </c>
      <c r="U31" s="67">
        <f>'Inflation estimation'!V44</f>
        <v>1.536086372750879E-2</v>
      </c>
      <c r="V31" s="67">
        <f>'Inflation estimation'!W44</f>
        <v>4.9137466666666664E-2</v>
      </c>
    </row>
    <row r="32" spans="1:22" ht="15.75" customHeight="1" x14ac:dyDescent="0.35">
      <c r="A32" s="65">
        <v>2051</v>
      </c>
      <c r="B32" s="66">
        <f t="shared" si="2"/>
        <v>31775.844950697137</v>
      </c>
      <c r="C32" s="66">
        <f t="shared" si="11"/>
        <v>172903.82928968081</v>
      </c>
      <c r="D32" s="66">
        <f t="shared" si="14"/>
        <v>271704.63107862504</v>
      </c>
      <c r="E32" s="66">
        <f t="shared" si="13"/>
        <v>336324</v>
      </c>
      <c r="F32" s="66">
        <f t="shared" si="6"/>
        <v>30215.444406894225</v>
      </c>
      <c r="G32" s="66">
        <v>0</v>
      </c>
      <c r="H32" s="66">
        <f t="shared" si="12"/>
        <v>12910.856134157108</v>
      </c>
      <c r="I32" s="66">
        <f t="shared" si="1"/>
        <v>855834.60586005449</v>
      </c>
      <c r="L32" s="3">
        <v>2051</v>
      </c>
      <c r="M32" s="67">
        <f>'Inflation estimation'!N45</f>
        <v>6.0233558696988432E-2</v>
      </c>
      <c r="N32" s="67">
        <f>'Inflation estimation'!O45</f>
        <v>2.0225972939041048E-2</v>
      </c>
      <c r="O32" s="67">
        <f>'Inflation estimation'!P45</f>
        <v>1.674917491748884E-2</v>
      </c>
      <c r="P32" s="67">
        <f>'Inflation estimation'!Q45</f>
        <v>1.9195822085779746E-2</v>
      </c>
      <c r="Q32" s="67">
        <f>'Inflation estimation'!R45</f>
        <v>1.9005014816498855E-2</v>
      </c>
      <c r="R32" s="67">
        <f>'Inflation estimation'!S45</f>
        <v>0</v>
      </c>
      <c r="S32" s="67">
        <f>'Inflation estimation'!T45</f>
        <v>1.936173805369279E-2</v>
      </c>
      <c r="T32" s="67">
        <f>'Inflation estimation'!U45</f>
        <v>6.6903000000000004E-2</v>
      </c>
      <c r="U32" s="67">
        <f>'Inflation estimation'!V45</f>
        <v>1.536086372750879E-2</v>
      </c>
      <c r="V32" s="67">
        <f>'Inflation estimation'!W45</f>
        <v>4.9137466666666664E-2</v>
      </c>
    </row>
    <row r="33" spans="1:22" ht="15.75" customHeight="1" x14ac:dyDescent="0.35">
      <c r="A33" s="65">
        <v>2052</v>
      </c>
      <c r="B33" s="66">
        <f t="shared" si="2"/>
        <v>32379.394763686007</v>
      </c>
      <c r="C33" s="66">
        <f t="shared" si="11"/>
        <v>175752.11926337326</v>
      </c>
      <c r="D33" s="66">
        <f t="shared" si="14"/>
        <v>291350.33313142991</v>
      </c>
      <c r="E33" s="66">
        <f t="shared" si="13"/>
        <v>336324</v>
      </c>
      <c r="F33" s="66">
        <f t="shared" si="6"/>
        <v>30778.979384927381</v>
      </c>
      <c r="G33" s="66">
        <v>0</v>
      </c>
      <c r="H33" s="66">
        <f t="shared" si="12"/>
        <v>13166.81376875555</v>
      </c>
      <c r="I33" s="66">
        <f t="shared" si="1"/>
        <v>879751.64031217212</v>
      </c>
      <c r="L33" s="3">
        <v>2052</v>
      </c>
      <c r="M33" s="67">
        <f>'Inflation estimation'!N46</f>
        <v>6.0233558696988432E-2</v>
      </c>
      <c r="N33" s="67">
        <f>'Inflation estimation'!O46</f>
        <v>1.9824993163797933E-2</v>
      </c>
      <c r="O33" s="67">
        <f>'Inflation estimation'!P46</f>
        <v>1.6473261381160453E-2</v>
      </c>
      <c r="P33" s="67">
        <f>'Inflation estimation'!Q46</f>
        <v>1.883428254885855E-2</v>
      </c>
      <c r="Q33" s="67">
        <f>'Inflation estimation'!R46</f>
        <v>1.8650560635294688E-2</v>
      </c>
      <c r="R33" s="67">
        <f>'Inflation estimation'!S46</f>
        <v>0</v>
      </c>
      <c r="S33" s="67">
        <f>'Inflation estimation'!T46</f>
        <v>1.8993981558171891E-2</v>
      </c>
      <c r="T33" s="67">
        <f>'Inflation estimation'!U46</f>
        <v>6.6903000000000004E-2</v>
      </c>
      <c r="U33" s="67">
        <f>'Inflation estimation'!V46</f>
        <v>1.536086372750879E-2</v>
      </c>
      <c r="V33" s="67">
        <f>'Inflation estimation'!W46</f>
        <v>4.9137466666666664E-2</v>
      </c>
    </row>
    <row r="34" spans="1:22" ht="15.75" customHeight="1" x14ac:dyDescent="0.35">
      <c r="A34" s="65">
        <v>2053</v>
      </c>
      <c r="B34" s="66">
        <f t="shared" si="2"/>
        <v>32982.944576674716</v>
      </c>
      <c r="C34" s="66">
        <f t="shared" si="11"/>
        <v>178600.40923706468</v>
      </c>
      <c r="D34" s="66">
        <f t="shared" si="14"/>
        <v>311961.37521399779</v>
      </c>
      <c r="E34" s="66">
        <f t="shared" si="13"/>
        <v>336324</v>
      </c>
      <c r="F34" s="66">
        <f t="shared" si="6"/>
        <v>31342.514362960537</v>
      </c>
      <c r="G34" s="66">
        <v>0</v>
      </c>
      <c r="H34" s="66">
        <f t="shared" si="12"/>
        <v>13422.771403353936</v>
      </c>
      <c r="I34" s="66">
        <f t="shared" si="1"/>
        <v>904634.01479405165</v>
      </c>
      <c r="L34" s="3">
        <v>2053</v>
      </c>
      <c r="M34" s="67">
        <f>'Inflation estimation'!N47</f>
        <v>6.0233558696988432E-2</v>
      </c>
      <c r="N34" s="67">
        <f>'Inflation estimation'!O47</f>
        <v>1.9439603163960983E-2</v>
      </c>
      <c r="O34" s="67">
        <f>'Inflation estimation'!P47</f>
        <v>1.6206290914894339E-2</v>
      </c>
      <c r="P34" s="67">
        <f>'Inflation estimation'!Q47</f>
        <v>1.848610993118549E-2</v>
      </c>
      <c r="Q34" s="67">
        <f>'Inflation estimation'!R47</f>
        <v>1.8309085918200463E-2</v>
      </c>
      <c r="R34" s="67">
        <f>'Inflation estimation'!S47</f>
        <v>0</v>
      </c>
      <c r="S34" s="67">
        <f>'Inflation estimation'!T47</f>
        <v>1.8639934976968808E-2</v>
      </c>
      <c r="T34" s="67">
        <f>'Inflation estimation'!U47</f>
        <v>6.6903000000000004E-2</v>
      </c>
      <c r="U34" s="67">
        <f>'Inflation estimation'!V47</f>
        <v>1.536086372750879E-2</v>
      </c>
      <c r="V34" s="67">
        <f>'Inflation estimation'!W47</f>
        <v>4.9137466666666664E-2</v>
      </c>
    </row>
    <row r="35" spans="1:22" ht="15.75" customHeight="1" x14ac:dyDescent="0.35">
      <c r="A35" s="65">
        <v>2054</v>
      </c>
      <c r="B35" s="66">
        <f t="shared" si="2"/>
        <v>33586.494389663589</v>
      </c>
      <c r="C35" s="66">
        <f t="shared" si="11"/>
        <v>181448.69921075713</v>
      </c>
      <c r="D35" s="66">
        <f t="shared" si="14"/>
        <v>333585.1916898631</v>
      </c>
      <c r="E35" s="66">
        <f t="shared" si="13"/>
        <v>336324</v>
      </c>
      <c r="F35" s="66">
        <f t="shared" si="6"/>
        <v>31906.049340993693</v>
      </c>
      <c r="G35" s="66">
        <v>0</v>
      </c>
      <c r="H35" s="66">
        <f t="shared" si="12"/>
        <v>13678.72903795238</v>
      </c>
      <c r="I35" s="66">
        <f t="shared" si="1"/>
        <v>930529.16366922995</v>
      </c>
      <c r="L35" s="3">
        <v>2054</v>
      </c>
      <c r="M35" s="67">
        <f>'Inflation estimation'!N48</f>
        <v>6.0233558696988432E-2</v>
      </c>
      <c r="N35" s="67">
        <f>'Inflation estimation'!O48</f>
        <v>1.9068911099423769E-2</v>
      </c>
      <c r="O35" s="67">
        <f>'Inflation estimation'!P48</f>
        <v>1.5947835650879094E-2</v>
      </c>
      <c r="P35" s="67">
        <f>'Inflation estimation'!Q48</f>
        <v>1.8150576380898897E-2</v>
      </c>
      <c r="Q35" s="67">
        <f>'Inflation estimation'!R48</f>
        <v>1.7979890557189071E-2</v>
      </c>
      <c r="R35" s="67">
        <f>'Inflation estimation'!S48</f>
        <v>0</v>
      </c>
      <c r="S35" s="67">
        <f>'Inflation estimation'!T48</f>
        <v>1.8298845683283771E-2</v>
      </c>
      <c r="T35" s="67">
        <f>'Inflation estimation'!U48</f>
        <v>6.6903000000000004E-2</v>
      </c>
      <c r="U35" s="67">
        <f>'Inflation estimation'!V48</f>
        <v>1.536086372750879E-2</v>
      </c>
      <c r="V35" s="67">
        <f>'Inflation estimation'!W48</f>
        <v>4.9137466666666664E-2</v>
      </c>
    </row>
    <row r="36" spans="1:22" ht="15.75" customHeight="1" x14ac:dyDescent="0.35">
      <c r="E36" s="11"/>
    </row>
    <row r="37" spans="1:22" ht="15.75" customHeight="1" x14ac:dyDescent="0.35">
      <c r="G37" s="11"/>
    </row>
    <row r="38" spans="1:22" ht="15.75" customHeight="1" x14ac:dyDescent="0.35">
      <c r="C38" s="14" t="s">
        <v>124</v>
      </c>
      <c r="D38" s="8" t="s">
        <v>125</v>
      </c>
    </row>
    <row r="39" spans="1:22" ht="15.75" customHeight="1" x14ac:dyDescent="0.35">
      <c r="A39" s="44"/>
      <c r="D39" s="8" t="s">
        <v>126</v>
      </c>
    </row>
    <row r="40" spans="1:22" ht="15.75" customHeight="1" x14ac:dyDescent="0.35">
      <c r="D40" s="8" t="s">
        <v>127</v>
      </c>
    </row>
    <row r="41" spans="1:22" ht="15.75" customHeight="1" x14ac:dyDescent="0.35"/>
    <row r="42" spans="1:22" ht="15.75" customHeight="1" x14ac:dyDescent="0.35">
      <c r="C42" s="8" t="s">
        <v>128</v>
      </c>
      <c r="D42" s="23">
        <v>20</v>
      </c>
    </row>
    <row r="43" spans="1:22" ht="15.75" customHeight="1" x14ac:dyDescent="0.35">
      <c r="C43" s="8" t="s">
        <v>129</v>
      </c>
      <c r="D43" s="8">
        <f>D42*2</f>
        <v>40</v>
      </c>
    </row>
    <row r="44" spans="1:22" ht="15.75" customHeight="1" x14ac:dyDescent="0.35">
      <c r="C44" s="8" t="s">
        <v>130</v>
      </c>
      <c r="D44" s="8">
        <f>D43*24</f>
        <v>960</v>
      </c>
    </row>
    <row r="45" spans="1:22" ht="15.75" customHeight="1" x14ac:dyDescent="0.35">
      <c r="C45" s="8" t="s">
        <v>131</v>
      </c>
      <c r="D45" s="69">
        <f>D44*12</f>
        <v>11520</v>
      </c>
    </row>
    <row r="46" spans="1:22" ht="15.75" customHeight="1" x14ac:dyDescent="0.35">
      <c r="C46" s="14" t="s">
        <v>132</v>
      </c>
      <c r="D46" s="70">
        <f>D45*(1+Q6)*(1+Q7)*(1+Q8)</f>
        <v>12818.384589388394</v>
      </c>
      <c r="E46" s="61" t="s">
        <v>133</v>
      </c>
    </row>
    <row r="47" spans="1:22" ht="15.75" customHeight="1" x14ac:dyDescent="0.35"/>
    <row r="48" spans="1:22" ht="15.75" customHeight="1" x14ac:dyDescent="0.35">
      <c r="C48" s="8" t="s">
        <v>134</v>
      </c>
    </row>
    <row r="49" spans="2:3" ht="15.75" customHeight="1" x14ac:dyDescent="0.35"/>
    <row r="50" spans="2:3" ht="15.75" customHeight="1" x14ac:dyDescent="0.35"/>
    <row r="51" spans="2:3" ht="15.75" customHeight="1" x14ac:dyDescent="0.35"/>
    <row r="52" spans="2:3" ht="15.75" customHeight="1" x14ac:dyDescent="0.35">
      <c r="B52" s="71" t="s">
        <v>135</v>
      </c>
    </row>
    <row r="53" spans="2:3" ht="15.75" customHeight="1" x14ac:dyDescent="0.35">
      <c r="B53" s="8" t="s">
        <v>136</v>
      </c>
      <c r="C53" s="8" t="s">
        <v>137</v>
      </c>
    </row>
    <row r="54" spans="2:3" ht="15.75" customHeight="1" x14ac:dyDescent="0.35">
      <c r="B54" s="8" t="s">
        <v>138</v>
      </c>
      <c r="C54" s="8" t="s">
        <v>139</v>
      </c>
    </row>
    <row r="55" spans="2:3" ht="15.75" customHeight="1" x14ac:dyDescent="0.35">
      <c r="B55" s="8" t="s">
        <v>140</v>
      </c>
      <c r="C55" s="8" t="s">
        <v>141</v>
      </c>
    </row>
    <row r="56" spans="2:3" ht="15.75" customHeight="1" x14ac:dyDescent="0.35">
      <c r="B56" s="8" t="s">
        <v>142</v>
      </c>
      <c r="C56" s="72">
        <v>7.0000000000000007E-2</v>
      </c>
    </row>
    <row r="57" spans="2:3" ht="15.75" customHeight="1" x14ac:dyDescent="0.35">
      <c r="B57" s="8" t="s">
        <v>143</v>
      </c>
      <c r="C57" s="8">
        <v>3780000</v>
      </c>
    </row>
    <row r="58" spans="2:3" ht="15.75" customHeight="1" x14ac:dyDescent="0.35">
      <c r="B58" s="8" t="s">
        <v>144</v>
      </c>
      <c r="C58" s="8">
        <v>28027</v>
      </c>
    </row>
    <row r="59" spans="2:3" ht="15.75" customHeight="1" x14ac:dyDescent="0.35"/>
    <row r="60" spans="2:3" ht="15.75" customHeight="1" x14ac:dyDescent="0.35">
      <c r="B60" s="8" t="s">
        <v>145</v>
      </c>
    </row>
    <row r="61" spans="2:3" ht="15.75" customHeight="1" x14ac:dyDescent="0.35"/>
    <row r="62" spans="2:3" ht="15.75" customHeight="1" x14ac:dyDescent="0.35"/>
    <row r="63" spans="2:3" ht="15.75" customHeight="1" x14ac:dyDescent="0.35"/>
    <row r="64" spans="2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2:I3"/>
    <mergeCell ref="L3:V3"/>
  </mergeCells>
  <pageMargins left="0.7" right="0.7" top="0.75" bottom="0.75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zoomScale="93" workbookViewId="0">
      <selection activeCell="B7" sqref="B7"/>
    </sheetView>
  </sheetViews>
  <sheetFormatPr defaultColWidth="11.1640625" defaultRowHeight="15" customHeight="1" x14ac:dyDescent="0.35"/>
  <cols>
    <col min="1" max="1" width="5.1640625" customWidth="1"/>
    <col min="2" max="2" width="34.33203125" bestFit="1" customWidth="1"/>
    <col min="3" max="3" width="21.08203125" bestFit="1" customWidth="1"/>
    <col min="4" max="4" width="22.58203125" bestFit="1" customWidth="1"/>
    <col min="5" max="5" width="29" bestFit="1" customWidth="1"/>
    <col min="6" max="6" width="13.9140625" bestFit="1" customWidth="1"/>
    <col min="7" max="7" width="22.33203125" bestFit="1" customWidth="1"/>
    <col min="8" max="8" width="25.08203125" bestFit="1" customWidth="1"/>
    <col min="9" max="9" width="9.4140625" bestFit="1" customWidth="1"/>
    <col min="10" max="10" width="14.83203125" bestFit="1" customWidth="1"/>
    <col min="11" max="11" width="24.33203125" bestFit="1" customWidth="1"/>
    <col min="12" max="12" width="15.75" bestFit="1" customWidth="1"/>
    <col min="13" max="13" width="42.33203125" bestFit="1" customWidth="1"/>
    <col min="14" max="14" width="15.5" bestFit="1" customWidth="1"/>
    <col min="15" max="15" width="37.6640625" bestFit="1" customWidth="1"/>
    <col min="16" max="16" width="34.33203125" bestFit="1" customWidth="1"/>
    <col min="17" max="17" width="13" bestFit="1" customWidth="1"/>
    <col min="18" max="18" width="10" bestFit="1" customWidth="1"/>
    <col min="19" max="19" width="10.4140625" bestFit="1" customWidth="1"/>
    <col min="20" max="20" width="11.9140625" bestFit="1" customWidth="1"/>
    <col min="21" max="21" width="6" customWidth="1"/>
    <col min="22" max="22" width="8.1640625" bestFit="1" customWidth="1"/>
    <col min="23" max="23" width="50.1640625" bestFit="1" customWidth="1"/>
    <col min="24" max="26" width="15.6640625" customWidth="1"/>
  </cols>
  <sheetData>
    <row r="1" spans="1:26" ht="16" thickBot="1" x14ac:dyDescent="0.4">
      <c r="A1" s="33"/>
      <c r="B1" s="33"/>
      <c r="C1" s="47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" thickBot="1" x14ac:dyDescent="0.4">
      <c r="A2" s="33"/>
      <c r="B2" s="254" t="s">
        <v>146</v>
      </c>
      <c r="C2" s="255" t="s">
        <v>147</v>
      </c>
      <c r="D2" s="255" t="s">
        <v>148</v>
      </c>
      <c r="E2" s="255" t="s">
        <v>149</v>
      </c>
      <c r="F2" s="256" t="s">
        <v>150</v>
      </c>
      <c r="G2" s="255" t="s">
        <v>151</v>
      </c>
      <c r="H2" s="257" t="s">
        <v>152</v>
      </c>
      <c r="I2" s="33"/>
      <c r="J2" s="258" t="s">
        <v>11</v>
      </c>
      <c r="K2" s="259" t="s">
        <v>153</v>
      </c>
      <c r="L2" s="259" t="s">
        <v>154</v>
      </c>
      <c r="M2" s="259" t="s">
        <v>155</v>
      </c>
      <c r="N2" s="259" t="s">
        <v>156</v>
      </c>
      <c r="O2" s="260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5" x14ac:dyDescent="0.35">
      <c r="A3" s="33"/>
      <c r="B3" s="75">
        <v>2024</v>
      </c>
      <c r="C3" s="76">
        <f>'Income Estimation '!G11</f>
        <v>240000</v>
      </c>
      <c r="D3" s="76">
        <f>'Expense Estimation'!I5</f>
        <v>264980</v>
      </c>
      <c r="E3" s="77">
        <f>' Insurance Costs'!F8</f>
        <v>11228</v>
      </c>
      <c r="F3" s="78">
        <f t="shared" ref="F3:F33" si="0">C3-SUM(D3:E3)</f>
        <v>-36208</v>
      </c>
      <c r="G3" s="76">
        <f t="shared" ref="G3:G33" si="1">30%*F3</f>
        <v>-10862.4</v>
      </c>
      <c r="H3" s="79">
        <f>F3-G3</f>
        <v>-25345.599999999999</v>
      </c>
      <c r="I3" s="47"/>
      <c r="J3" s="251">
        <v>2024</v>
      </c>
      <c r="K3" s="252">
        <f>H3*$C$42</f>
        <v>-6336.4</v>
      </c>
      <c r="L3" s="252">
        <f>H3*$C$40</f>
        <v>-8870.9599999999991</v>
      </c>
      <c r="M3" s="252">
        <f>H3*$C$41</f>
        <v>-10138.24</v>
      </c>
      <c r="N3" s="252">
        <f>H3-SUM(K3:M3)</f>
        <v>0</v>
      </c>
      <c r="O3" s="25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5" x14ac:dyDescent="0.35">
      <c r="A4" s="33"/>
      <c r="B4" s="80">
        <v>2025</v>
      </c>
      <c r="C4" s="81">
        <f>'Income Estimation '!G12</f>
        <v>432000</v>
      </c>
      <c r="D4" s="76">
        <f>'Expense Estimation'!I6</f>
        <v>274860.2811993119</v>
      </c>
      <c r="E4" s="82">
        <f>' Insurance Costs'!F9</f>
        <v>11944.708443659962</v>
      </c>
      <c r="F4" s="78">
        <f t="shared" si="0"/>
        <v>145195.01035702816</v>
      </c>
      <c r="G4" s="76">
        <f t="shared" si="1"/>
        <v>43558.503107108445</v>
      </c>
      <c r="H4" s="79">
        <f t="shared" ref="H4:H33" si="2">F4-G4</f>
        <v>101636.50724991973</v>
      </c>
      <c r="I4" s="47"/>
      <c r="J4" s="244">
        <v>2025</v>
      </c>
      <c r="K4" s="212">
        <f>H4*$C$42</f>
        <v>25409.126812479932</v>
      </c>
      <c r="L4" s="212">
        <f t="shared" ref="L4:L17" si="3">H4*$C$40</f>
        <v>35572.777537471899</v>
      </c>
      <c r="M4" s="212">
        <f t="shared" ref="M4:M22" si="4">H4*$C$41</f>
        <v>40654.602899967897</v>
      </c>
      <c r="N4" s="212">
        <f t="shared" ref="N4:N33" si="5">H4-SUM(K4:M4)</f>
        <v>0</v>
      </c>
      <c r="O4" s="24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5" x14ac:dyDescent="0.35">
      <c r="A5" s="33"/>
      <c r="B5" s="80">
        <v>2026</v>
      </c>
      <c r="C5" s="81">
        <f>'Income Estimation '!G13</f>
        <v>453600</v>
      </c>
      <c r="D5" s="76">
        <f>'Expense Estimation'!I7</f>
        <v>284981.08406131971</v>
      </c>
      <c r="E5" s="82">
        <f>E4*(1+'Inflation estimation'!O20)</f>
        <v>12433.416887319812</v>
      </c>
      <c r="F5" s="78">
        <f t="shared" si="0"/>
        <v>156185.49905136047</v>
      </c>
      <c r="G5" s="76">
        <f t="shared" si="1"/>
        <v>46855.649715408137</v>
      </c>
      <c r="H5" s="79">
        <f t="shared" si="2"/>
        <v>109329.84933595234</v>
      </c>
      <c r="I5" s="47"/>
      <c r="J5" s="244">
        <v>2026</v>
      </c>
      <c r="K5" s="212">
        <f t="shared" ref="K5:K33" si="6">H5*$C$42</f>
        <v>27332.462333988085</v>
      </c>
      <c r="L5" s="212">
        <f t="shared" si="3"/>
        <v>38265.447267583317</v>
      </c>
      <c r="M5" s="212">
        <f t="shared" si="4"/>
        <v>43731.93973438094</v>
      </c>
      <c r="N5" s="212">
        <f t="shared" si="5"/>
        <v>0</v>
      </c>
      <c r="O5" s="245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5" x14ac:dyDescent="0.35">
      <c r="A6" s="33"/>
      <c r="B6" s="80">
        <v>2027</v>
      </c>
      <c r="C6" s="81">
        <f>'Income Estimation '!G14</f>
        <v>476280</v>
      </c>
      <c r="D6" s="76">
        <f>'Expense Estimation'!I8</f>
        <v>295352.82369632489</v>
      </c>
      <c r="E6" s="82">
        <f>E5*(1+'Inflation estimation'!O21)</f>
        <v>12922.125330979663</v>
      </c>
      <c r="F6" s="78">
        <f t="shared" si="0"/>
        <v>168005.05097269546</v>
      </c>
      <c r="G6" s="76">
        <f t="shared" si="1"/>
        <v>50401.515291808639</v>
      </c>
      <c r="H6" s="79">
        <f t="shared" si="2"/>
        <v>117603.53568088682</v>
      </c>
      <c r="I6" s="47"/>
      <c r="J6" s="244">
        <v>2027</v>
      </c>
      <c r="K6" s="212">
        <f t="shared" si="6"/>
        <v>29400.883920221706</v>
      </c>
      <c r="L6" s="212">
        <f t="shared" si="3"/>
        <v>41161.237488310384</v>
      </c>
      <c r="M6" s="212">
        <f t="shared" si="4"/>
        <v>47041.414272354734</v>
      </c>
      <c r="N6" s="212">
        <f t="shared" si="5"/>
        <v>0</v>
      </c>
      <c r="O6" s="245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5" x14ac:dyDescent="0.35">
      <c r="A7" s="33"/>
      <c r="B7" s="80">
        <v>2028</v>
      </c>
      <c r="C7" s="81">
        <f>'Income Estimation '!G15</f>
        <v>500094</v>
      </c>
      <c r="D7" s="76">
        <f>'Expense Estimation'!I9</f>
        <v>321281.24605100078</v>
      </c>
      <c r="E7" s="82">
        <f>E6*(1+'Inflation estimation'!O22)</f>
        <v>13410.833774639625</v>
      </c>
      <c r="F7" s="78">
        <f t="shared" si="0"/>
        <v>165401.92017435958</v>
      </c>
      <c r="G7" s="76">
        <f t="shared" si="1"/>
        <v>49620.576052307872</v>
      </c>
      <c r="H7" s="79">
        <f t="shared" si="2"/>
        <v>115781.3441220517</v>
      </c>
      <c r="I7" s="47"/>
      <c r="J7" s="244">
        <v>2028</v>
      </c>
      <c r="K7" s="212">
        <f t="shared" si="6"/>
        <v>28945.336030512924</v>
      </c>
      <c r="L7" s="212">
        <f t="shared" si="3"/>
        <v>40523.470442718091</v>
      </c>
      <c r="M7" s="212">
        <f t="shared" si="4"/>
        <v>46312.537648820682</v>
      </c>
      <c r="N7" s="212">
        <f t="shared" si="5"/>
        <v>0</v>
      </c>
      <c r="O7" s="245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5" x14ac:dyDescent="0.35">
      <c r="A8" s="33"/>
      <c r="B8" s="80">
        <v>2029</v>
      </c>
      <c r="C8" s="81">
        <f>'Income Estimation '!G16</f>
        <v>525098.69999999995</v>
      </c>
      <c r="D8" s="76">
        <f>'Expense Estimation'!I10</f>
        <v>333139.32877479057</v>
      </c>
      <c r="E8" s="82">
        <f>E7*(1+'Inflation estimation'!O23)</f>
        <v>13899.542218299473</v>
      </c>
      <c r="F8" s="78">
        <f t="shared" si="0"/>
        <v>178059.82900690992</v>
      </c>
      <c r="G8" s="76">
        <f t="shared" si="1"/>
        <v>53417.948702072972</v>
      </c>
      <c r="H8" s="79">
        <f t="shared" si="2"/>
        <v>124641.88030483694</v>
      </c>
      <c r="I8" s="47"/>
      <c r="J8" s="244">
        <v>2029</v>
      </c>
      <c r="K8" s="212">
        <f t="shared" si="6"/>
        <v>31160.470076209236</v>
      </c>
      <c r="L8" s="212">
        <f t="shared" si="3"/>
        <v>43624.658106692928</v>
      </c>
      <c r="M8" s="212">
        <f t="shared" si="4"/>
        <v>49856.752121934784</v>
      </c>
      <c r="N8" s="212">
        <f t="shared" si="5"/>
        <v>0</v>
      </c>
      <c r="O8" s="245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5" x14ac:dyDescent="0.35">
      <c r="A9" s="33"/>
      <c r="B9" s="80">
        <v>2030</v>
      </c>
      <c r="C9" s="81">
        <f>'Income Estimation '!G17</f>
        <v>671353.63500000001</v>
      </c>
      <c r="D9" s="76">
        <f>'Expense Estimation'!I11</f>
        <v>327584.77057315118</v>
      </c>
      <c r="E9" s="82">
        <f>E8*(1+'Inflation estimation'!O24)</f>
        <v>14388.250661959437</v>
      </c>
      <c r="F9" s="78">
        <f t="shared" si="0"/>
        <v>329380.61376488936</v>
      </c>
      <c r="G9" s="76">
        <f t="shared" si="1"/>
        <v>98814.184129466812</v>
      </c>
      <c r="H9" s="79">
        <f t="shared" si="2"/>
        <v>230566.42963542254</v>
      </c>
      <c r="I9" s="47"/>
      <c r="J9" s="244">
        <v>2030</v>
      </c>
      <c r="K9" s="212">
        <f t="shared" si="6"/>
        <v>57641.607408855634</v>
      </c>
      <c r="L9" s="212">
        <f t="shared" si="3"/>
        <v>80698.250372397888</v>
      </c>
      <c r="M9" s="212">
        <f t="shared" si="4"/>
        <v>92226.571854169015</v>
      </c>
      <c r="N9" s="212">
        <f t="shared" si="5"/>
        <v>0</v>
      </c>
      <c r="O9" s="245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5" x14ac:dyDescent="0.35">
      <c r="A10" s="33"/>
      <c r="B10" s="80">
        <v>2031</v>
      </c>
      <c r="C10" s="81">
        <f>'Income Estimation '!G18</f>
        <v>704921.31675</v>
      </c>
      <c r="D10" s="76">
        <f>'Expense Estimation'!I12</f>
        <v>339073.82861864421</v>
      </c>
      <c r="E10" s="82">
        <f>E9*(1+'Inflation estimation'!O25)</f>
        <v>14876.959105619288</v>
      </c>
      <c r="F10" s="78">
        <f t="shared" si="0"/>
        <v>350970.5290257365</v>
      </c>
      <c r="G10" s="76">
        <f t="shared" si="1"/>
        <v>105291.15870772094</v>
      </c>
      <c r="H10" s="79">
        <f t="shared" si="2"/>
        <v>245679.37031801557</v>
      </c>
      <c r="I10" s="47"/>
      <c r="J10" s="244">
        <v>2031</v>
      </c>
      <c r="K10" s="212">
        <f t="shared" si="6"/>
        <v>61419.842579503893</v>
      </c>
      <c r="L10" s="212">
        <f t="shared" si="3"/>
        <v>85987.77961130545</v>
      </c>
      <c r="M10" s="212">
        <f t="shared" si="4"/>
        <v>98271.748127206229</v>
      </c>
      <c r="N10" s="212">
        <f t="shared" si="5"/>
        <v>0</v>
      </c>
      <c r="O10" s="245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5" x14ac:dyDescent="0.35">
      <c r="A11" s="33"/>
      <c r="B11" s="83">
        <v>2032</v>
      </c>
      <c r="C11" s="81">
        <f>'Income Estimation '!G19</f>
        <v>811867.38258750015</v>
      </c>
      <c r="D11" s="76">
        <f>'Expense Estimation'!I13</f>
        <v>290981.86909951142</v>
      </c>
      <c r="E11" s="82">
        <f>' Insurance Costs'!F16</f>
        <v>16643.904383642301</v>
      </c>
      <c r="F11" s="78">
        <f t="shared" si="0"/>
        <v>504241.60910434643</v>
      </c>
      <c r="G11" s="76">
        <f t="shared" si="1"/>
        <v>151272.48273130393</v>
      </c>
      <c r="H11" s="79">
        <f t="shared" si="2"/>
        <v>352969.12637304247</v>
      </c>
      <c r="I11" s="47"/>
      <c r="J11" s="246">
        <v>2032</v>
      </c>
      <c r="K11" s="212">
        <f t="shared" si="6"/>
        <v>88242.281593260617</v>
      </c>
      <c r="L11" s="212">
        <f t="shared" si="3"/>
        <v>123539.19423056486</v>
      </c>
      <c r="M11" s="212">
        <f t="shared" si="4"/>
        <v>141187.65054921698</v>
      </c>
      <c r="N11" s="212">
        <f t="shared" si="5"/>
        <v>0</v>
      </c>
      <c r="O11" s="245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5" x14ac:dyDescent="0.35">
      <c r="A12" s="33"/>
      <c r="B12" s="80">
        <v>2033</v>
      </c>
      <c r="C12" s="81">
        <f>'Income Estimation '!G20</f>
        <v>852460.75171687501</v>
      </c>
      <c r="D12" s="76">
        <f>'Expense Estimation'!I14</f>
        <v>301204.70208913909</v>
      </c>
      <c r="E12" s="82">
        <f>E11*(1+'Inflation estimation'!O27)</f>
        <v>17173.267431597527</v>
      </c>
      <c r="F12" s="78">
        <f t="shared" si="0"/>
        <v>534082.7821961384</v>
      </c>
      <c r="G12" s="76">
        <f t="shared" si="1"/>
        <v>160224.83465884152</v>
      </c>
      <c r="H12" s="79">
        <f t="shared" si="2"/>
        <v>373857.94753729692</v>
      </c>
      <c r="I12" s="47"/>
      <c r="J12" s="244">
        <v>2033</v>
      </c>
      <c r="K12" s="212">
        <f t="shared" si="6"/>
        <v>93464.486884324229</v>
      </c>
      <c r="L12" s="212">
        <f t="shared" si="3"/>
        <v>130850.28163805392</v>
      </c>
      <c r="M12" s="212">
        <f t="shared" si="4"/>
        <v>149543.17901491877</v>
      </c>
      <c r="N12" s="212">
        <f t="shared" si="5"/>
        <v>0</v>
      </c>
      <c r="O12" s="245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5" x14ac:dyDescent="0.35">
      <c r="A13" s="33"/>
      <c r="B13" s="83">
        <v>2034</v>
      </c>
      <c r="C13" s="81">
        <f>'Income Estimation '!G21</f>
        <v>895083.78930271883</v>
      </c>
      <c r="D13" s="76">
        <f>'Expense Estimation'!I15</f>
        <v>311722.8015194363</v>
      </c>
      <c r="E13" s="82">
        <f>E12*(1+'Inflation estimation'!O28)</f>
        <v>17702.630479552874</v>
      </c>
      <c r="F13" s="78">
        <f t="shared" si="0"/>
        <v>565658.35730372963</v>
      </c>
      <c r="G13" s="76">
        <f t="shared" si="1"/>
        <v>169697.50719111887</v>
      </c>
      <c r="H13" s="79">
        <f t="shared" si="2"/>
        <v>395960.85011261073</v>
      </c>
      <c r="I13" s="47"/>
      <c r="J13" s="246">
        <v>2034</v>
      </c>
      <c r="K13" s="212">
        <f t="shared" si="6"/>
        <v>98990.212528152682</v>
      </c>
      <c r="L13" s="212">
        <f t="shared" si="3"/>
        <v>138586.29753941373</v>
      </c>
      <c r="M13" s="212">
        <f t="shared" si="4"/>
        <v>158384.34004504432</v>
      </c>
      <c r="N13" s="212">
        <f t="shared" si="5"/>
        <v>0</v>
      </c>
      <c r="O13" s="245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5" x14ac:dyDescent="0.35">
      <c r="A14" s="33"/>
      <c r="B14" s="80">
        <v>2035</v>
      </c>
      <c r="C14" s="81">
        <f>'Income Estimation '!G22</f>
        <v>939837.97876785486</v>
      </c>
      <c r="D14" s="76">
        <f>'Expense Estimation'!I16</f>
        <v>322548.75522826082</v>
      </c>
      <c r="E14" s="82">
        <f>E13*(1+'Inflation estimation'!O29)</f>
        <v>18231.993527508101</v>
      </c>
      <c r="F14" s="78">
        <f t="shared" si="0"/>
        <v>599057.23001208599</v>
      </c>
      <c r="G14" s="76">
        <f t="shared" si="1"/>
        <v>179717.16900362578</v>
      </c>
      <c r="H14" s="79">
        <f t="shared" si="2"/>
        <v>419340.06100846024</v>
      </c>
      <c r="I14" s="47"/>
      <c r="J14" s="244">
        <v>2035</v>
      </c>
      <c r="K14" s="212">
        <f t="shared" si="6"/>
        <v>104835.01525211506</v>
      </c>
      <c r="L14" s="212">
        <f t="shared" si="3"/>
        <v>146769.02135296108</v>
      </c>
      <c r="M14" s="212">
        <f t="shared" si="4"/>
        <v>167736.0244033841</v>
      </c>
      <c r="N14" s="212">
        <f t="shared" si="5"/>
        <v>0</v>
      </c>
      <c r="O14" s="245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5" x14ac:dyDescent="0.35">
      <c r="A15" s="33"/>
      <c r="B15" s="83">
        <v>2036</v>
      </c>
      <c r="C15" s="81">
        <f>'Income Estimation '!G23</f>
        <v>986829.87770624761</v>
      </c>
      <c r="D15" s="76">
        <f>'Expense Estimation'!I17</f>
        <v>401451.48389610311</v>
      </c>
      <c r="E15" s="82">
        <f>E14*(1+'Inflation estimation'!O30)</f>
        <v>18761.356575463447</v>
      </c>
      <c r="F15" s="78">
        <f t="shared" si="0"/>
        <v>566617.03723468108</v>
      </c>
      <c r="G15" s="76">
        <f t="shared" si="1"/>
        <v>169985.11117040433</v>
      </c>
      <c r="H15" s="79">
        <f t="shared" si="2"/>
        <v>396631.92606427672</v>
      </c>
      <c r="I15" s="47"/>
      <c r="J15" s="246">
        <v>2036</v>
      </c>
      <c r="K15" s="212">
        <f t="shared" si="6"/>
        <v>99157.98151606918</v>
      </c>
      <c r="L15" s="212">
        <f t="shared" si="3"/>
        <v>138821.17412249683</v>
      </c>
      <c r="M15" s="212">
        <f t="shared" si="4"/>
        <v>158652.77042571071</v>
      </c>
      <c r="N15" s="212">
        <f t="shared" si="5"/>
        <v>0</v>
      </c>
      <c r="O15" s="245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5" x14ac:dyDescent="0.35">
      <c r="A16" s="33"/>
      <c r="B16" s="80">
        <v>2037</v>
      </c>
      <c r="C16" s="81">
        <f>'Income Estimation '!G24</f>
        <v>1036171.3715915598</v>
      </c>
      <c r="D16" s="76">
        <f>'Expense Estimation'!I18</f>
        <v>415016.38384009834</v>
      </c>
      <c r="E16" s="82">
        <f>E15*(1+'Inflation estimation'!O31)</f>
        <v>19290.719623418674</v>
      </c>
      <c r="F16" s="78">
        <f t="shared" si="0"/>
        <v>601864.26812804281</v>
      </c>
      <c r="G16" s="76">
        <f t="shared" si="1"/>
        <v>180559.28043841282</v>
      </c>
      <c r="H16" s="79">
        <f t="shared" si="2"/>
        <v>421304.98768963001</v>
      </c>
      <c r="I16" s="47"/>
      <c r="J16" s="244">
        <v>2037</v>
      </c>
      <c r="K16" s="212">
        <f t="shared" si="6"/>
        <v>105326.2469224075</v>
      </c>
      <c r="L16" s="212">
        <f t="shared" si="3"/>
        <v>147456.74569137048</v>
      </c>
      <c r="M16" s="212">
        <f t="shared" si="4"/>
        <v>168521.99507585203</v>
      </c>
      <c r="N16" s="212">
        <f t="shared" si="5"/>
        <v>0</v>
      </c>
      <c r="O16" s="245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5" x14ac:dyDescent="0.35">
      <c r="A17" s="33"/>
      <c r="B17" s="80">
        <v>2038</v>
      </c>
      <c r="C17" s="81">
        <f>'Income Estimation '!G25</f>
        <v>1087979.9401711382</v>
      </c>
      <c r="D17" s="76">
        <f>'Expense Estimation'!I19</f>
        <v>614801.89236611186</v>
      </c>
      <c r="E17" s="82">
        <f>E16*(1+'Inflation estimation'!O32)</f>
        <v>19820.082671373901</v>
      </c>
      <c r="F17" s="78">
        <f t="shared" si="0"/>
        <v>453357.96513365244</v>
      </c>
      <c r="G17" s="76">
        <f t="shared" si="1"/>
        <v>136007.38954009573</v>
      </c>
      <c r="H17" s="79">
        <f t="shared" si="2"/>
        <v>317350.57559355674</v>
      </c>
      <c r="I17" s="47"/>
      <c r="J17" s="244">
        <v>2038</v>
      </c>
      <c r="K17" s="212">
        <f t="shared" si="6"/>
        <v>79337.643898389186</v>
      </c>
      <c r="L17" s="212">
        <f t="shared" si="3"/>
        <v>111072.70145774486</v>
      </c>
      <c r="M17" s="212">
        <f t="shared" si="4"/>
        <v>126940.2302374227</v>
      </c>
      <c r="N17" s="212">
        <f t="shared" si="5"/>
        <v>0</v>
      </c>
      <c r="O17" s="245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5" x14ac:dyDescent="0.35">
      <c r="A18" s="33"/>
      <c r="B18" s="80">
        <v>2039</v>
      </c>
      <c r="C18" s="81">
        <f>'Income Estimation '!G26</f>
        <v>1451248.2666922407</v>
      </c>
      <c r="D18" s="76">
        <f>'Expense Estimation'!I20</f>
        <v>629603.66178745974</v>
      </c>
      <c r="E18" s="82">
        <f>E17*(1+'Inflation estimation'!O33)</f>
        <v>20349.445719329251</v>
      </c>
      <c r="F18" s="78">
        <f t="shared" si="0"/>
        <v>801295.15918545169</v>
      </c>
      <c r="G18" s="76">
        <f t="shared" si="1"/>
        <v>240388.54775563549</v>
      </c>
      <c r="H18" s="79">
        <f t="shared" si="2"/>
        <v>560906.61142981623</v>
      </c>
      <c r="I18" s="47"/>
      <c r="J18" s="244">
        <v>2039</v>
      </c>
      <c r="K18" s="212">
        <f t="shared" si="6"/>
        <v>140226.65285745406</v>
      </c>
      <c r="L18" s="243"/>
      <c r="M18" s="212">
        <f>H18*$C$41</f>
        <v>224362.6445719265</v>
      </c>
      <c r="N18" s="212">
        <f>H18-SUM(K18:M18)</f>
        <v>196317.31400043564</v>
      </c>
      <c r="O18" s="365" t="s">
        <v>157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5" x14ac:dyDescent="0.35">
      <c r="A19" s="33"/>
      <c r="B19" s="80">
        <v>2040</v>
      </c>
      <c r="C19" s="81">
        <f>'Income Estimation '!G27</f>
        <v>1523810.6800268532</v>
      </c>
      <c r="D19" s="76">
        <f>'Expense Estimation'!I21</f>
        <v>644922.87020696211</v>
      </c>
      <c r="E19" s="82">
        <f>E18*(1+'Inflation estimation'!O34)</f>
        <v>20878.808767284478</v>
      </c>
      <c r="F19" s="78">
        <f t="shared" si="0"/>
        <v>858009.00105260662</v>
      </c>
      <c r="G19" s="76">
        <f t="shared" si="1"/>
        <v>257402.70031578199</v>
      </c>
      <c r="H19" s="79">
        <f t="shared" si="2"/>
        <v>600606.30073682463</v>
      </c>
      <c r="I19" s="47"/>
      <c r="J19" s="244">
        <v>2040</v>
      </c>
      <c r="K19" s="212">
        <f t="shared" si="6"/>
        <v>150151.57518420616</v>
      </c>
      <c r="L19" s="243"/>
      <c r="M19" s="212">
        <f t="shared" si="4"/>
        <v>240242.52029472985</v>
      </c>
      <c r="N19" s="212">
        <f t="shared" si="5"/>
        <v>210212.20525788865</v>
      </c>
      <c r="O19" s="366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5" x14ac:dyDescent="0.35">
      <c r="A20" s="33"/>
      <c r="B20" s="80">
        <v>2041</v>
      </c>
      <c r="C20" s="81">
        <f>'Income Estimation '!G28</f>
        <v>1600001.2140281957</v>
      </c>
      <c r="D20" s="76">
        <f>'Expense Estimation'!I22</f>
        <v>660784.94326614542</v>
      </c>
      <c r="E20" s="82">
        <f>E19*(1+'Inflation estimation'!O35)</f>
        <v>21408.171815239824</v>
      </c>
      <c r="F20" s="78">
        <f t="shared" si="0"/>
        <v>917808.09894681047</v>
      </c>
      <c r="G20" s="76">
        <f t="shared" si="1"/>
        <v>275342.42968404311</v>
      </c>
      <c r="H20" s="79">
        <f t="shared" si="2"/>
        <v>642465.6692627673</v>
      </c>
      <c r="I20" s="47"/>
      <c r="J20" s="244">
        <v>2041</v>
      </c>
      <c r="K20" s="212">
        <f t="shared" si="6"/>
        <v>160616.41731569183</v>
      </c>
      <c r="L20" s="243"/>
      <c r="M20" s="212">
        <f t="shared" si="4"/>
        <v>256986.26770510693</v>
      </c>
      <c r="N20" s="212">
        <f t="shared" si="5"/>
        <v>224862.98424196854</v>
      </c>
      <c r="O20" s="366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35">
      <c r="A21" s="33"/>
      <c r="B21" s="80">
        <v>2042</v>
      </c>
      <c r="C21" s="81">
        <f>'Income Estimation '!G29</f>
        <v>1551706.7708670076</v>
      </c>
      <c r="D21" s="76">
        <f>'Expense Estimation'!I23</f>
        <v>677216.55595814355</v>
      </c>
      <c r="E21" s="82">
        <f>E20*(1+'Inflation estimation'!O36)</f>
        <v>21937.534863195051</v>
      </c>
      <c r="F21" s="78">
        <f t="shared" si="0"/>
        <v>852552.68004566897</v>
      </c>
      <c r="G21" s="76">
        <f t="shared" si="1"/>
        <v>255765.80401370069</v>
      </c>
      <c r="H21" s="79">
        <f t="shared" si="2"/>
        <v>596786.87603196828</v>
      </c>
      <c r="I21" s="47"/>
      <c r="J21" s="244">
        <v>2042</v>
      </c>
      <c r="K21" s="212">
        <f t="shared" si="6"/>
        <v>149196.71900799207</v>
      </c>
      <c r="L21" s="243"/>
      <c r="M21" s="212">
        <f t="shared" si="4"/>
        <v>238714.75041278731</v>
      </c>
      <c r="N21" s="212">
        <f t="shared" si="5"/>
        <v>208875.4066111889</v>
      </c>
      <c r="O21" s="366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35">
      <c r="A22" s="33"/>
      <c r="B22" s="80">
        <v>2043</v>
      </c>
      <c r="C22" s="81">
        <f>'Income Estimation '!G30</f>
        <v>1847092.1094103579</v>
      </c>
      <c r="D22" s="76">
        <f>'Expense Estimation'!I24</f>
        <v>694245.69401768234</v>
      </c>
      <c r="E22" s="82">
        <f>E21*(1+'Inflation estimation'!O37)</f>
        <v>22466.897911150401</v>
      </c>
      <c r="F22" s="78">
        <f t="shared" si="0"/>
        <v>1130379.5174815252</v>
      </c>
      <c r="G22" s="76">
        <f t="shared" si="1"/>
        <v>339113.85524445755</v>
      </c>
      <c r="H22" s="79">
        <f t="shared" si="2"/>
        <v>791265.66223706771</v>
      </c>
      <c r="I22" s="47"/>
      <c r="J22" s="244">
        <v>2043</v>
      </c>
      <c r="K22" s="212">
        <f t="shared" si="6"/>
        <v>197816.41555926693</v>
      </c>
      <c r="L22" s="243"/>
      <c r="M22" s="212">
        <f t="shared" si="4"/>
        <v>316506.26489482709</v>
      </c>
      <c r="N22" s="212">
        <f t="shared" si="5"/>
        <v>276942.98178297369</v>
      </c>
      <c r="O22" s="366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35">
      <c r="A23" s="33"/>
      <c r="B23" s="80">
        <v>2044</v>
      </c>
      <c r="C23" s="81">
        <f>'Income Estimation '!G31</f>
        <v>1939446.7148808758</v>
      </c>
      <c r="D23" s="76">
        <f>'Expense Estimation'!I25</f>
        <v>711901.7183275891</v>
      </c>
      <c r="E23" s="82">
        <f>E22*(1+'Inflation estimation'!O38)</f>
        <v>22996.260959105632</v>
      </c>
      <c r="F23" s="78">
        <f t="shared" si="0"/>
        <v>1204548.7355941809</v>
      </c>
      <c r="G23" s="76">
        <f t="shared" si="1"/>
        <v>361364.62067825423</v>
      </c>
      <c r="H23" s="79">
        <f t="shared" si="2"/>
        <v>843184.11491592671</v>
      </c>
      <c r="I23" s="47"/>
      <c r="J23" s="246">
        <v>2044</v>
      </c>
      <c r="K23" s="212">
        <f t="shared" si="6"/>
        <v>210796.02872898168</v>
      </c>
      <c r="L23" s="243"/>
      <c r="M23" s="243"/>
      <c r="N23" s="212">
        <f t="shared" si="5"/>
        <v>632388.08618694497</v>
      </c>
      <c r="O23" s="36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35">
      <c r="A24" s="33"/>
      <c r="B24" s="80">
        <v>2045</v>
      </c>
      <c r="C24" s="81">
        <f>'Income Estimation '!G32</f>
        <v>1367788.0289285253</v>
      </c>
      <c r="D24" s="76">
        <f>'Expense Estimation'!I26</f>
        <v>730215.43249009736</v>
      </c>
      <c r="E24" s="82">
        <f>E23*(1+'Inflation estimation'!O39)</f>
        <v>23525.624007060978</v>
      </c>
      <c r="F24" s="78">
        <f t="shared" si="0"/>
        <v>614046.97243136691</v>
      </c>
      <c r="G24" s="76">
        <f t="shared" si="1"/>
        <v>184214.09172941008</v>
      </c>
      <c r="H24" s="79">
        <f t="shared" si="2"/>
        <v>429832.8807019568</v>
      </c>
      <c r="I24" s="47"/>
      <c r="J24" s="244">
        <v>2045</v>
      </c>
      <c r="K24" s="212">
        <f t="shared" si="6"/>
        <v>107458.2201754892</v>
      </c>
      <c r="L24" s="243"/>
      <c r="M24" s="243"/>
      <c r="N24" s="212">
        <f t="shared" si="5"/>
        <v>322374.6605264676</v>
      </c>
      <c r="O24" s="36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35">
      <c r="A25" s="33"/>
      <c r="B25" s="80">
        <v>2046</v>
      </c>
      <c r="C25" s="81">
        <f>'Income Estimation '!G33</f>
        <v>1436177.4303749516</v>
      </c>
      <c r="D25" s="76">
        <f>'Expense Estimation'!I27</f>
        <v>749219.15371841402</v>
      </c>
      <c r="E25" s="82">
        <f>E24*(1+'Inflation estimation'!O40)</f>
        <v>24054.987055016205</v>
      </c>
      <c r="F25" s="78">
        <f t="shared" si="0"/>
        <v>662903.28960152133</v>
      </c>
      <c r="G25" s="76">
        <f t="shared" si="1"/>
        <v>198870.98688045639</v>
      </c>
      <c r="H25" s="79">
        <f t="shared" si="2"/>
        <v>464032.30272106495</v>
      </c>
      <c r="I25" s="47"/>
      <c r="J25" s="244">
        <v>2046</v>
      </c>
      <c r="K25" s="212">
        <f t="shared" si="6"/>
        <v>116008.07568026624</v>
      </c>
      <c r="L25" s="243"/>
      <c r="M25" s="243"/>
      <c r="N25" s="212">
        <f t="shared" si="5"/>
        <v>348024.22704079869</v>
      </c>
      <c r="O25" s="366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35">
      <c r="A26" s="33"/>
      <c r="B26" s="80">
        <v>2047</v>
      </c>
      <c r="C26" s="81">
        <f>'Income Estimation '!G34</f>
        <v>1507986.3018936992</v>
      </c>
      <c r="D26" s="76">
        <f>'Expense Estimation'!I28</f>
        <v>768946.7872117376</v>
      </c>
      <c r="E26" s="82">
        <f>E25*(1+'Inflation estimation'!O41)</f>
        <v>24584.350102971552</v>
      </c>
      <c r="F26" s="78">
        <f t="shared" si="0"/>
        <v>714455.16457899008</v>
      </c>
      <c r="G26" s="76">
        <f t="shared" si="1"/>
        <v>214336.54937369702</v>
      </c>
      <c r="H26" s="79">
        <f t="shared" si="2"/>
        <v>500118.61520529306</v>
      </c>
      <c r="I26" s="47"/>
      <c r="J26" s="244">
        <v>2047</v>
      </c>
      <c r="K26" s="212">
        <f t="shared" si="6"/>
        <v>125029.65380132326</v>
      </c>
      <c r="L26" s="243"/>
      <c r="M26" s="243"/>
      <c r="N26" s="212">
        <f t="shared" si="5"/>
        <v>375088.96140396979</v>
      </c>
      <c r="O26" s="366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35">
      <c r="A27" s="33"/>
      <c r="B27" s="80">
        <v>2048</v>
      </c>
      <c r="C27" s="81">
        <f>'Income Estimation '!G35</f>
        <v>1583385.6169883846</v>
      </c>
      <c r="D27" s="76">
        <f>'Expense Estimation'!I29</f>
        <v>789433.90418485703</v>
      </c>
      <c r="E27" s="82">
        <f>E26*(1+'Inflation estimation'!O42)</f>
        <v>25113.713150926778</v>
      </c>
      <c r="F27" s="78">
        <f t="shared" si="0"/>
        <v>768837.99965260085</v>
      </c>
      <c r="G27" s="76">
        <f t="shared" si="1"/>
        <v>230651.39989578025</v>
      </c>
      <c r="H27" s="79">
        <f t="shared" si="2"/>
        <v>538186.59975682059</v>
      </c>
      <c r="I27" s="47"/>
      <c r="J27" s="244">
        <v>2048</v>
      </c>
      <c r="K27" s="212">
        <f t="shared" si="6"/>
        <v>134546.64993920515</v>
      </c>
      <c r="L27" s="243"/>
      <c r="M27" s="243"/>
      <c r="N27" s="212">
        <f t="shared" si="5"/>
        <v>403639.94981761544</v>
      </c>
      <c r="O27" s="366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35">
      <c r="A28" s="33"/>
      <c r="B28" s="80">
        <v>2049</v>
      </c>
      <c r="C28" s="81">
        <f>'Income Estimation '!G36</f>
        <v>1662554.8978378037</v>
      </c>
      <c r="D28" s="76">
        <f>'Expense Estimation'!I30</f>
        <v>810717.82373194559</v>
      </c>
      <c r="E28" s="82">
        <f>E27*(1+'Inflation estimation'!O43)</f>
        <v>25643.076198882005</v>
      </c>
      <c r="F28" s="78">
        <f t="shared" si="0"/>
        <v>826193.99790697615</v>
      </c>
      <c r="G28" s="76">
        <f t="shared" si="1"/>
        <v>247858.19937209284</v>
      </c>
      <c r="H28" s="79">
        <f t="shared" si="2"/>
        <v>578335.7985348833</v>
      </c>
      <c r="I28" s="47"/>
      <c r="J28" s="244">
        <v>2049</v>
      </c>
      <c r="K28" s="212">
        <f t="shared" si="6"/>
        <v>144583.94963372083</v>
      </c>
      <c r="L28" s="243"/>
      <c r="M28" s="243"/>
      <c r="N28" s="212">
        <f t="shared" si="5"/>
        <v>433751.84890116251</v>
      </c>
      <c r="O28" s="366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35">
      <c r="A29" s="33"/>
      <c r="B29" s="80">
        <v>2050</v>
      </c>
      <c r="C29" s="81">
        <f>'Income Estimation '!G37</f>
        <v>1745682.6427296938</v>
      </c>
      <c r="D29" s="76">
        <f>'Expense Estimation'!I31</f>
        <v>832837.6987129231</v>
      </c>
      <c r="E29" s="82">
        <f>E28*(1+'Inflation estimation'!O44)</f>
        <v>26172.439246837355</v>
      </c>
      <c r="F29" s="78">
        <f t="shared" si="0"/>
        <v>886672.50476993329</v>
      </c>
      <c r="G29" s="76">
        <f t="shared" si="1"/>
        <v>266001.75143097999</v>
      </c>
      <c r="H29" s="79">
        <f t="shared" si="2"/>
        <v>620670.75333895325</v>
      </c>
      <c r="I29" s="47"/>
      <c r="J29" s="244">
        <v>2050</v>
      </c>
      <c r="K29" s="212">
        <f t="shared" si="6"/>
        <v>155167.68833473831</v>
      </c>
      <c r="L29" s="243"/>
      <c r="M29" s="243"/>
      <c r="N29" s="212">
        <f t="shared" si="5"/>
        <v>465503.06500421494</v>
      </c>
      <c r="O29" s="366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35">
      <c r="A30" s="33"/>
      <c r="B30" s="80">
        <v>2051</v>
      </c>
      <c r="C30" s="81">
        <f>'Income Estimation '!G38</f>
        <v>1832966.7748661786</v>
      </c>
      <c r="D30" s="76">
        <f>'Expense Estimation'!I32</f>
        <v>855834.60586005449</v>
      </c>
      <c r="E30" s="82">
        <f>E29*(1+'Inflation estimation'!O45)</f>
        <v>26701.802294792582</v>
      </c>
      <c r="F30" s="78">
        <f t="shared" si="0"/>
        <v>950430.36671133153</v>
      </c>
      <c r="G30" s="76">
        <f t="shared" si="1"/>
        <v>285129.11001339945</v>
      </c>
      <c r="H30" s="79">
        <f t="shared" si="2"/>
        <v>665301.25669793203</v>
      </c>
      <c r="I30" s="47"/>
      <c r="J30" s="244">
        <v>2051</v>
      </c>
      <c r="K30" s="212">
        <f t="shared" si="6"/>
        <v>166325.31417448301</v>
      </c>
      <c r="L30" s="243"/>
      <c r="M30" s="243"/>
      <c r="N30" s="212">
        <f t="shared" si="5"/>
        <v>498975.94252344902</v>
      </c>
      <c r="O30" s="366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35">
      <c r="A31" s="33"/>
      <c r="B31" s="80">
        <v>2052</v>
      </c>
      <c r="C31" s="81">
        <f>'Income Estimation '!G39</f>
        <v>1924615.1136094877</v>
      </c>
      <c r="D31" s="76">
        <f>'Expense Estimation'!I33</f>
        <v>879751.64031217212</v>
      </c>
      <c r="E31" s="82">
        <f>E30*(1+'Inflation estimation'!O46)</f>
        <v>27231.165342747929</v>
      </c>
      <c r="F31" s="78">
        <f t="shared" si="0"/>
        <v>1017632.3079545676</v>
      </c>
      <c r="G31" s="76">
        <f t="shared" si="1"/>
        <v>305289.69238637027</v>
      </c>
      <c r="H31" s="79">
        <f t="shared" si="2"/>
        <v>712342.61556819733</v>
      </c>
      <c r="I31" s="47"/>
      <c r="J31" s="244">
        <v>2052</v>
      </c>
      <c r="K31" s="212">
        <f t="shared" si="6"/>
        <v>178085.65389204933</v>
      </c>
      <c r="L31" s="243"/>
      <c r="M31" s="243"/>
      <c r="N31" s="212">
        <f t="shared" si="5"/>
        <v>534256.961676148</v>
      </c>
      <c r="O31" s="36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35">
      <c r="A32" s="33"/>
      <c r="B32" s="80">
        <v>2053</v>
      </c>
      <c r="C32" s="81">
        <f>'Income Estimation '!G40</f>
        <v>2020845.8692899619</v>
      </c>
      <c r="D32" s="76">
        <f>'Expense Estimation'!I34</f>
        <v>904634.01479405165</v>
      </c>
      <c r="E32" s="82">
        <f>E31*(1+'Inflation estimation'!O47)</f>
        <v>27760.528390703155</v>
      </c>
      <c r="F32" s="78">
        <f t="shared" si="0"/>
        <v>1088451.3261052072</v>
      </c>
      <c r="G32" s="76">
        <f t="shared" si="1"/>
        <v>326535.39783156215</v>
      </c>
      <c r="H32" s="79">
        <f t="shared" si="2"/>
        <v>761915.928273645</v>
      </c>
      <c r="I32" s="47"/>
      <c r="J32" s="244">
        <v>2053</v>
      </c>
      <c r="K32" s="212">
        <f t="shared" si="6"/>
        <v>190478.98206841125</v>
      </c>
      <c r="L32" s="243"/>
      <c r="M32" s="243"/>
      <c r="N32" s="212">
        <f t="shared" si="5"/>
        <v>571436.94620523369</v>
      </c>
      <c r="O32" s="366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thickBot="1" x14ac:dyDescent="0.4">
      <c r="A33" s="33"/>
      <c r="B33" s="84">
        <v>2054</v>
      </c>
      <c r="C33" s="85">
        <f>'Income Estimation '!G41</f>
        <v>2121888.1627544602</v>
      </c>
      <c r="D33" s="86">
        <f>'Expense Estimation'!I35</f>
        <v>930529.16366922995</v>
      </c>
      <c r="E33" s="82">
        <f>E32*(1+'Inflation estimation'!O48)</f>
        <v>28289.891438658502</v>
      </c>
      <c r="F33" s="87">
        <f t="shared" si="0"/>
        <v>1163069.1076465719</v>
      </c>
      <c r="G33" s="86">
        <f t="shared" si="1"/>
        <v>348920.73229397158</v>
      </c>
      <c r="H33" s="88">
        <f t="shared" si="2"/>
        <v>814148.37535260036</v>
      </c>
      <c r="I33" s="47"/>
      <c r="J33" s="247">
        <v>2054</v>
      </c>
      <c r="K33" s="248">
        <f t="shared" si="6"/>
        <v>203537.09383815009</v>
      </c>
      <c r="L33" s="249"/>
      <c r="M33" s="250"/>
      <c r="N33" s="248">
        <f t="shared" si="5"/>
        <v>610611.28151445021</v>
      </c>
      <c r="O33" s="367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3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89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35">
      <c r="A36" s="33"/>
      <c r="B36" s="90"/>
      <c r="C36" s="91" t="s">
        <v>158</v>
      </c>
      <c r="D36" s="91" t="s">
        <v>159</v>
      </c>
      <c r="E36" s="92" t="s">
        <v>160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35">
      <c r="A37" s="33"/>
      <c r="B37" s="93" t="s">
        <v>161</v>
      </c>
      <c r="C37" s="65" t="s">
        <v>162</v>
      </c>
      <c r="D37" s="94">
        <v>0.04</v>
      </c>
      <c r="E37" s="95" t="s">
        <v>163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35">
      <c r="A38" s="33"/>
      <c r="B38" s="93" t="s">
        <v>164</v>
      </c>
      <c r="C38" s="65" t="s">
        <v>165</v>
      </c>
      <c r="D38" s="96">
        <v>7.4999999999999997E-2</v>
      </c>
      <c r="E38" s="95" t="s">
        <v>163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35">
      <c r="A39" s="33"/>
      <c r="B39" s="80"/>
      <c r="C39" s="65"/>
      <c r="D39" s="65"/>
      <c r="E39" s="95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35">
      <c r="A40" s="33"/>
      <c r="B40" s="93" t="s">
        <v>166</v>
      </c>
      <c r="C40" s="94">
        <v>0.35</v>
      </c>
      <c r="D40" s="96">
        <v>7.0999999999999994E-2</v>
      </c>
      <c r="E40" s="95" t="s">
        <v>163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35">
      <c r="A41" s="33"/>
      <c r="B41" s="93" t="s">
        <v>167</v>
      </c>
      <c r="C41" s="94">
        <v>0.4</v>
      </c>
      <c r="D41" s="96">
        <v>7.6999999999999999E-2</v>
      </c>
      <c r="E41" s="95" t="s">
        <v>163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35">
      <c r="A42" s="33"/>
      <c r="B42" s="93" t="s">
        <v>227</v>
      </c>
      <c r="C42" s="94">
        <v>0.25</v>
      </c>
      <c r="D42" s="94">
        <v>0.16</v>
      </c>
      <c r="E42" s="95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35">
      <c r="A43" s="33"/>
      <c r="B43" s="84"/>
      <c r="C43" s="97">
        <f>SUM(C38:C42)</f>
        <v>1</v>
      </c>
      <c r="D43" s="98"/>
      <c r="E43" s="9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35">
      <c r="A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35">
      <c r="A45" s="33"/>
      <c r="D45" s="33"/>
      <c r="E45" s="100" t="str">
        <f>B38</f>
        <v>5 year Time Deposit (Post Office)</v>
      </c>
      <c r="F45" s="101" t="s">
        <v>168</v>
      </c>
      <c r="G45" s="102">
        <f>D38</f>
        <v>7.4999999999999997E-2</v>
      </c>
      <c r="H45" s="33"/>
      <c r="I45" s="33"/>
      <c r="J45" s="341" t="str">
        <f>B40</f>
        <v>PPF (Post Office)</v>
      </c>
      <c r="K45" s="363"/>
      <c r="L45" s="368"/>
      <c r="M45" s="102" t="s">
        <v>168</v>
      </c>
      <c r="N45" s="102">
        <v>7.0999999999999994E-2</v>
      </c>
      <c r="O45" s="33"/>
      <c r="P45" s="103" t="str">
        <f>B42</f>
        <v>Mutual Funds (HSBC FlexiCap) for Darsh</v>
      </c>
      <c r="Q45" s="104" t="s">
        <v>169</v>
      </c>
      <c r="R45" s="105">
        <v>1.18E-2</v>
      </c>
      <c r="S45" s="102" t="s">
        <v>168</v>
      </c>
      <c r="T45" s="106">
        <v>0.16</v>
      </c>
      <c r="U45" s="33"/>
      <c r="V45" s="107" t="s">
        <v>170</v>
      </c>
      <c r="W45" s="33" t="s">
        <v>171</v>
      </c>
      <c r="X45" s="33"/>
      <c r="Y45" s="33"/>
      <c r="Z45" s="33"/>
    </row>
    <row r="46" spans="1:26" ht="15.75" customHeight="1" x14ac:dyDescent="0.35">
      <c r="A46" s="33"/>
      <c r="B46" s="73" t="s">
        <v>146</v>
      </c>
      <c r="C46" s="74" t="s">
        <v>152</v>
      </c>
      <c r="D46" s="33"/>
      <c r="E46" s="108" t="s">
        <v>146</v>
      </c>
      <c r="F46" s="109" t="s">
        <v>172</v>
      </c>
      <c r="G46" s="110" t="s">
        <v>173</v>
      </c>
      <c r="H46" s="33"/>
      <c r="I46" s="33"/>
      <c r="J46" s="108" t="s">
        <v>146</v>
      </c>
      <c r="K46" s="108" t="s">
        <v>174</v>
      </c>
      <c r="L46" s="109" t="s">
        <v>172</v>
      </c>
      <c r="M46" s="110" t="s">
        <v>175</v>
      </c>
      <c r="N46" s="110" t="s">
        <v>173</v>
      </c>
      <c r="O46" s="33"/>
      <c r="P46" s="108" t="s">
        <v>146</v>
      </c>
      <c r="Q46" s="108" t="s">
        <v>174</v>
      </c>
      <c r="R46" s="109" t="s">
        <v>172</v>
      </c>
      <c r="S46" s="110" t="s">
        <v>175</v>
      </c>
      <c r="T46" s="110" t="s">
        <v>173</v>
      </c>
      <c r="U46" s="33"/>
      <c r="V46" s="33"/>
      <c r="W46" s="33"/>
      <c r="X46" s="33"/>
      <c r="Y46" s="33"/>
      <c r="Z46" s="33"/>
    </row>
    <row r="47" spans="1:26" ht="15.75" customHeight="1" x14ac:dyDescent="0.35">
      <c r="A47" s="33"/>
      <c r="B47" s="75">
        <v>2024</v>
      </c>
      <c r="C47" s="79">
        <f>Investments!H3</f>
        <v>-25345.599999999999</v>
      </c>
      <c r="D47" s="33"/>
      <c r="E47" s="90">
        <v>2024</v>
      </c>
      <c r="F47" s="111">
        <f>'Jayesh''s assets'!B5-'Jayesh''s assets'!B4</f>
        <v>381904.6003709191</v>
      </c>
      <c r="G47" s="112">
        <f>F47*(1+$G$45)</f>
        <v>410547.44539873803</v>
      </c>
      <c r="H47" s="33"/>
      <c r="I47" s="33"/>
      <c r="J47" s="80">
        <v>2024</v>
      </c>
      <c r="K47" s="77">
        <f>L47</f>
        <v>-8870.9599999999991</v>
      </c>
      <c r="L47" s="113">
        <f>C47*$C$40</f>
        <v>-8870.9599999999991</v>
      </c>
      <c r="M47" s="114">
        <v>0</v>
      </c>
      <c r="N47" s="114">
        <f>K47*(1+N45)</f>
        <v>-9500.7981599999985</v>
      </c>
      <c r="O47" s="33"/>
      <c r="P47" s="75">
        <v>2024</v>
      </c>
      <c r="Q47" s="77">
        <f>R47</f>
        <v>-6261.6304799999998</v>
      </c>
      <c r="R47" s="113">
        <f t="shared" ref="R47:R77" si="7">$C$42*C47*(1-$R$45)</f>
        <v>-6261.6304799999998</v>
      </c>
      <c r="S47" s="115">
        <v>0</v>
      </c>
      <c r="T47" s="114">
        <f>Q47*(1+T45)-S47</f>
        <v>-7263.4913567999993</v>
      </c>
      <c r="U47" s="33"/>
      <c r="V47" s="33"/>
      <c r="W47" s="33"/>
      <c r="X47" s="33"/>
      <c r="Y47" s="33"/>
      <c r="Z47" s="33"/>
    </row>
    <row r="48" spans="1:26" ht="15.75" customHeight="1" x14ac:dyDescent="0.35">
      <c r="A48" s="33"/>
      <c r="B48" s="80">
        <v>2025</v>
      </c>
      <c r="C48" s="79">
        <f>Investments!H4</f>
        <v>101636.50724991973</v>
      </c>
      <c r="D48" s="33"/>
      <c r="E48" s="80">
        <v>2025</v>
      </c>
      <c r="F48" s="116">
        <v>0</v>
      </c>
      <c r="G48" s="117">
        <f t="shared" ref="G48:G55" si="8">G47*(1+$G$45)</f>
        <v>441338.50380364334</v>
      </c>
      <c r="H48" s="33"/>
      <c r="I48" s="33"/>
      <c r="J48" s="80">
        <v>2025</v>
      </c>
      <c r="K48" s="82">
        <f t="shared" ref="K48:K61" si="9">N47</f>
        <v>-9500.7981599999985</v>
      </c>
      <c r="L48" s="113">
        <f t="shared" ref="L48:L61" si="10">C48*$C$40</f>
        <v>35572.777537471899</v>
      </c>
      <c r="M48" s="114">
        <v>0</v>
      </c>
      <c r="N48" s="117">
        <f t="shared" ref="N48:N61" si="11">(K48+L48)*(1+$N$45)</f>
        <v>27923.089913272404</v>
      </c>
      <c r="O48" s="33"/>
      <c r="P48" s="80">
        <v>2025</v>
      </c>
      <c r="Q48" s="82">
        <f t="shared" ref="Q48:Q77" si="12">T47</f>
        <v>-7263.4913567999993</v>
      </c>
      <c r="R48" s="118">
        <f t="shared" si="7"/>
        <v>25109.299116092669</v>
      </c>
      <c r="S48" s="119">
        <v>0</v>
      </c>
      <c r="T48" s="117">
        <f t="shared" ref="T48:T77" si="13">(Q48+R48)*(1+$T$45)-S48</f>
        <v>20701.137000779498</v>
      </c>
      <c r="U48" s="33"/>
      <c r="V48" s="33"/>
      <c r="W48" s="33"/>
      <c r="X48" s="33"/>
      <c r="Y48" s="33"/>
      <c r="Z48" s="33"/>
    </row>
    <row r="49" spans="1:26" ht="15.75" customHeight="1" x14ac:dyDescent="0.35">
      <c r="A49" s="33"/>
      <c r="B49" s="80">
        <v>2026</v>
      </c>
      <c r="C49" s="79">
        <f>Investments!H5</f>
        <v>109329.84933595234</v>
      </c>
      <c r="D49" s="33"/>
      <c r="E49" s="80">
        <v>2026</v>
      </c>
      <c r="F49" s="116">
        <v>0</v>
      </c>
      <c r="G49" s="117">
        <f t="shared" si="8"/>
        <v>474438.89158891659</v>
      </c>
      <c r="H49" s="33"/>
      <c r="I49" s="33"/>
      <c r="J49" s="80">
        <v>2026</v>
      </c>
      <c r="K49" s="82">
        <f t="shared" si="9"/>
        <v>27923.089913272404</v>
      </c>
      <c r="L49" s="113">
        <f t="shared" si="10"/>
        <v>38265.447267583317</v>
      </c>
      <c r="M49" s="114">
        <v>0</v>
      </c>
      <c r="N49" s="117">
        <f t="shared" si="11"/>
        <v>70887.923320696471</v>
      </c>
      <c r="O49" s="33"/>
      <c r="P49" s="80">
        <v>2026</v>
      </c>
      <c r="Q49" s="82">
        <f t="shared" si="12"/>
        <v>20701.137000779498</v>
      </c>
      <c r="R49" s="118">
        <f t="shared" si="7"/>
        <v>27009.939278447026</v>
      </c>
      <c r="S49" s="119">
        <v>0</v>
      </c>
      <c r="T49" s="117">
        <f t="shared" si="13"/>
        <v>55344.848483902766</v>
      </c>
      <c r="U49" s="33"/>
      <c r="V49" s="33"/>
      <c r="W49" s="33"/>
      <c r="X49" s="33"/>
      <c r="Y49" s="33"/>
      <c r="Z49" s="33"/>
    </row>
    <row r="50" spans="1:26" ht="15.75" customHeight="1" x14ac:dyDescent="0.35">
      <c r="A50" s="33"/>
      <c r="B50" s="80">
        <v>2027</v>
      </c>
      <c r="C50" s="79">
        <f>Investments!H6</f>
        <v>117603.53568088682</v>
      </c>
      <c r="D50" s="33"/>
      <c r="E50" s="80">
        <v>2027</v>
      </c>
      <c r="F50" s="116">
        <v>0</v>
      </c>
      <c r="G50" s="117">
        <f t="shared" si="8"/>
        <v>510021.80845808535</v>
      </c>
      <c r="H50" s="33"/>
      <c r="I50" s="33"/>
      <c r="J50" s="80">
        <v>2027</v>
      </c>
      <c r="K50" s="82">
        <f t="shared" si="9"/>
        <v>70887.923320696471</v>
      </c>
      <c r="L50" s="113">
        <f t="shared" si="10"/>
        <v>41161.237488310384</v>
      </c>
      <c r="M50" s="114">
        <v>0</v>
      </c>
      <c r="N50" s="117">
        <f t="shared" si="11"/>
        <v>120004.65122644634</v>
      </c>
      <c r="O50" s="33"/>
      <c r="P50" s="80">
        <v>2027</v>
      </c>
      <c r="Q50" s="82">
        <f t="shared" si="12"/>
        <v>55344.848483902766</v>
      </c>
      <c r="R50" s="118">
        <f t="shared" si="7"/>
        <v>29053.953489963089</v>
      </c>
      <c r="S50" s="119">
        <v>0</v>
      </c>
      <c r="T50" s="117">
        <f t="shared" si="13"/>
        <v>97902.610289684395</v>
      </c>
      <c r="U50" s="33"/>
      <c r="V50" s="33"/>
      <c r="W50" s="33"/>
      <c r="X50" s="33"/>
      <c r="Y50" s="33"/>
      <c r="Z50" s="33"/>
    </row>
    <row r="51" spans="1:26" ht="15.75" customHeight="1" x14ac:dyDescent="0.35">
      <c r="A51" s="33"/>
      <c r="B51" s="80">
        <v>2028</v>
      </c>
      <c r="C51" s="79">
        <f>Investments!H7</f>
        <v>115781.3441220517</v>
      </c>
      <c r="D51" s="33"/>
      <c r="E51" s="120">
        <v>2028</v>
      </c>
      <c r="F51" s="121">
        <v>0</v>
      </c>
      <c r="G51" s="117">
        <f t="shared" si="8"/>
        <v>548273.4440924417</v>
      </c>
      <c r="H51" s="33"/>
      <c r="I51" s="33"/>
      <c r="J51" s="80">
        <v>2028</v>
      </c>
      <c r="K51" s="82">
        <f t="shared" si="9"/>
        <v>120004.65122644634</v>
      </c>
      <c r="L51" s="113">
        <f t="shared" si="10"/>
        <v>40523.470442718091</v>
      </c>
      <c r="M51" s="114">
        <v>0</v>
      </c>
      <c r="N51" s="117">
        <f t="shared" si="11"/>
        <v>171925.61830767509</v>
      </c>
      <c r="O51" s="33"/>
      <c r="P51" s="80">
        <v>2028</v>
      </c>
      <c r="Q51" s="82">
        <f t="shared" si="12"/>
        <v>97902.610289684395</v>
      </c>
      <c r="R51" s="118">
        <f t="shared" si="7"/>
        <v>28603.781065352872</v>
      </c>
      <c r="S51" s="119">
        <v>0</v>
      </c>
      <c r="T51" s="117">
        <f t="shared" si="13"/>
        <v>146747.41397184323</v>
      </c>
      <c r="U51" s="33"/>
      <c r="V51" s="33"/>
      <c r="W51" s="33"/>
      <c r="X51" s="33"/>
      <c r="Y51" s="33"/>
      <c r="Z51" s="33"/>
    </row>
    <row r="52" spans="1:26" ht="15.75" customHeight="1" x14ac:dyDescent="0.35">
      <c r="A52" s="33"/>
      <c r="B52" s="80">
        <v>2029</v>
      </c>
      <c r="C52" s="79">
        <f>Investments!H8</f>
        <v>124641.88030483694</v>
      </c>
      <c r="D52" s="122" t="s">
        <v>176</v>
      </c>
      <c r="E52" s="90">
        <v>2029</v>
      </c>
      <c r="F52" s="111">
        <v>0</v>
      </c>
      <c r="G52" s="117">
        <f>G51*(1+$G$45)</f>
        <v>589393.9523993748</v>
      </c>
      <c r="H52" s="33"/>
      <c r="I52" s="33"/>
      <c r="J52" s="80">
        <v>2029</v>
      </c>
      <c r="K52" s="82">
        <f t="shared" si="9"/>
        <v>171925.61830767509</v>
      </c>
      <c r="L52" s="113">
        <f t="shared" si="10"/>
        <v>43624.658106692928</v>
      </c>
      <c r="M52" s="114">
        <v>0</v>
      </c>
      <c r="N52" s="117">
        <f t="shared" si="11"/>
        <v>230854.34603978813</v>
      </c>
      <c r="O52" s="33"/>
      <c r="P52" s="80">
        <v>2029</v>
      </c>
      <c r="Q52" s="82">
        <f t="shared" si="12"/>
        <v>146747.41397184323</v>
      </c>
      <c r="R52" s="118">
        <f t="shared" si="7"/>
        <v>30792.776529309966</v>
      </c>
      <c r="S52" s="119">
        <v>0</v>
      </c>
      <c r="T52" s="117">
        <f t="shared" si="13"/>
        <v>205946.62098133768</v>
      </c>
      <c r="U52" s="33"/>
      <c r="V52" s="33"/>
      <c r="W52" s="33"/>
      <c r="X52" s="33"/>
      <c r="Y52" s="33"/>
      <c r="Z52" s="33"/>
    </row>
    <row r="53" spans="1:26" ht="15.75" customHeight="1" x14ac:dyDescent="0.35">
      <c r="A53" s="33"/>
      <c r="B53" s="80">
        <v>2030</v>
      </c>
      <c r="C53" s="79">
        <f>Investments!H9</f>
        <v>230566.42963542254</v>
      </c>
      <c r="D53" s="33"/>
      <c r="E53" s="80">
        <v>2030</v>
      </c>
      <c r="F53" s="116">
        <v>0</v>
      </c>
      <c r="G53" s="117">
        <f t="shared" si="8"/>
        <v>633598.49882932787</v>
      </c>
      <c r="H53" s="33"/>
      <c r="I53" s="33"/>
      <c r="J53" s="80">
        <v>2030</v>
      </c>
      <c r="K53" s="82">
        <f t="shared" si="9"/>
        <v>230854.34603978813</v>
      </c>
      <c r="L53" s="113">
        <f t="shared" si="10"/>
        <v>80698.250372397888</v>
      </c>
      <c r="M53" s="114">
        <v>0</v>
      </c>
      <c r="N53" s="117">
        <f t="shared" si="11"/>
        <v>333672.83075745124</v>
      </c>
      <c r="O53" s="33"/>
      <c r="P53" s="80">
        <v>2030</v>
      </c>
      <c r="Q53" s="82">
        <f t="shared" si="12"/>
        <v>205946.62098133768</v>
      </c>
      <c r="R53" s="118">
        <f t="shared" si="7"/>
        <v>56961.436441431135</v>
      </c>
      <c r="S53" s="119">
        <v>0</v>
      </c>
      <c r="T53" s="117">
        <f t="shared" si="13"/>
        <v>304973.34661041177</v>
      </c>
      <c r="U53" s="33"/>
      <c r="V53" s="33"/>
      <c r="W53" s="33"/>
      <c r="X53" s="33"/>
      <c r="Y53" s="33"/>
      <c r="Z53" s="33"/>
    </row>
    <row r="54" spans="1:26" ht="15.75" customHeight="1" x14ac:dyDescent="0.35">
      <c r="A54" s="33"/>
      <c r="B54" s="80">
        <v>2031</v>
      </c>
      <c r="C54" s="79">
        <f>Investments!H10</f>
        <v>245679.37031801557</v>
      </c>
      <c r="E54" s="80">
        <v>2031</v>
      </c>
      <c r="F54" s="116">
        <v>0</v>
      </c>
      <c r="G54" s="117">
        <f t="shared" si="8"/>
        <v>681118.38624152739</v>
      </c>
      <c r="H54" s="33"/>
      <c r="I54" s="33"/>
      <c r="J54" s="80">
        <v>2031</v>
      </c>
      <c r="K54" s="82">
        <f t="shared" si="9"/>
        <v>333672.83075745124</v>
      </c>
      <c r="L54" s="113">
        <f t="shared" si="10"/>
        <v>85987.77961130545</v>
      </c>
      <c r="M54" s="114">
        <v>0</v>
      </c>
      <c r="N54" s="117">
        <f t="shared" si="11"/>
        <v>449456.51370493841</v>
      </c>
      <c r="O54" s="33"/>
      <c r="P54" s="80">
        <v>2031</v>
      </c>
      <c r="Q54" s="82">
        <f t="shared" si="12"/>
        <v>304973.34661041177</v>
      </c>
      <c r="R54" s="118">
        <f t="shared" si="7"/>
        <v>60695.088437065744</v>
      </c>
      <c r="S54" s="119">
        <v>0</v>
      </c>
      <c r="T54" s="117">
        <f t="shared" si="13"/>
        <v>424175.38465507387</v>
      </c>
      <c r="U54" s="33"/>
      <c r="V54" s="33"/>
      <c r="W54" s="33"/>
      <c r="X54" s="33"/>
      <c r="Y54" s="33"/>
      <c r="Z54" s="33"/>
    </row>
    <row r="55" spans="1:26" ht="15.75" customHeight="1" x14ac:dyDescent="0.35">
      <c r="A55" s="33"/>
      <c r="B55" s="80">
        <v>2032</v>
      </c>
      <c r="C55" s="79">
        <f>Investments!H11</f>
        <v>352969.12637304247</v>
      </c>
      <c r="E55" s="80">
        <v>2032</v>
      </c>
      <c r="F55" s="116">
        <v>0</v>
      </c>
      <c r="G55" s="117">
        <f t="shared" si="8"/>
        <v>732202.26520964189</v>
      </c>
      <c r="H55" s="33"/>
      <c r="I55" s="33"/>
      <c r="J55" s="80">
        <v>2032</v>
      </c>
      <c r="K55" s="82">
        <f t="shared" si="9"/>
        <v>449456.51370493841</v>
      </c>
      <c r="L55" s="113">
        <f t="shared" si="10"/>
        <v>123539.19423056486</v>
      </c>
      <c r="M55" s="114">
        <v>0</v>
      </c>
      <c r="N55" s="117">
        <f t="shared" si="11"/>
        <v>613678.40319892392</v>
      </c>
      <c r="O55" s="33"/>
      <c r="P55" s="80">
        <v>2032</v>
      </c>
      <c r="Q55" s="82">
        <f t="shared" si="12"/>
        <v>424175.38465507387</v>
      </c>
      <c r="R55" s="118">
        <f t="shared" si="7"/>
        <v>87201.022670460137</v>
      </c>
      <c r="S55" s="119">
        <v>0</v>
      </c>
      <c r="T55" s="117">
        <f t="shared" si="13"/>
        <v>593196.63249761949</v>
      </c>
      <c r="U55" s="33"/>
      <c r="V55" s="33"/>
      <c r="W55" s="33"/>
      <c r="X55" s="33"/>
      <c r="Y55" s="33"/>
      <c r="Z55" s="33"/>
    </row>
    <row r="56" spans="1:26" ht="15.75" customHeight="1" x14ac:dyDescent="0.35">
      <c r="A56" s="33"/>
      <c r="B56" s="80">
        <v>2033</v>
      </c>
      <c r="C56" s="79">
        <f>Investments!H12</f>
        <v>373857.94753729692</v>
      </c>
      <c r="E56" s="84">
        <v>2033</v>
      </c>
      <c r="F56" s="123">
        <v>0</v>
      </c>
      <c r="G56" s="124">
        <f>1039269.11*0.5</f>
        <v>519634.55499999999</v>
      </c>
      <c r="H56" s="125" t="s">
        <v>177</v>
      </c>
      <c r="I56" s="33"/>
      <c r="J56" s="80">
        <v>2033</v>
      </c>
      <c r="K56" s="82">
        <f t="shared" si="9"/>
        <v>613678.40319892392</v>
      </c>
      <c r="L56" s="113">
        <f t="shared" si="10"/>
        <v>130850.28163805392</v>
      </c>
      <c r="M56" s="114">
        <v>0</v>
      </c>
      <c r="N56" s="117">
        <f t="shared" si="11"/>
        <v>797390.22146040329</v>
      </c>
      <c r="O56" s="33"/>
      <c r="P56" s="80">
        <v>2033</v>
      </c>
      <c r="Q56" s="82">
        <f t="shared" si="12"/>
        <v>593196.63249761949</v>
      </c>
      <c r="R56" s="118">
        <f t="shared" si="7"/>
        <v>92361.605939089204</v>
      </c>
      <c r="S56" s="119">
        <v>0</v>
      </c>
      <c r="T56" s="117">
        <f t="shared" si="13"/>
        <v>795247.55658658198</v>
      </c>
      <c r="U56" s="33"/>
      <c r="V56" s="33"/>
      <c r="W56" s="33"/>
      <c r="X56" s="33"/>
      <c r="Y56" s="33"/>
      <c r="Z56" s="33"/>
    </row>
    <row r="57" spans="1:26" ht="15.75" customHeight="1" x14ac:dyDescent="0.35">
      <c r="A57" s="33"/>
      <c r="B57" s="80">
        <v>2034</v>
      </c>
      <c r="C57" s="79">
        <f>Investments!H13</f>
        <v>395960.85011261073</v>
      </c>
      <c r="E57" s="33"/>
      <c r="F57" s="126"/>
      <c r="G57" s="127"/>
      <c r="H57" s="33"/>
      <c r="I57" s="33"/>
      <c r="J57" s="80">
        <v>2034</v>
      </c>
      <c r="K57" s="82">
        <f t="shared" si="9"/>
        <v>797390.22146040329</v>
      </c>
      <c r="L57" s="113">
        <f t="shared" si="10"/>
        <v>138586.29753941373</v>
      </c>
      <c r="M57" s="114">
        <v>0</v>
      </c>
      <c r="N57" s="117">
        <f t="shared" si="11"/>
        <v>1002430.851848804</v>
      </c>
      <c r="O57" s="33"/>
      <c r="P57" s="80">
        <v>2034</v>
      </c>
      <c r="Q57" s="82">
        <f t="shared" si="12"/>
        <v>795247.55658658198</v>
      </c>
      <c r="R57" s="118">
        <f t="shared" si="7"/>
        <v>97822.128020320481</v>
      </c>
      <c r="S57" s="119">
        <v>0</v>
      </c>
      <c r="T57" s="117">
        <f t="shared" si="13"/>
        <v>1035960.8341440067</v>
      </c>
      <c r="U57" s="33"/>
      <c r="V57" s="33"/>
      <c r="W57" s="33"/>
      <c r="X57" s="33"/>
      <c r="Y57" s="33"/>
      <c r="Z57" s="33"/>
    </row>
    <row r="58" spans="1:26" ht="15.75" customHeight="1" x14ac:dyDescent="0.35">
      <c r="A58" s="33"/>
      <c r="B58" s="80">
        <v>2035</v>
      </c>
      <c r="C58" s="79">
        <f>Investments!H14</f>
        <v>419340.06100846024</v>
      </c>
      <c r="E58" s="33"/>
      <c r="F58" s="33"/>
      <c r="G58" s="33"/>
      <c r="H58" s="33"/>
      <c r="I58" s="33"/>
      <c r="J58" s="80">
        <v>2035</v>
      </c>
      <c r="K58" s="82">
        <f t="shared" si="9"/>
        <v>1002430.851848804</v>
      </c>
      <c r="L58" s="113">
        <f t="shared" si="10"/>
        <v>146769.02135296108</v>
      </c>
      <c r="M58" s="114">
        <v>0</v>
      </c>
      <c r="N58" s="117">
        <f t="shared" si="11"/>
        <v>1230793.0641990905</v>
      </c>
      <c r="O58" s="33"/>
      <c r="P58" s="80">
        <v>2035</v>
      </c>
      <c r="Q58" s="82">
        <f t="shared" si="12"/>
        <v>1035960.8341440067</v>
      </c>
      <c r="R58" s="118">
        <f t="shared" si="7"/>
        <v>103597.9620721401</v>
      </c>
      <c r="S58" s="119">
        <v>0</v>
      </c>
      <c r="T58" s="117">
        <f t="shared" si="13"/>
        <v>1321888.2036107301</v>
      </c>
      <c r="U58" s="33"/>
      <c r="V58" s="33"/>
      <c r="W58" s="33"/>
      <c r="X58" s="33"/>
      <c r="Y58" s="33"/>
      <c r="Z58" s="33"/>
    </row>
    <row r="59" spans="1:26" ht="15.75" customHeight="1" x14ac:dyDescent="0.35">
      <c r="A59" s="33"/>
      <c r="B59" s="80">
        <v>2036</v>
      </c>
      <c r="C59" s="79">
        <f>Investments!H15</f>
        <v>396631.92606427672</v>
      </c>
      <c r="E59" s="33"/>
      <c r="F59" s="33"/>
      <c r="G59" s="33"/>
      <c r="H59" s="33"/>
      <c r="I59" s="33"/>
      <c r="J59" s="80">
        <v>2036</v>
      </c>
      <c r="K59" s="82">
        <f t="shared" si="9"/>
        <v>1230793.0641990905</v>
      </c>
      <c r="L59" s="113">
        <f t="shared" si="10"/>
        <v>138821.17412249683</v>
      </c>
      <c r="M59" s="114">
        <v>0</v>
      </c>
      <c r="N59" s="117">
        <f t="shared" si="11"/>
        <v>1466856.8492424199</v>
      </c>
      <c r="O59" s="33"/>
      <c r="P59" s="80">
        <v>2036</v>
      </c>
      <c r="Q59" s="82">
        <f t="shared" si="12"/>
        <v>1321888.2036107301</v>
      </c>
      <c r="R59" s="118">
        <f t="shared" si="7"/>
        <v>97987.917334179554</v>
      </c>
      <c r="S59" s="119">
        <v>0</v>
      </c>
      <c r="T59" s="117">
        <f t="shared" si="13"/>
        <v>1647056.3002960952</v>
      </c>
      <c r="U59" s="33"/>
      <c r="V59" s="33"/>
      <c r="W59" s="33"/>
      <c r="X59" s="33"/>
      <c r="Y59" s="33"/>
      <c r="Z59" s="33"/>
    </row>
    <row r="60" spans="1:26" ht="15.75" customHeight="1" x14ac:dyDescent="0.35">
      <c r="A60" s="33"/>
      <c r="B60" s="80">
        <v>2037</v>
      </c>
      <c r="C60" s="79">
        <f>Investments!H16</f>
        <v>421304.98768963001</v>
      </c>
      <c r="E60" s="341" t="str">
        <f>B37</f>
        <v>Post Office Savings A/c</v>
      </c>
      <c r="F60" s="368"/>
      <c r="G60" s="102" t="s">
        <v>168</v>
      </c>
      <c r="H60" s="102">
        <v>0.04</v>
      </c>
      <c r="I60" s="33"/>
      <c r="J60" s="80">
        <v>2037</v>
      </c>
      <c r="K60" s="82">
        <f t="shared" si="9"/>
        <v>1466856.8492424199</v>
      </c>
      <c r="L60" s="113">
        <f t="shared" si="10"/>
        <v>147456.74569137048</v>
      </c>
      <c r="M60" s="114">
        <v>0</v>
      </c>
      <c r="N60" s="117">
        <f t="shared" si="11"/>
        <v>1728929.8601740894</v>
      </c>
      <c r="O60" s="33"/>
      <c r="P60" s="80">
        <v>2037</v>
      </c>
      <c r="Q60" s="82">
        <f t="shared" si="12"/>
        <v>1647056.3002960952</v>
      </c>
      <c r="R60" s="118">
        <f t="shared" si="7"/>
        <v>104083.39720872309</v>
      </c>
      <c r="S60" s="119">
        <v>0</v>
      </c>
      <c r="T60" s="117">
        <f t="shared" si="13"/>
        <v>2031322.049105589</v>
      </c>
      <c r="U60" s="33"/>
      <c r="V60" s="33"/>
      <c r="W60" s="33"/>
      <c r="X60" s="33"/>
      <c r="Y60" s="33"/>
      <c r="Z60" s="33"/>
    </row>
    <row r="61" spans="1:26" ht="15.75" customHeight="1" x14ac:dyDescent="0.35">
      <c r="A61" s="33"/>
      <c r="B61" s="80">
        <v>2038</v>
      </c>
      <c r="C61" s="79">
        <f>Investments!H17</f>
        <v>317350.57559355674</v>
      </c>
      <c r="E61" s="108" t="s">
        <v>146</v>
      </c>
      <c r="F61" s="109" t="s">
        <v>178</v>
      </c>
      <c r="G61" s="110" t="s">
        <v>175</v>
      </c>
      <c r="H61" s="110" t="s">
        <v>173</v>
      </c>
      <c r="I61" s="33"/>
      <c r="J61" s="84">
        <v>2038</v>
      </c>
      <c r="K61" s="128">
        <f t="shared" si="9"/>
        <v>1728929.8601740894</v>
      </c>
      <c r="L61" s="129">
        <f t="shared" si="10"/>
        <v>111072.70145774486</v>
      </c>
      <c r="M61" s="130">
        <v>0</v>
      </c>
      <c r="N61" s="124">
        <f t="shared" si="11"/>
        <v>1970642.7435076945</v>
      </c>
      <c r="O61" s="125" t="s">
        <v>179</v>
      </c>
      <c r="P61" s="80">
        <v>2038</v>
      </c>
      <c r="Q61" s="82">
        <f t="shared" si="12"/>
        <v>2031322.049105589</v>
      </c>
      <c r="R61" s="118">
        <f t="shared" si="7"/>
        <v>78401.459700388194</v>
      </c>
      <c r="S61" s="119">
        <f>'Goal Fulfilment'!E15</f>
        <v>1849434.4117455063</v>
      </c>
      <c r="T61" s="117">
        <f t="shared" si="13"/>
        <v>597844.8584694271</v>
      </c>
      <c r="U61" s="33"/>
      <c r="V61" s="33"/>
      <c r="W61" s="33"/>
      <c r="X61" s="33"/>
      <c r="Y61" s="33"/>
      <c r="Z61" s="33"/>
    </row>
    <row r="62" spans="1:26" ht="15.75" customHeight="1" x14ac:dyDescent="0.35">
      <c r="A62" s="33"/>
      <c r="B62" s="80">
        <v>2039</v>
      </c>
      <c r="C62" s="79">
        <f>Investments!H18</f>
        <v>560906.61142981623</v>
      </c>
      <c r="E62" s="80">
        <v>2024</v>
      </c>
      <c r="F62" s="113">
        <f>G3</f>
        <v>-10862.4</v>
      </c>
      <c r="G62" s="114">
        <v>0</v>
      </c>
      <c r="H62" s="114">
        <v>-10862</v>
      </c>
      <c r="I62" s="33"/>
      <c r="J62" s="33"/>
      <c r="K62" s="33"/>
      <c r="L62" s="33"/>
      <c r="M62" s="33"/>
      <c r="N62" s="33"/>
      <c r="O62" s="33"/>
      <c r="P62" s="80">
        <v>2039</v>
      </c>
      <c r="Q62" s="82">
        <f t="shared" si="12"/>
        <v>597844.8584694271</v>
      </c>
      <c r="R62" s="118">
        <f t="shared" si="7"/>
        <v>138571.97835373611</v>
      </c>
      <c r="S62" s="119">
        <v>0</v>
      </c>
      <c r="T62" s="117">
        <f t="shared" si="13"/>
        <v>854243.53071486927</v>
      </c>
      <c r="U62" s="33"/>
      <c r="V62" s="33"/>
      <c r="W62" s="33"/>
      <c r="X62" s="33"/>
      <c r="Y62" s="33"/>
      <c r="Z62" s="33"/>
    </row>
    <row r="63" spans="1:26" ht="15.75" customHeight="1" x14ac:dyDescent="0.35">
      <c r="A63" s="33"/>
      <c r="B63" s="80">
        <v>2040</v>
      </c>
      <c r="C63" s="79">
        <f>Investments!H19</f>
        <v>600606.30073682463</v>
      </c>
      <c r="E63" s="80">
        <v>2025</v>
      </c>
      <c r="F63" s="113">
        <f>G4</f>
        <v>43558.503107108445</v>
      </c>
      <c r="G63" s="131">
        <v>0</v>
      </c>
      <c r="H63" s="117">
        <f>F63-G63</f>
        <v>43558.503107108445</v>
      </c>
      <c r="I63" s="33"/>
      <c r="J63" s="26" t="s">
        <v>180</v>
      </c>
      <c r="K63" s="33"/>
      <c r="L63" s="33"/>
      <c r="M63" s="33"/>
      <c r="N63" s="33"/>
      <c r="O63" s="33"/>
      <c r="P63" s="80">
        <v>2040</v>
      </c>
      <c r="Q63" s="82">
        <f t="shared" si="12"/>
        <v>854243.53071486927</v>
      </c>
      <c r="R63" s="118">
        <f t="shared" si="7"/>
        <v>148379.78659703251</v>
      </c>
      <c r="S63" s="119">
        <v>0</v>
      </c>
      <c r="T63" s="117">
        <f t="shared" si="13"/>
        <v>1163043.0480818059</v>
      </c>
      <c r="U63" s="33"/>
      <c r="V63" s="33"/>
      <c r="W63" s="33"/>
      <c r="X63" s="33"/>
      <c r="Y63" s="33"/>
      <c r="Z63" s="33"/>
    </row>
    <row r="64" spans="1:26" ht="15.75" customHeight="1" x14ac:dyDescent="0.35">
      <c r="A64" s="33"/>
      <c r="B64" s="80">
        <v>2041</v>
      </c>
      <c r="C64" s="79">
        <f>Investments!H20</f>
        <v>642465.6692627673</v>
      </c>
      <c r="E64" s="80">
        <v>2026</v>
      </c>
      <c r="F64" s="113">
        <f t="shared" ref="F64:F71" si="14">G5</f>
        <v>46855.649715408137</v>
      </c>
      <c r="G64" s="114">
        <v>0</v>
      </c>
      <c r="H64" s="117">
        <f t="shared" ref="H64:H92" si="15">(H63+F64)*(1+$H$60)-G64</f>
        <v>94030.718935417244</v>
      </c>
      <c r="I64" s="33"/>
      <c r="J64" s="341" t="str">
        <f>B41</f>
        <v>5 year NSC (Post Office)</v>
      </c>
      <c r="K64" s="363"/>
      <c r="L64" s="368"/>
      <c r="M64" s="102" t="s">
        <v>168</v>
      </c>
      <c r="N64" s="102">
        <f>D41</f>
        <v>7.6999999999999999E-2</v>
      </c>
      <c r="O64" s="33"/>
      <c r="P64" s="80">
        <v>2041</v>
      </c>
      <c r="Q64" s="82">
        <f t="shared" si="12"/>
        <v>1163043.0480818059</v>
      </c>
      <c r="R64" s="118">
        <f t="shared" si="7"/>
        <v>158721.14359136665</v>
      </c>
      <c r="S64" s="119">
        <v>0</v>
      </c>
      <c r="T64" s="117">
        <f t="shared" si="13"/>
        <v>1533246.4623408802</v>
      </c>
      <c r="U64" s="33"/>
      <c r="V64" s="33"/>
      <c r="W64" s="33"/>
      <c r="X64" s="33"/>
      <c r="Y64" s="33"/>
      <c r="Z64" s="33"/>
    </row>
    <row r="65" spans="1:26" ht="15.75" customHeight="1" x14ac:dyDescent="0.35">
      <c r="A65" s="33"/>
      <c r="B65" s="80">
        <v>2042</v>
      </c>
      <c r="C65" s="79">
        <f>Investments!H21</f>
        <v>596786.87603196828</v>
      </c>
      <c r="E65" s="80">
        <v>2027</v>
      </c>
      <c r="F65" s="113">
        <f t="shared" si="14"/>
        <v>50401.515291808639</v>
      </c>
      <c r="G65" s="114">
        <v>0</v>
      </c>
      <c r="H65" s="117">
        <f t="shared" si="15"/>
        <v>150209.52359631492</v>
      </c>
      <c r="I65" s="33"/>
      <c r="J65" s="108" t="s">
        <v>146</v>
      </c>
      <c r="K65" s="108" t="s">
        <v>174</v>
      </c>
      <c r="L65" s="109" t="s">
        <v>172</v>
      </c>
      <c r="M65" s="110" t="s">
        <v>175</v>
      </c>
      <c r="N65" s="110" t="s">
        <v>173</v>
      </c>
      <c r="O65" s="33"/>
      <c r="P65" s="80">
        <v>2042</v>
      </c>
      <c r="Q65" s="82">
        <f t="shared" si="12"/>
        <v>1533246.4623408802</v>
      </c>
      <c r="R65" s="118">
        <f t="shared" si="7"/>
        <v>147436.19772369775</v>
      </c>
      <c r="S65" s="119">
        <v>0</v>
      </c>
      <c r="T65" s="117">
        <f t="shared" si="13"/>
        <v>1949591.8856749104</v>
      </c>
      <c r="U65" s="33"/>
      <c r="V65" s="33"/>
      <c r="W65" s="33"/>
      <c r="X65" s="33"/>
      <c r="Y65" s="33"/>
      <c r="Z65" s="33"/>
    </row>
    <row r="66" spans="1:26" ht="15.75" customHeight="1" x14ac:dyDescent="0.35">
      <c r="A66" s="33"/>
      <c r="B66" s="80">
        <v>2043</v>
      </c>
      <c r="C66" s="79">
        <f>Investments!H22</f>
        <v>791265.66223706771</v>
      </c>
      <c r="E66" s="80">
        <v>2028</v>
      </c>
      <c r="F66" s="113">
        <f t="shared" si="14"/>
        <v>49620.576052307872</v>
      </c>
      <c r="G66" s="114">
        <v>0</v>
      </c>
      <c r="H66" s="117">
        <f t="shared" si="15"/>
        <v>207823.30363456771</v>
      </c>
      <c r="I66" s="33"/>
      <c r="J66" s="90">
        <v>2024</v>
      </c>
      <c r="K66" s="132">
        <f>L66</f>
        <v>-10138.24</v>
      </c>
      <c r="L66" s="113">
        <f t="shared" ref="L66:L75" si="16">C47*$C$41</f>
        <v>-10138.24</v>
      </c>
      <c r="M66" s="112">
        <v>0</v>
      </c>
      <c r="N66" s="112">
        <f>K66*(1+N64)</f>
        <v>-10918.884479999999</v>
      </c>
      <c r="O66" s="33"/>
      <c r="P66" s="80">
        <v>2043</v>
      </c>
      <c r="Q66" s="82">
        <f t="shared" si="12"/>
        <v>1949591.8856749104</v>
      </c>
      <c r="R66" s="118">
        <f t="shared" si="7"/>
        <v>195482.18185566756</v>
      </c>
      <c r="S66" s="119">
        <v>0</v>
      </c>
      <c r="T66" s="117">
        <f t="shared" si="13"/>
        <v>2488285.9183354704</v>
      </c>
      <c r="U66" s="33"/>
      <c r="V66" s="33"/>
      <c r="W66" s="33"/>
      <c r="X66" s="33"/>
      <c r="Y66" s="33"/>
      <c r="Z66" s="33"/>
    </row>
    <row r="67" spans="1:26" ht="15.75" customHeight="1" x14ac:dyDescent="0.35">
      <c r="A67" s="33"/>
      <c r="B67" s="80">
        <v>2044</v>
      </c>
      <c r="C67" s="79">
        <f>Investments!H23</f>
        <v>843184.11491592671</v>
      </c>
      <c r="E67" s="80">
        <v>2029</v>
      </c>
      <c r="F67" s="113">
        <f t="shared" si="14"/>
        <v>53417.948702072972</v>
      </c>
      <c r="G67" s="114">
        <v>0</v>
      </c>
      <c r="H67" s="117">
        <f t="shared" si="15"/>
        <v>271690.9024301063</v>
      </c>
      <c r="I67" s="33"/>
      <c r="J67" s="80">
        <v>2025</v>
      </c>
      <c r="K67" s="82">
        <f t="shared" ref="K67:K75" si="17">N66</f>
        <v>-10918.884479999999</v>
      </c>
      <c r="L67" s="118">
        <f t="shared" si="16"/>
        <v>40654.602899967897</v>
      </c>
      <c r="M67" s="114">
        <v>0</v>
      </c>
      <c r="N67" s="117">
        <f t="shared" ref="N67:N75" si="18">(K67+L67)*(1+$N$45)</f>
        <v>31846.954427785615</v>
      </c>
      <c r="O67" s="33"/>
      <c r="P67" s="133">
        <v>2044</v>
      </c>
      <c r="Q67" s="134">
        <f t="shared" si="12"/>
        <v>2488285.9183354704</v>
      </c>
      <c r="R67" s="135">
        <f t="shared" si="7"/>
        <v>208308.63558997968</v>
      </c>
      <c r="S67" s="136">
        <v>0</v>
      </c>
      <c r="T67" s="137">
        <f t="shared" si="13"/>
        <v>3128049.6825535218</v>
      </c>
      <c r="U67" s="33"/>
      <c r="V67" s="33"/>
      <c r="W67" s="33"/>
      <c r="X67" s="33"/>
      <c r="Y67" s="33"/>
      <c r="Z67" s="33"/>
    </row>
    <row r="68" spans="1:26" ht="15.75" customHeight="1" x14ac:dyDescent="0.35">
      <c r="A68" s="33"/>
      <c r="B68" s="80">
        <v>2045</v>
      </c>
      <c r="C68" s="79">
        <f>Investments!H24</f>
        <v>429832.8807019568</v>
      </c>
      <c r="E68" s="80">
        <v>2030</v>
      </c>
      <c r="F68" s="113">
        <f t="shared" si="14"/>
        <v>98814.184129466812</v>
      </c>
      <c r="G68" s="114">
        <v>0</v>
      </c>
      <c r="H68" s="117">
        <f t="shared" si="15"/>
        <v>385325.29002195608</v>
      </c>
      <c r="I68" s="33"/>
      <c r="J68" s="80">
        <v>2026</v>
      </c>
      <c r="K68" s="82">
        <f t="shared" si="17"/>
        <v>31846.954427785615</v>
      </c>
      <c r="L68" s="118">
        <f t="shared" si="16"/>
        <v>43731.93973438094</v>
      </c>
      <c r="M68" s="114">
        <v>0</v>
      </c>
      <c r="N68" s="117">
        <f t="shared" si="18"/>
        <v>80944.995647680378</v>
      </c>
      <c r="O68" s="33"/>
      <c r="P68" s="80">
        <v>2045</v>
      </c>
      <c r="Q68" s="82">
        <f t="shared" si="12"/>
        <v>3128049.6825535218</v>
      </c>
      <c r="R68" s="118">
        <f t="shared" si="7"/>
        <v>106190.21317741842</v>
      </c>
      <c r="S68" s="119">
        <v>0</v>
      </c>
      <c r="T68" s="117">
        <f t="shared" si="13"/>
        <v>3751718.2790478901</v>
      </c>
      <c r="U68" s="33"/>
      <c r="V68" s="33"/>
      <c r="W68" s="33"/>
      <c r="X68" s="33"/>
      <c r="Y68" s="33"/>
      <c r="Z68" s="33"/>
    </row>
    <row r="69" spans="1:26" ht="15.75" customHeight="1" x14ac:dyDescent="0.35">
      <c r="A69" s="33"/>
      <c r="B69" s="80">
        <v>2046</v>
      </c>
      <c r="C69" s="79">
        <f>Investments!H25</f>
        <v>464032.30272106495</v>
      </c>
      <c r="E69" s="80">
        <v>2031</v>
      </c>
      <c r="F69" s="113">
        <f t="shared" si="14"/>
        <v>105291.15870772094</v>
      </c>
      <c r="G69" s="114">
        <v>0</v>
      </c>
      <c r="H69" s="117">
        <f t="shared" si="15"/>
        <v>510241.1066788641</v>
      </c>
      <c r="I69" s="33"/>
      <c r="J69" s="80">
        <v>2027</v>
      </c>
      <c r="K69" s="82">
        <f t="shared" si="17"/>
        <v>80944.995647680378</v>
      </c>
      <c r="L69" s="118">
        <f t="shared" si="16"/>
        <v>47041.414272354734</v>
      </c>
      <c r="M69" s="114">
        <v>0</v>
      </c>
      <c r="N69" s="117">
        <f t="shared" si="18"/>
        <v>137073.44502435758</v>
      </c>
      <c r="O69" s="33"/>
      <c r="P69" s="80">
        <v>2046</v>
      </c>
      <c r="Q69" s="82">
        <f t="shared" si="12"/>
        <v>3751718.2790478901</v>
      </c>
      <c r="R69" s="118">
        <f t="shared" si="7"/>
        <v>114639.18038723909</v>
      </c>
      <c r="S69" s="119">
        <v>0</v>
      </c>
      <c r="T69" s="117">
        <f t="shared" si="13"/>
        <v>4484974.6529447492</v>
      </c>
      <c r="U69" s="33"/>
      <c r="V69" s="33"/>
      <c r="W69" s="33"/>
      <c r="X69" s="33"/>
      <c r="Y69" s="33"/>
      <c r="Z69" s="33"/>
    </row>
    <row r="70" spans="1:26" ht="15.75" customHeight="1" x14ac:dyDescent="0.35">
      <c r="A70" s="33"/>
      <c r="B70" s="80">
        <v>2047</v>
      </c>
      <c r="C70" s="79">
        <f>Investments!H26</f>
        <v>500118.61520529306</v>
      </c>
      <c r="E70" s="80">
        <v>2032</v>
      </c>
      <c r="F70" s="113">
        <f t="shared" si="14"/>
        <v>151272.48273130393</v>
      </c>
      <c r="G70" s="114">
        <v>0</v>
      </c>
      <c r="H70" s="117">
        <f t="shared" si="15"/>
        <v>687974.13298657478</v>
      </c>
      <c r="I70" s="33"/>
      <c r="J70" s="84">
        <v>2028</v>
      </c>
      <c r="K70" s="128">
        <f t="shared" si="17"/>
        <v>137073.44502435758</v>
      </c>
      <c r="L70" s="138">
        <f t="shared" si="16"/>
        <v>46312.537648820682</v>
      </c>
      <c r="M70" s="130">
        <v>0</v>
      </c>
      <c r="N70" s="139">
        <f t="shared" si="18"/>
        <v>196406.38744297391</v>
      </c>
      <c r="O70" s="33"/>
      <c r="P70" s="80">
        <v>2047</v>
      </c>
      <c r="Q70" s="82">
        <f t="shared" si="12"/>
        <v>4484974.6529447492</v>
      </c>
      <c r="R70" s="118">
        <f t="shared" si="7"/>
        <v>123554.30388646765</v>
      </c>
      <c r="S70" s="119">
        <v>0</v>
      </c>
      <c r="T70" s="117">
        <f t="shared" si="13"/>
        <v>5345893.5899242107</v>
      </c>
      <c r="U70" s="33"/>
      <c r="V70" s="33"/>
      <c r="W70" s="33"/>
      <c r="X70" s="33"/>
      <c r="Y70" s="33"/>
      <c r="Z70" s="33"/>
    </row>
    <row r="71" spans="1:26" ht="15.75" customHeight="1" x14ac:dyDescent="0.35">
      <c r="A71" s="33"/>
      <c r="B71" s="80">
        <v>2048</v>
      </c>
      <c r="C71" s="79">
        <f>Investments!H27</f>
        <v>538186.59975682059</v>
      </c>
      <c r="E71" s="80">
        <v>2033</v>
      </c>
      <c r="F71" s="113">
        <f t="shared" si="14"/>
        <v>160224.83465884152</v>
      </c>
      <c r="G71" s="114">
        <v>0</v>
      </c>
      <c r="H71" s="117">
        <f t="shared" si="15"/>
        <v>882126.92635123292</v>
      </c>
      <c r="I71" s="122" t="s">
        <v>181</v>
      </c>
      <c r="J71" s="90">
        <v>2029</v>
      </c>
      <c r="K71" s="140">
        <f t="shared" si="17"/>
        <v>196406.38744297391</v>
      </c>
      <c r="L71" s="141">
        <f t="shared" si="16"/>
        <v>49856.752121934784</v>
      </c>
      <c r="M71" s="112">
        <v>0</v>
      </c>
      <c r="N71" s="112">
        <f t="shared" si="18"/>
        <v>263747.82247401722</v>
      </c>
      <c r="O71" s="33"/>
      <c r="P71" s="80">
        <v>2048</v>
      </c>
      <c r="Q71" s="82">
        <f t="shared" si="12"/>
        <v>5345893.5899242107</v>
      </c>
      <c r="R71" s="118">
        <f t="shared" si="7"/>
        <v>132958.99946992254</v>
      </c>
      <c r="S71" s="119">
        <v>0</v>
      </c>
      <c r="T71" s="117">
        <f t="shared" si="13"/>
        <v>6355469.0036971942</v>
      </c>
      <c r="U71" s="33"/>
      <c r="V71" s="33"/>
      <c r="W71" s="33"/>
      <c r="X71" s="33"/>
      <c r="Y71" s="33"/>
      <c r="Z71" s="33"/>
    </row>
    <row r="72" spans="1:26" ht="15.75" customHeight="1" x14ac:dyDescent="0.35">
      <c r="A72" s="33"/>
      <c r="B72" s="80">
        <v>2049</v>
      </c>
      <c r="C72" s="79">
        <f>Investments!H28</f>
        <v>578335.7985348833</v>
      </c>
      <c r="E72" s="80">
        <v>2034</v>
      </c>
      <c r="F72" s="113">
        <f>G13+N77</f>
        <v>561253.28581638192</v>
      </c>
      <c r="G72" s="114">
        <v>0</v>
      </c>
      <c r="H72" s="117">
        <f t="shared" si="15"/>
        <v>1501115.4206543195</v>
      </c>
      <c r="I72" s="33"/>
      <c r="J72" s="80">
        <v>2030</v>
      </c>
      <c r="K72" s="82">
        <f t="shared" si="17"/>
        <v>263747.82247401722</v>
      </c>
      <c r="L72" s="118">
        <f t="shared" si="16"/>
        <v>92226.571854169015</v>
      </c>
      <c r="M72" s="114">
        <v>0</v>
      </c>
      <c r="N72" s="117">
        <f t="shared" si="18"/>
        <v>381248.57632548746</v>
      </c>
      <c r="O72" s="33"/>
      <c r="P72" s="80">
        <v>2049</v>
      </c>
      <c r="Q72" s="82">
        <f t="shared" si="12"/>
        <v>6355469.0036971942</v>
      </c>
      <c r="R72" s="118">
        <f t="shared" si="7"/>
        <v>142877.85902804291</v>
      </c>
      <c r="S72" s="119">
        <v>0</v>
      </c>
      <c r="T72" s="117">
        <f t="shared" si="13"/>
        <v>7538082.3607612746</v>
      </c>
      <c r="U72" s="33"/>
      <c r="V72" s="33"/>
      <c r="W72" s="33"/>
      <c r="X72" s="33"/>
      <c r="Y72" s="33"/>
      <c r="Z72" s="33"/>
    </row>
    <row r="73" spans="1:26" ht="15.75" customHeight="1" x14ac:dyDescent="0.35">
      <c r="A73" s="33"/>
      <c r="B73" s="80">
        <v>2050</v>
      </c>
      <c r="C73" s="79">
        <f>Investments!H29</f>
        <v>620670.75333895325</v>
      </c>
      <c r="E73" s="80">
        <v>2035</v>
      </c>
      <c r="F73" s="113">
        <f t="shared" ref="F73:F76" si="19">G14</f>
        <v>179717.16900362578</v>
      </c>
      <c r="G73" s="114">
        <v>0</v>
      </c>
      <c r="H73" s="117">
        <f t="shared" si="15"/>
        <v>1748065.8932442633</v>
      </c>
      <c r="I73" s="33"/>
      <c r="J73" s="80">
        <v>2031</v>
      </c>
      <c r="K73" s="82">
        <f t="shared" si="17"/>
        <v>381248.57632548746</v>
      </c>
      <c r="L73" s="118">
        <f t="shared" si="16"/>
        <v>98271.748127206229</v>
      </c>
      <c r="M73" s="114">
        <v>0</v>
      </c>
      <c r="N73" s="117">
        <f t="shared" si="18"/>
        <v>513566.26748883491</v>
      </c>
      <c r="O73" s="33"/>
      <c r="P73" s="80">
        <v>2050</v>
      </c>
      <c r="Q73" s="82">
        <f t="shared" si="12"/>
        <v>7538082.3607612746</v>
      </c>
      <c r="R73" s="118">
        <f t="shared" si="7"/>
        <v>153336.7096123884</v>
      </c>
      <c r="S73" s="119">
        <v>0</v>
      </c>
      <c r="T73" s="117">
        <f t="shared" si="13"/>
        <v>8922046.1216334477</v>
      </c>
      <c r="U73" s="33"/>
      <c r="V73" s="33"/>
      <c r="W73" s="33"/>
      <c r="X73" s="33"/>
      <c r="Y73" s="33"/>
      <c r="Z73" s="33"/>
    </row>
    <row r="74" spans="1:26" ht="15.75" customHeight="1" x14ac:dyDescent="0.35">
      <c r="A74" s="33"/>
      <c r="B74" s="80">
        <v>2051</v>
      </c>
      <c r="C74" s="79">
        <f>Investments!H30</f>
        <v>665301.25669793203</v>
      </c>
      <c r="E74" s="80">
        <v>2036</v>
      </c>
      <c r="F74" s="113">
        <f t="shared" si="19"/>
        <v>169985.11117040433</v>
      </c>
      <c r="G74" s="114">
        <f>'Goal Fulfilment'!D12</f>
        <v>600726.26738048415</v>
      </c>
      <c r="H74" s="117">
        <f t="shared" si="15"/>
        <v>1394046.7772107702</v>
      </c>
      <c r="I74" s="33"/>
      <c r="J74" s="80">
        <v>2032</v>
      </c>
      <c r="K74" s="82">
        <f t="shared" si="17"/>
        <v>513566.26748883491</v>
      </c>
      <c r="L74" s="118">
        <f t="shared" si="16"/>
        <v>141187.65054921698</v>
      </c>
      <c r="M74" s="114">
        <v>0</v>
      </c>
      <c r="N74" s="117">
        <f t="shared" si="18"/>
        <v>701241.44621875358</v>
      </c>
      <c r="O74" s="33"/>
      <c r="P74" s="80">
        <v>2051</v>
      </c>
      <c r="Q74" s="82">
        <f t="shared" si="12"/>
        <v>8922046.1216334477</v>
      </c>
      <c r="R74" s="118">
        <f t="shared" si="7"/>
        <v>164362.67546722409</v>
      </c>
      <c r="S74" s="119">
        <v>0</v>
      </c>
      <c r="T74" s="117">
        <f t="shared" si="13"/>
        <v>10540234.204636779</v>
      </c>
      <c r="U74" s="33"/>
      <c r="V74" s="33"/>
      <c r="W74" s="33"/>
      <c r="X74" s="33"/>
      <c r="Y74" s="33"/>
      <c r="Z74" s="33"/>
    </row>
    <row r="75" spans="1:26" ht="15.75" customHeight="1" x14ac:dyDescent="0.35">
      <c r="A75" s="33"/>
      <c r="B75" s="80">
        <v>2052</v>
      </c>
      <c r="C75" s="79">
        <f>Investments!H31</f>
        <v>712342.61556819733</v>
      </c>
      <c r="E75" s="80">
        <v>2037</v>
      </c>
      <c r="F75" s="113">
        <f t="shared" si="19"/>
        <v>180559.28043841282</v>
      </c>
      <c r="G75" s="114">
        <v>0</v>
      </c>
      <c r="H75" s="117">
        <f t="shared" si="15"/>
        <v>1637590.2999551506</v>
      </c>
      <c r="I75" s="33"/>
      <c r="J75" s="84">
        <v>2033</v>
      </c>
      <c r="K75" s="128">
        <f t="shared" si="17"/>
        <v>701241.44621875358</v>
      </c>
      <c r="L75" s="138">
        <f t="shared" si="16"/>
        <v>149543.17901491877</v>
      </c>
      <c r="M75" s="130">
        <v>0</v>
      </c>
      <c r="N75" s="124">
        <f t="shared" si="18"/>
        <v>911190.33362526307</v>
      </c>
      <c r="O75" s="33"/>
      <c r="P75" s="80">
        <v>2052</v>
      </c>
      <c r="Q75" s="82">
        <f t="shared" si="12"/>
        <v>10540234.204636779</v>
      </c>
      <c r="R75" s="118">
        <f t="shared" si="7"/>
        <v>175984.24317612316</v>
      </c>
      <c r="S75" s="119">
        <v>0</v>
      </c>
      <c r="T75" s="117">
        <f t="shared" si="13"/>
        <v>12430813.399462964</v>
      </c>
      <c r="U75" s="33"/>
      <c r="V75" s="33"/>
      <c r="W75" s="33"/>
      <c r="X75" s="33"/>
      <c r="Y75" s="33"/>
      <c r="Z75" s="33"/>
    </row>
    <row r="76" spans="1:26" ht="15.75" customHeight="1" x14ac:dyDescent="0.35">
      <c r="A76" s="33"/>
      <c r="B76" s="80">
        <v>2053</v>
      </c>
      <c r="C76" s="79">
        <f>Investments!H32</f>
        <v>761915.928273645</v>
      </c>
      <c r="E76" s="80">
        <v>2038</v>
      </c>
      <c r="F76" s="113">
        <f t="shared" si="19"/>
        <v>136007.38954009573</v>
      </c>
      <c r="G76" s="114">
        <v>0</v>
      </c>
      <c r="H76" s="117">
        <f t="shared" si="15"/>
        <v>1844541.5970750563</v>
      </c>
      <c r="I76" s="33"/>
      <c r="J76" s="33"/>
      <c r="K76" s="33"/>
      <c r="L76" s="33"/>
      <c r="M76" s="107" t="s">
        <v>182</v>
      </c>
      <c r="N76" s="142">
        <f>0.5*1039269.11</f>
        <v>519634.55499999999</v>
      </c>
      <c r="O76" s="33"/>
      <c r="P76" s="80">
        <v>2053</v>
      </c>
      <c r="Q76" s="82">
        <f t="shared" si="12"/>
        <v>12430813.399462964</v>
      </c>
      <c r="R76" s="118">
        <f t="shared" si="7"/>
        <v>188231.330080004</v>
      </c>
      <c r="S76" s="119">
        <v>0</v>
      </c>
      <c r="T76" s="117">
        <f t="shared" si="13"/>
        <v>14638091.886269843</v>
      </c>
      <c r="U76" s="33"/>
      <c r="V76" s="33"/>
      <c r="W76" s="33"/>
      <c r="X76" s="33"/>
      <c r="Y76" s="33"/>
      <c r="Z76" s="33"/>
    </row>
    <row r="77" spans="1:26" ht="15.75" customHeight="1" x14ac:dyDescent="0.35">
      <c r="A77" s="33"/>
      <c r="B77" s="84">
        <v>2054</v>
      </c>
      <c r="C77" s="88">
        <f>Investments!H33</f>
        <v>814148.37535260036</v>
      </c>
      <c r="E77" s="80">
        <v>2039</v>
      </c>
      <c r="F77" s="113">
        <f t="shared" ref="F77:F80" si="20">G18+N18</f>
        <v>436705.8617560711</v>
      </c>
      <c r="G77" s="114">
        <v>0</v>
      </c>
      <c r="H77" s="117">
        <f t="shared" si="15"/>
        <v>2372497.3571843724</v>
      </c>
      <c r="I77" s="33"/>
      <c r="J77" s="33"/>
      <c r="K77" s="33"/>
      <c r="L77" s="33"/>
      <c r="M77" s="143" t="s">
        <v>183</v>
      </c>
      <c r="N77" s="144">
        <f>N75-N76</f>
        <v>391555.77862526308</v>
      </c>
      <c r="O77" s="33"/>
      <c r="P77" s="145">
        <v>2054</v>
      </c>
      <c r="Q77" s="146">
        <f t="shared" si="12"/>
        <v>14638091.886269843</v>
      </c>
      <c r="R77" s="147">
        <f t="shared" si="7"/>
        <v>201135.3561308599</v>
      </c>
      <c r="S77" s="148">
        <v>0</v>
      </c>
      <c r="T77" s="149">
        <f t="shared" si="13"/>
        <v>17213503.601184815</v>
      </c>
      <c r="U77" s="33"/>
      <c r="V77" s="33"/>
      <c r="W77" s="33"/>
      <c r="X77" s="33"/>
      <c r="Y77" s="33"/>
      <c r="Z77" s="33"/>
    </row>
    <row r="78" spans="1:26" ht="15.75" customHeight="1" x14ac:dyDescent="0.35">
      <c r="A78" s="33"/>
      <c r="B78" s="33"/>
      <c r="C78" s="33"/>
      <c r="D78" s="33"/>
      <c r="E78" s="80">
        <v>2040</v>
      </c>
      <c r="F78" s="113">
        <f t="shared" si="20"/>
        <v>467614.90557367064</v>
      </c>
      <c r="G78" s="114">
        <v>0</v>
      </c>
      <c r="H78" s="117">
        <f t="shared" si="15"/>
        <v>2953716.7532683648</v>
      </c>
      <c r="I78" s="33"/>
      <c r="J78" s="26" t="s">
        <v>184</v>
      </c>
      <c r="K78" s="33"/>
      <c r="L78" s="33"/>
      <c r="M78" s="33"/>
      <c r="N78" s="33"/>
      <c r="O78" s="33"/>
      <c r="P78" s="33"/>
      <c r="Q78" s="150"/>
      <c r="R78" s="63"/>
      <c r="S78" s="151"/>
      <c r="T78" s="151"/>
      <c r="U78" s="33"/>
      <c r="V78" s="33"/>
      <c r="W78" s="33"/>
      <c r="X78" s="33"/>
      <c r="Y78" s="33"/>
      <c r="Z78" s="33"/>
    </row>
    <row r="79" spans="1:26" ht="15.75" customHeight="1" x14ac:dyDescent="0.35">
      <c r="A79" s="33"/>
      <c r="B79" s="33"/>
      <c r="C79" s="33"/>
      <c r="D79" s="33"/>
      <c r="E79" s="80">
        <v>2041</v>
      </c>
      <c r="F79" s="113">
        <f t="shared" si="20"/>
        <v>500205.41392601165</v>
      </c>
      <c r="G79" s="114">
        <v>0</v>
      </c>
      <c r="H79" s="117">
        <f t="shared" si="15"/>
        <v>3592079.0538821518</v>
      </c>
      <c r="I79" s="33"/>
      <c r="J79" s="341" t="s">
        <v>167</v>
      </c>
      <c r="K79" s="363"/>
      <c r="L79" s="368"/>
      <c r="M79" s="102" t="s">
        <v>168</v>
      </c>
      <c r="N79" s="102">
        <f>D41</f>
        <v>7.6999999999999999E-2</v>
      </c>
      <c r="O79" s="33"/>
      <c r="P79" s="33"/>
      <c r="Q79" s="150"/>
      <c r="R79" s="63"/>
      <c r="S79" s="151"/>
      <c r="T79" s="151"/>
      <c r="U79" s="33"/>
      <c r="V79" s="33"/>
      <c r="W79" s="33"/>
      <c r="X79" s="33"/>
      <c r="Y79" s="33"/>
      <c r="Z79" s="33"/>
    </row>
    <row r="80" spans="1:26" ht="15.75" customHeight="1" x14ac:dyDescent="0.35">
      <c r="A80" s="33"/>
      <c r="B80" s="33"/>
      <c r="C80" s="33"/>
      <c r="D80" s="33"/>
      <c r="E80" s="80">
        <v>2042</v>
      </c>
      <c r="F80" s="113">
        <f t="shared" si="20"/>
        <v>464641.21062488959</v>
      </c>
      <c r="G80" s="114">
        <v>0</v>
      </c>
      <c r="H80" s="117">
        <f t="shared" si="15"/>
        <v>4218989.0750873229</v>
      </c>
      <c r="I80" s="33"/>
      <c r="J80" s="108" t="s">
        <v>146</v>
      </c>
      <c r="K80" s="108" t="s">
        <v>174</v>
      </c>
      <c r="L80" s="109" t="s">
        <v>172</v>
      </c>
      <c r="M80" s="110" t="s">
        <v>175</v>
      </c>
      <c r="N80" s="110" t="s">
        <v>173</v>
      </c>
      <c r="O80" s="33"/>
      <c r="P80" s="33"/>
      <c r="Q80" s="150"/>
      <c r="R80" s="63"/>
      <c r="S80" s="151"/>
      <c r="T80" s="151"/>
      <c r="U80" s="33"/>
      <c r="V80" s="33"/>
      <c r="W80" s="33"/>
      <c r="X80" s="33"/>
      <c r="Y80" s="33"/>
      <c r="Z80" s="33"/>
    </row>
    <row r="81" spans="1:26" ht="15.75" customHeight="1" x14ac:dyDescent="0.35">
      <c r="A81" s="33"/>
      <c r="B81" s="33"/>
      <c r="C81" s="33"/>
      <c r="D81" s="33"/>
      <c r="E81" s="80">
        <v>2043</v>
      </c>
      <c r="F81" s="113">
        <f>G22+N22+N90</f>
        <v>4193166.0760484319</v>
      </c>
      <c r="G81" s="114">
        <v>0</v>
      </c>
      <c r="H81" s="117">
        <f t="shared" si="15"/>
        <v>8748641.357181184</v>
      </c>
      <c r="I81" s="33"/>
      <c r="J81" s="90">
        <v>2034</v>
      </c>
      <c r="K81" s="132">
        <f>L81</f>
        <v>158384.34004504432</v>
      </c>
      <c r="L81" s="113">
        <f>C57*$C$41</f>
        <v>158384.34004504432</v>
      </c>
      <c r="M81" s="112">
        <v>0</v>
      </c>
      <c r="N81" s="112">
        <f>K81*(1+N79)</f>
        <v>170579.93422851272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35">
      <c r="A82" s="33"/>
      <c r="B82" s="33"/>
      <c r="C82" s="33"/>
      <c r="D82" s="33"/>
      <c r="E82" s="152">
        <v>2044</v>
      </c>
      <c r="F82" s="153">
        <f t="shared" ref="F82:F92" si="21">G23+N23</f>
        <v>993752.70686519914</v>
      </c>
      <c r="G82" s="154">
        <v>0</v>
      </c>
      <c r="H82" s="117">
        <f t="shared" si="15"/>
        <v>10132089.826608239</v>
      </c>
      <c r="I82" s="33"/>
      <c r="J82" s="80">
        <v>2035</v>
      </c>
      <c r="K82" s="82">
        <f t="shared" ref="K82:K90" si="22">N81</f>
        <v>170579.93422851272</v>
      </c>
      <c r="L82" s="118">
        <f t="shared" ref="L82:L90" si="23">C63*$C$41</f>
        <v>240242.52029472985</v>
      </c>
      <c r="M82" s="114">
        <v>0</v>
      </c>
      <c r="N82" s="117">
        <f t="shared" ref="N82:N90" si="24">(K82+L82)*(1+$N$79)</f>
        <v>442455.7835215322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35">
      <c r="A83" s="33"/>
      <c r="B83" s="33"/>
      <c r="C83" s="33"/>
      <c r="D83" s="33"/>
      <c r="E83" s="80">
        <v>2045</v>
      </c>
      <c r="F83" s="113">
        <f t="shared" si="21"/>
        <v>506588.75225587771</v>
      </c>
      <c r="G83" s="114">
        <v>0</v>
      </c>
      <c r="H83" s="117">
        <f t="shared" si="15"/>
        <v>11064225.722018681</v>
      </c>
      <c r="I83" s="33"/>
      <c r="J83" s="80">
        <v>2036</v>
      </c>
      <c r="K83" s="82">
        <f t="shared" si="22"/>
        <v>442455.7835215322</v>
      </c>
      <c r="L83" s="118">
        <f t="shared" si="23"/>
        <v>256986.26770510693</v>
      </c>
      <c r="M83" s="114">
        <v>0</v>
      </c>
      <c r="N83" s="117">
        <f t="shared" si="24"/>
        <v>753299.0891710904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35">
      <c r="A84" s="33"/>
      <c r="B84" s="33"/>
      <c r="C84" s="33"/>
      <c r="D84" s="33"/>
      <c r="E84" s="80">
        <v>2046</v>
      </c>
      <c r="F84" s="113">
        <f t="shared" si="21"/>
        <v>546895.21392125508</v>
      </c>
      <c r="G84" s="114">
        <v>0</v>
      </c>
      <c r="H84" s="117">
        <f t="shared" si="15"/>
        <v>12075565.773377534</v>
      </c>
      <c r="I84" s="33"/>
      <c r="J84" s="80">
        <v>2037</v>
      </c>
      <c r="K84" s="82">
        <f t="shared" si="22"/>
        <v>753299.0891710904</v>
      </c>
      <c r="L84" s="118">
        <f t="shared" si="23"/>
        <v>238714.75041278731</v>
      </c>
      <c r="M84" s="114">
        <v>0</v>
      </c>
      <c r="N84" s="117">
        <f t="shared" si="24"/>
        <v>1068398.9052318363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35">
      <c r="A85" s="33"/>
      <c r="B85" s="33"/>
      <c r="C85" s="33"/>
      <c r="D85" s="33"/>
      <c r="E85" s="80">
        <v>2047</v>
      </c>
      <c r="F85" s="113">
        <f t="shared" si="21"/>
        <v>589425.51077766682</v>
      </c>
      <c r="G85" s="114">
        <v>0</v>
      </c>
      <c r="H85" s="117">
        <f t="shared" si="15"/>
        <v>13171590.935521409</v>
      </c>
      <c r="I85" s="33"/>
      <c r="J85" s="120">
        <v>2038</v>
      </c>
      <c r="K85" s="155">
        <f t="shared" si="22"/>
        <v>1068398.9052318363</v>
      </c>
      <c r="L85" s="156">
        <f t="shared" si="23"/>
        <v>316506.26489482709</v>
      </c>
      <c r="M85" s="157">
        <v>0</v>
      </c>
      <c r="N85" s="158">
        <f t="shared" si="24"/>
        <v>1491542.8682264164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35">
      <c r="A86" s="33"/>
      <c r="B86" s="33"/>
      <c r="C86" s="33"/>
      <c r="D86" s="33"/>
      <c r="E86" s="80">
        <v>2048</v>
      </c>
      <c r="F86" s="113">
        <f t="shared" si="21"/>
        <v>634291.3497133957</v>
      </c>
      <c r="G86" s="114">
        <v>0</v>
      </c>
      <c r="H86" s="117">
        <f t="shared" si="15"/>
        <v>14358117.576644197</v>
      </c>
      <c r="I86" s="122" t="s">
        <v>181</v>
      </c>
      <c r="J86" s="90">
        <v>2039</v>
      </c>
      <c r="K86" s="132">
        <f t="shared" si="22"/>
        <v>1491542.8682264164</v>
      </c>
      <c r="L86" s="141">
        <f t="shared" si="23"/>
        <v>337273.64596637071</v>
      </c>
      <c r="M86" s="112">
        <v>0</v>
      </c>
      <c r="N86" s="112">
        <f t="shared" si="24"/>
        <v>1969635.3857856316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35">
      <c r="A87" s="33"/>
      <c r="B87" s="33"/>
      <c r="C87" s="33"/>
      <c r="D87" s="33"/>
      <c r="E87" s="80">
        <v>2049</v>
      </c>
      <c r="F87" s="113">
        <f t="shared" si="21"/>
        <v>681610.04827325535</v>
      </c>
      <c r="G87" s="114">
        <v>0</v>
      </c>
      <c r="H87" s="117">
        <f t="shared" si="15"/>
        <v>15641316.729914151</v>
      </c>
      <c r="I87" s="33"/>
      <c r="J87" s="80">
        <v>2040</v>
      </c>
      <c r="K87" s="82">
        <f t="shared" si="22"/>
        <v>1969635.3857856316</v>
      </c>
      <c r="L87" s="118">
        <f t="shared" si="23"/>
        <v>171933.15228078273</v>
      </c>
      <c r="M87" s="114">
        <v>0</v>
      </c>
      <c r="N87" s="117">
        <f t="shared" si="24"/>
        <v>2306469.3154975278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35">
      <c r="A88" s="33"/>
      <c r="B88" s="33"/>
      <c r="C88" s="33"/>
      <c r="D88" s="33"/>
      <c r="E88" s="80">
        <v>2050</v>
      </c>
      <c r="F88" s="113">
        <f t="shared" si="21"/>
        <v>731504.81643519492</v>
      </c>
      <c r="G88" s="114">
        <v>0</v>
      </c>
      <c r="H88" s="117">
        <f t="shared" si="15"/>
        <v>17027734.408203322</v>
      </c>
      <c r="I88" s="33"/>
      <c r="J88" s="80">
        <v>2041</v>
      </c>
      <c r="K88" s="82">
        <f t="shared" si="22"/>
        <v>2306469.3154975278</v>
      </c>
      <c r="L88" s="118">
        <f t="shared" si="23"/>
        <v>185612.921088426</v>
      </c>
      <c r="M88" s="114">
        <v>0</v>
      </c>
      <c r="N88" s="117">
        <f t="shared" si="24"/>
        <v>2683972.568803072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35">
      <c r="A89" s="33"/>
      <c r="B89" s="33"/>
      <c r="C89" s="33"/>
      <c r="D89" s="33"/>
      <c r="E89" s="80">
        <v>2051</v>
      </c>
      <c r="F89" s="113">
        <f t="shared" si="21"/>
        <v>784105.05253684847</v>
      </c>
      <c r="G89" s="114">
        <v>0</v>
      </c>
      <c r="H89" s="117">
        <f t="shared" si="15"/>
        <v>18524313.039169777</v>
      </c>
      <c r="I89" s="33"/>
      <c r="J89" s="80">
        <v>2042</v>
      </c>
      <c r="K89" s="82">
        <f t="shared" si="22"/>
        <v>2683972.568803072</v>
      </c>
      <c r="L89" s="118">
        <f t="shared" si="23"/>
        <v>200047.44608211724</v>
      </c>
      <c r="M89" s="114">
        <v>0</v>
      </c>
      <c r="N89" s="117">
        <f t="shared" si="24"/>
        <v>3106089.5560313486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35">
      <c r="A90" s="33"/>
      <c r="B90" s="33"/>
      <c r="C90" s="33"/>
      <c r="D90" s="33"/>
      <c r="E90" s="80">
        <v>2052</v>
      </c>
      <c r="F90" s="113">
        <f t="shared" si="21"/>
        <v>839546.65406251827</v>
      </c>
      <c r="G90" s="114">
        <v>0</v>
      </c>
      <c r="H90" s="117">
        <f t="shared" si="15"/>
        <v>20138414.080961585</v>
      </c>
      <c r="I90" s="33"/>
      <c r="J90" s="84">
        <v>2043</v>
      </c>
      <c r="K90" s="128">
        <f t="shared" si="22"/>
        <v>3106089.5560313486</v>
      </c>
      <c r="L90" s="138">
        <f t="shared" si="23"/>
        <v>215274.63990272826</v>
      </c>
      <c r="M90" s="130">
        <v>0</v>
      </c>
      <c r="N90" s="124">
        <f t="shared" si="24"/>
        <v>3577109.2390210005</v>
      </c>
      <c r="O90" s="143" t="s">
        <v>185</v>
      </c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35">
      <c r="A91" s="33"/>
      <c r="B91" s="33"/>
      <c r="C91" s="33"/>
      <c r="D91" s="33"/>
      <c r="E91" s="80">
        <v>2053</v>
      </c>
      <c r="F91" s="113">
        <f t="shared" si="21"/>
        <v>897972.3440367959</v>
      </c>
      <c r="G91" s="114">
        <v>0</v>
      </c>
      <c r="H91" s="117">
        <f t="shared" si="15"/>
        <v>21877841.881998315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35">
      <c r="A92" s="33"/>
      <c r="B92" s="33"/>
      <c r="C92" s="33"/>
      <c r="D92" s="33"/>
      <c r="E92" s="159">
        <v>2054</v>
      </c>
      <c r="F92" s="160">
        <f t="shared" si="21"/>
        <v>959532.01380842179</v>
      </c>
      <c r="G92" s="161">
        <v>0</v>
      </c>
      <c r="H92" s="117">
        <f t="shared" si="15"/>
        <v>23750868.851639006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35">
      <c r="A93" s="33"/>
      <c r="B93" s="33"/>
      <c r="C93" s="33"/>
      <c r="D93" s="33"/>
      <c r="E93" s="33"/>
      <c r="F93" s="33"/>
      <c r="G93" s="33"/>
      <c r="H93" s="117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3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3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3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3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3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3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3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3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3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3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3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3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3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3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3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3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3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3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3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3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3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3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3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3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3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3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3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3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3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3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3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3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3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3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3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3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3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3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3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3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3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3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3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3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3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3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3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3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3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3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3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3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3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3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3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3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3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3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3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3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3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3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3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3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3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3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3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3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3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3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3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3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3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3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3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3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3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3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3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3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3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3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3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3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3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3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3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3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3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3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3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3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3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3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3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3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3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3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3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3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3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3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3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3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3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3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3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3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3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3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3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3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3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3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3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3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3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3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3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3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3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3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3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3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3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3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3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3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3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3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3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3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3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3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3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3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3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3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3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3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3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3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3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3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3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3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3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3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3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3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3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3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3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3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3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3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3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3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3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3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3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3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3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3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3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3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3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3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3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3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3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3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3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3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3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3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3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3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3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3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3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3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3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3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3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3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3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3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3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3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3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3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3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3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3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3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3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3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3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3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3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3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3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3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3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3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3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3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3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3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3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3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3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3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3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3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3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3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3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3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3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3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3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3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3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3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3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3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3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3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3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3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3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3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3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3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3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3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3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3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3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3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3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3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3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3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3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3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3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3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3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3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3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3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3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3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3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3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3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3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3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3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3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3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3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3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3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3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3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3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3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3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3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3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3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3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3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3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3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3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3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3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3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3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3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3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3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3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3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3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3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3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3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3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3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3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3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3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3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3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3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3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3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3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3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3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3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3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3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3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3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3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3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3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3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3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3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3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3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3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3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3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3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3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3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3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3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3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3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3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3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3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3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3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3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3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3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3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3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3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3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3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3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3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3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3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3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3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3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3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3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3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3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3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3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3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3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3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3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3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3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3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3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3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3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3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3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3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3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3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3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3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3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3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3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3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3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3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3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3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3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3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3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3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3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3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3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3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3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3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3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3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3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3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3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3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3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3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3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3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3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3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3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3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3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3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3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3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3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3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3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3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3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3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3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3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3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3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3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3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3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3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3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3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3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3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3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3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3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3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3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3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3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3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3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3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3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3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3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3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3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3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3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3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3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3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3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3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3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3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3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3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3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3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3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3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3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3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3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3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3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3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3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3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3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3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3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3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3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3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3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3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3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3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3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3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3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3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3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3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3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3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3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3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3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3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3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3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3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3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3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3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3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3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3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3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3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3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3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3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3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3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3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3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3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3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3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3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3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3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3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3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3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3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3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3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3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3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3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3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3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3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3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3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3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3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3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3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3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3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3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3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3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3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3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3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3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3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3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3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3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3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3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3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3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3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3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3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3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3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3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3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3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3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3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3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3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3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3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3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3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3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3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3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3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3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3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3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3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3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3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3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3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3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3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3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3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3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3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3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3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3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3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3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3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3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3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3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3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3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3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3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3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3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3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3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3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3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3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3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3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3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3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3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3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3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3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3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3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3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3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3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3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3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3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3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3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3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3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3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3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3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3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3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3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3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3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3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3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3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3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3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3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3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3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3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3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3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3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3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3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3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3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3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3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3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3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3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3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3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3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3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3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3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3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3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3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3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3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3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3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3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3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3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3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3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3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3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3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3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3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3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3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3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3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3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3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3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3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3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3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3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3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3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3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3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3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3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3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3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3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3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3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3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3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3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3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3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3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3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3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3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3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3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3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3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3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3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3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3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3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3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3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3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3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3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3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3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3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3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3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3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3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3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3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3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3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3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3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3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3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3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3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3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3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3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3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3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3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3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3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3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3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3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3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3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3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3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3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3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3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3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3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3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3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3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3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5">
    <mergeCell ref="O18:O33"/>
    <mergeCell ref="J45:L45"/>
    <mergeCell ref="E60:F60"/>
    <mergeCell ref="J64:L64"/>
    <mergeCell ref="J79:L79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Timeline</vt:lpstr>
      <vt:lpstr>Divya (daughter) - Education </vt:lpstr>
      <vt:lpstr>Divya (daughter) - Wedding </vt:lpstr>
      <vt:lpstr>Darsh (son) - Wedding </vt:lpstr>
      <vt:lpstr>Income Estimation </vt:lpstr>
      <vt:lpstr> Insurance Costs</vt:lpstr>
      <vt:lpstr>Expense Estimation</vt:lpstr>
      <vt:lpstr>Investments</vt:lpstr>
      <vt:lpstr>Goal Fulfilment</vt:lpstr>
      <vt:lpstr>Jayesh's assets</vt:lpstr>
      <vt:lpstr>Inflation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Stuti</cp:lastModifiedBy>
  <dcterms:created xsi:type="dcterms:W3CDTF">2024-02-20T06:00:40Z</dcterms:created>
  <dcterms:modified xsi:type="dcterms:W3CDTF">2025-05-17T12:14:19Z</dcterms:modified>
</cp:coreProperties>
</file>