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2ecc7ea826dd1/Documents/Ingniería Química/unknown/"/>
    </mc:Choice>
  </mc:AlternateContent>
  <xr:revisionPtr revIDLastSave="0" documentId="13_ncr:1000001_{B0479631-9EFD-7745-B2FB-37ACD492CC39}" xr6:coauthVersionLast="47" xr6:coauthVersionMax="47" xr10:uidLastSave="{00000000-0000-0000-0000-000000000000}"/>
  <bookViews>
    <workbookView xWindow="28680" yWindow="330" windowWidth="29040" windowHeight="15990" xr2:uid="{3FBBEB42-95CE-4346-B2B6-CDD595A35D0B}"/>
  </bookViews>
  <sheets>
    <sheet name="P1 (a) ELL simple" sheetId="14" r:id="rId1"/>
    <sheet name="P1 (b) ELL contracorriente" sheetId="15" r:id="rId2"/>
    <sheet name="P2 Adsorción" sheetId="16" r:id="rId3"/>
  </sheets>
  <definedNames>
    <definedName name="solver_adj" localSheetId="0" hidden="1">'P1 (a) ELL simple'!$G$66</definedName>
    <definedName name="solver_adj" localSheetId="1" hidden="1">'P1 (b) ELL contracorriente'!$N$31</definedName>
    <definedName name="solver_adj" localSheetId="2" hidden="1">'P2 Adsorción'!$D$40,'P2 Adsorción'!$D$41:$G$41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2" hidden="1">1</definedName>
    <definedName name="solver_opt" localSheetId="0" hidden="1">'P1 (a) ELL simple'!$E$68</definedName>
    <definedName name="solver_opt" localSheetId="1" hidden="1">'P1 (b) ELL contracorriente'!#REF!</definedName>
    <definedName name="solver_opt" localSheetId="2" hidden="1">'P2 Adsorción'!$H$42</definedName>
    <definedName name="solver_pre" localSheetId="0" hidden="1">0.000001</definedName>
    <definedName name="solver_pre" localSheetId="1" hidden="1">0.000001</definedName>
    <definedName name="solver_pre" localSheetId="2" hidden="1">0.0000001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2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5" i="15" l="1"/>
  <c r="Q54" i="15"/>
  <c r="Q50" i="15"/>
  <c r="Q49" i="15"/>
  <c r="O50" i="15"/>
  <c r="M33" i="15"/>
  <c r="L33" i="15"/>
  <c r="K33" i="15"/>
  <c r="M49" i="15"/>
  <c r="L49" i="15"/>
  <c r="K49" i="15"/>
  <c r="AD41" i="15" a="1"/>
  <c r="AD41" i="15"/>
  <c r="AC41" i="15"/>
  <c r="AC41" i="15" a="1"/>
  <c r="W41" i="15" a="1"/>
  <c r="W41" i="15"/>
  <c r="V41" i="15" a="1"/>
  <c r="V41" i="15"/>
  <c r="AD40" i="15" a="1"/>
  <c r="AD40" i="15"/>
  <c r="AC40" i="15" a="1"/>
  <c r="AC40" i="15"/>
  <c r="W40" i="15" a="1"/>
  <c r="W40" i="15"/>
  <c r="V40" i="15" a="1"/>
  <c r="V40" i="15"/>
  <c r="AC30" i="15"/>
  <c r="AB30" i="15"/>
  <c r="AC28" i="15" a="1"/>
  <c r="AC28" i="15"/>
  <c r="AB28" i="15" a="1"/>
  <c r="AB28" i="15"/>
  <c r="AC27" i="15"/>
  <c r="AB27" i="15"/>
  <c r="Q35" i="15"/>
  <c r="P35" i="15"/>
  <c r="T32" i="15"/>
  <c r="S32" i="15"/>
  <c r="Q36" i="15"/>
  <c r="P36" i="15"/>
  <c r="T29" i="15"/>
  <c r="S29" i="15"/>
  <c r="Q34" i="15"/>
  <c r="P34" i="15"/>
  <c r="J40" i="15"/>
  <c r="I40" i="15"/>
  <c r="AD39" i="15" a="1"/>
  <c r="AD39" i="15"/>
  <c r="AC39" i="15" a="1"/>
  <c r="AC39" i="15"/>
  <c r="AA39" i="15"/>
  <c r="Z39" i="15"/>
  <c r="Q33" i="15"/>
  <c r="P33" i="15"/>
  <c r="Q32" i="15"/>
  <c r="P32" i="15"/>
  <c r="P30" i="15"/>
  <c r="Q30" i="15"/>
  <c r="Q29" i="15"/>
  <c r="P29" i="15"/>
  <c r="F9" i="15"/>
  <c r="F10" i="15"/>
  <c r="F11" i="15"/>
  <c r="F12" i="15"/>
  <c r="F13" i="15"/>
  <c r="F14" i="15"/>
  <c r="F16" i="15"/>
  <c r="F17" i="15"/>
  <c r="F18" i="15"/>
  <c r="F19" i="15"/>
  <c r="F20" i="15"/>
  <c r="F21" i="15"/>
  <c r="F22" i="15"/>
  <c r="E9" i="15"/>
  <c r="E10" i="15"/>
  <c r="E11" i="15"/>
  <c r="E12" i="15"/>
  <c r="E13" i="15"/>
  <c r="E14" i="15"/>
  <c r="E16" i="15"/>
  <c r="E17" i="15"/>
  <c r="E18" i="15"/>
  <c r="E19" i="15"/>
  <c r="E20" i="15"/>
  <c r="E21" i="15"/>
  <c r="E22" i="15"/>
  <c r="F8" i="15"/>
  <c r="E8" i="15"/>
  <c r="O71" i="14"/>
  <c r="N71" i="14"/>
  <c r="O69" i="14"/>
  <c r="N69" i="14"/>
  <c r="J66" i="14"/>
  <c r="K66" i="14"/>
  <c r="Q53" i="14"/>
  <c r="R53" i="14"/>
  <c r="M45" i="14"/>
  <c r="M44" i="14"/>
  <c r="R34" i="14"/>
  <c r="Q34" i="14"/>
  <c r="Q31" i="14"/>
  <c r="R31" i="14"/>
  <c r="R30" i="14"/>
  <c r="Q30" i="14"/>
  <c r="N39" i="14"/>
  <c r="M39" i="14"/>
  <c r="L39" i="14"/>
  <c r="O39" i="14"/>
  <c r="K15" i="14"/>
  <c r="K16" i="14"/>
  <c r="S38" i="14"/>
  <c r="K17" i="14"/>
  <c r="S39" i="14"/>
  <c r="M40" i="14"/>
  <c r="K18" i="14"/>
  <c r="K19" i="14"/>
  <c r="K20" i="14"/>
  <c r="K21" i="14"/>
  <c r="K14" i="14"/>
  <c r="J15" i="14"/>
  <c r="J16" i="14"/>
  <c r="R38" i="14"/>
  <c r="J17" i="14"/>
  <c r="R39" i="14"/>
  <c r="L40" i="14"/>
  <c r="K45" i="14"/>
  <c r="J18" i="14"/>
  <c r="J19" i="14"/>
  <c r="J20" i="14"/>
  <c r="J21" i="14"/>
  <c r="J14" i="14"/>
  <c r="M32" i="15"/>
  <c r="L32" i="15"/>
  <c r="K32" i="15"/>
  <c r="N32" i="15"/>
  <c r="F40" i="16"/>
  <c r="K34" i="16"/>
  <c r="L34" i="16"/>
  <c r="G40" i="16"/>
  <c r="M34" i="16"/>
  <c r="N34" i="16"/>
  <c r="E40" i="16"/>
  <c r="I30" i="16"/>
  <c r="J30" i="16"/>
  <c r="C52" i="16"/>
  <c r="D52" i="16"/>
  <c r="C51" i="16"/>
  <c r="D51" i="16"/>
  <c r="C50" i="16"/>
  <c r="D50" i="16"/>
  <c r="C49" i="16"/>
  <c r="D49" i="16"/>
  <c r="E50" i="16"/>
  <c r="E51" i="16"/>
  <c r="E52" i="16"/>
  <c r="E49" i="16"/>
  <c r="B52" i="16"/>
  <c r="B51" i="16"/>
  <c r="B50" i="16"/>
  <c r="B49" i="16"/>
  <c r="G30" i="16"/>
  <c r="H30" i="16"/>
  <c r="G31" i="16"/>
  <c r="H31" i="16"/>
  <c r="G32" i="16"/>
  <c r="H32" i="16"/>
  <c r="G33" i="16"/>
  <c r="H33" i="16"/>
  <c r="G34" i="16"/>
  <c r="H34" i="16"/>
  <c r="U58" i="14"/>
  <c r="V58" i="14"/>
  <c r="U56" i="14"/>
  <c r="V56" i="14"/>
  <c r="M41" i="14"/>
  <c r="M50" i="14"/>
  <c r="R52" i="14"/>
  <c r="L41" i="14"/>
  <c r="N40" i="14"/>
  <c r="L17" i="14"/>
  <c r="N64" i="14" a="1"/>
  <c r="N64" i="14"/>
  <c r="M21" i="14"/>
  <c r="L21" i="14"/>
  <c r="M17" i="14"/>
  <c r="O64" i="14" a="1"/>
  <c r="O64" i="14"/>
  <c r="L15" i="14"/>
  <c r="M15" i="14"/>
  <c r="K36" i="16"/>
  <c r="L36" i="16"/>
  <c r="K32" i="16"/>
  <c r="L32" i="16"/>
  <c r="K31" i="16"/>
  <c r="L31" i="16"/>
  <c r="K33" i="16"/>
  <c r="L33" i="16"/>
  <c r="K30" i="16"/>
  <c r="L30" i="16"/>
  <c r="K35" i="16"/>
  <c r="L35" i="16"/>
  <c r="M33" i="16"/>
  <c r="N33" i="16"/>
  <c r="M31" i="16"/>
  <c r="N31" i="16"/>
  <c r="M35" i="16"/>
  <c r="N35" i="16"/>
  <c r="M36" i="16"/>
  <c r="N36" i="16"/>
  <c r="M32" i="16"/>
  <c r="N32" i="16"/>
  <c r="M30" i="16"/>
  <c r="N30" i="16"/>
  <c r="I35" i="16"/>
  <c r="J35" i="16"/>
  <c r="I34" i="16"/>
  <c r="J34" i="16"/>
  <c r="I36" i="16"/>
  <c r="J36" i="16"/>
  <c r="I31" i="16"/>
  <c r="J31" i="16"/>
  <c r="I33" i="16"/>
  <c r="J33" i="16"/>
  <c r="I32" i="16"/>
  <c r="J32" i="16"/>
  <c r="G54" i="16"/>
  <c r="G49" i="16"/>
  <c r="G53" i="16"/>
  <c r="H37" i="16"/>
  <c r="D42" i="16"/>
  <c r="V50" i="14" a="1"/>
  <c r="V50" i="14"/>
  <c r="O63" i="14" a="1"/>
  <c r="O63" i="14"/>
  <c r="U50" i="14" a="1"/>
  <c r="U50" i="14"/>
  <c r="N63" i="14" a="1"/>
  <c r="N63" i="14"/>
  <c r="L50" i="14"/>
  <c r="Q52" i="14"/>
  <c r="L45" i="14"/>
  <c r="N44" i="14" a="1"/>
  <c r="O41" i="14"/>
  <c r="V29" i="14"/>
  <c r="V51" i="14" a="1"/>
  <c r="V51" i="14"/>
  <c r="U29" i="14"/>
  <c r="U51" i="14" a="1"/>
  <c r="U51" i="14"/>
  <c r="N41" i="14"/>
  <c r="N50" i="14"/>
  <c r="L37" i="16"/>
  <c r="F42" i="16"/>
  <c r="N37" i="16"/>
  <c r="G42" i="16"/>
  <c r="J37" i="16"/>
  <c r="E42" i="16"/>
  <c r="N44" i="14"/>
  <c r="H42" i="16"/>
  <c r="O50" i="14"/>
  <c r="O52" i="14"/>
  <c r="O40" i="14"/>
  <c r="C13" i="16"/>
  <c r="C12" i="16"/>
  <c r="C10" i="16"/>
  <c r="C9" i="16"/>
  <c r="C7" i="16"/>
  <c r="M57" i="14"/>
  <c r="M52" i="14"/>
  <c r="R56" i="14"/>
  <c r="L52" i="14"/>
  <c r="M58" i="14"/>
  <c r="J21" i="15"/>
  <c r="I21" i="15"/>
  <c r="J20" i="15"/>
  <c r="I20" i="15"/>
  <c r="J19" i="15"/>
  <c r="I19" i="15"/>
  <c r="J18" i="15"/>
  <c r="I18" i="15"/>
  <c r="J17" i="15"/>
  <c r="I17" i="15"/>
  <c r="J16" i="15"/>
  <c r="I16" i="15"/>
  <c r="J15" i="15"/>
  <c r="I15" i="15"/>
  <c r="J14" i="15"/>
  <c r="I14" i="15"/>
  <c r="Q10" i="15"/>
  <c r="P10" i="15"/>
  <c r="Q9" i="15"/>
  <c r="P9" i="15"/>
  <c r="Q8" i="15"/>
  <c r="P8" i="15"/>
  <c r="Q7" i="15"/>
  <c r="P7" i="15"/>
  <c r="R10" i="14"/>
  <c r="Q10" i="14"/>
  <c r="R9" i="14"/>
  <c r="Q9" i="14"/>
  <c r="R8" i="14"/>
  <c r="Q8" i="14"/>
  <c r="R7" i="14"/>
  <c r="Q7" i="14"/>
  <c r="N52" i="14"/>
  <c r="Q56" i="14"/>
  <c r="Q58" i="14"/>
  <c r="L15" i="15"/>
  <c r="K15" i="15"/>
  <c r="L21" i="15"/>
  <c r="L19" i="15"/>
  <c r="L17" i="15"/>
  <c r="M40" i="15" a="1"/>
  <c r="M40" i="15"/>
  <c r="K19" i="15"/>
  <c r="K17" i="15"/>
  <c r="L40" i="15" a="1"/>
  <c r="L40" i="15"/>
  <c r="K21" i="15"/>
  <c r="Q40" i="15" a="1"/>
  <c r="Q40" i="15"/>
  <c r="M41" i="15" a="1"/>
  <c r="M41" i="15"/>
  <c r="P40" i="15" a="1"/>
  <c r="P40" i="15"/>
  <c r="L41" i="15" a="1"/>
  <c r="L41" i="15"/>
  <c r="N40" i="15"/>
  <c r="R58" i="14"/>
  <c r="Q59" i="14"/>
  <c r="R59" i="14"/>
  <c r="R40" i="15"/>
  <c r="S40" i="15"/>
  <c r="T40" i="15"/>
  <c r="X40" i="15"/>
  <c r="U54" i="14"/>
  <c r="V54" i="14"/>
  <c r="AB29" i="15" a="1"/>
  <c r="AB29" i="15"/>
  <c r="K50" i="15"/>
  <c r="Y40" i="15"/>
  <c r="R61" i="14"/>
  <c r="R62" i="14"/>
  <c r="Z40" i="15"/>
  <c r="L50" i="15"/>
  <c r="AC29" i="15" a="1"/>
  <c r="AC29" i="15"/>
  <c r="S61" i="14"/>
  <c r="M54" i="14"/>
  <c r="E63" i="14"/>
  <c r="K65" i="14"/>
  <c r="L54" i="14"/>
  <c r="S62" i="14"/>
  <c r="M53" i="14"/>
  <c r="L53" i="14"/>
  <c r="K58" i="14"/>
  <c r="AA40" i="15"/>
  <c r="I41" i="15"/>
  <c r="K54" i="15"/>
  <c r="O55" i="15"/>
  <c r="L58" i="14"/>
  <c r="N57" i="14" a="1"/>
  <c r="D63" i="14"/>
  <c r="J65" i="14"/>
  <c r="N54" i="14"/>
  <c r="F63" i="14"/>
  <c r="N53" i="14"/>
  <c r="R41" i="15"/>
  <c r="P50" i="15"/>
  <c r="R49" i="15" a="1"/>
  <c r="AB31" i="15" a="1"/>
  <c r="AB31" i="15"/>
  <c r="N41" i="15"/>
  <c r="J41" i="15"/>
  <c r="L54" i="15"/>
  <c r="M54" i="15"/>
  <c r="N57" i="14"/>
  <c r="O53" i="14"/>
  <c r="O54" i="14"/>
  <c r="G63" i="14"/>
  <c r="R49" i="15"/>
  <c r="N49" i="15"/>
  <c r="N50" i="15"/>
  <c r="M50" i="15"/>
  <c r="AC31" i="15" a="1"/>
  <c r="AC31" i="15"/>
  <c r="S41" i="15"/>
  <c r="G65" i="14"/>
  <c r="E70" i="14"/>
  <c r="T41" i="15"/>
  <c r="X41" i="15"/>
  <c r="D65" i="14"/>
  <c r="J69" i="14"/>
  <c r="J71" i="14"/>
  <c r="K71" i="14"/>
  <c r="E65" i="14"/>
  <c r="K69" i="14"/>
  <c r="AB32" i="15" a="1"/>
  <c r="AB32" i="15"/>
  <c r="K55" i="15"/>
  <c r="P55" i="15"/>
  <c r="R54" i="15" a="1"/>
  <c r="Y41" i="15"/>
  <c r="J72" i="14"/>
  <c r="K72" i="14"/>
  <c r="N67" i="14"/>
  <c r="O67" i="14"/>
  <c r="E71" i="14"/>
  <c r="F65" i="14"/>
  <c r="R54" i="15"/>
  <c r="N54" i="15"/>
  <c r="N55" i="15"/>
  <c r="Z41" i="15"/>
  <c r="AA41" i="15"/>
  <c r="L55" i="15"/>
  <c r="M55" i="15"/>
  <c r="AC32" i="15" a="1"/>
  <c r="AC32" i="15"/>
  <c r="K74" i="14"/>
  <c r="K75" i="14"/>
  <c r="L74" i="14"/>
  <c r="E67" i="14"/>
  <c r="D67" i="14"/>
  <c r="D71" i="14"/>
  <c r="L75" i="14"/>
  <c r="E66" i="14"/>
  <c r="D66" i="14"/>
  <c r="C71" i="14"/>
  <c r="F66" i="14"/>
  <c r="F70" i="14" a="1"/>
  <c r="F67" i="14"/>
  <c r="F70" i="14"/>
  <c r="G66" i="14"/>
  <c r="G6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<sst xmlns="http://schemas.openxmlformats.org/spreadsheetml/2006/main" count="431" uniqueCount="161">
  <si>
    <t xml:space="preserve"> Datos de equilibrio</t>
  </si>
  <si>
    <t>Etiquetas Rectas Reparto</t>
  </si>
  <si>
    <t xml:space="preserve"> Coordenadas extremos de las líneas de reparto</t>
  </si>
  <si>
    <t xml:space="preserve"> Zona del Refinado</t>
  </si>
  <si>
    <t xml:space="preserve"> Zona del Extracto</t>
  </si>
  <si>
    <t>disolvente</t>
  </si>
  <si>
    <t>soluto</t>
  </si>
  <si>
    <t>portador</t>
  </si>
  <si>
    <t>m</t>
  </si>
  <si>
    <t>n</t>
  </si>
  <si>
    <t>abscisas</t>
  </si>
  <si>
    <t>ordenadas</t>
  </si>
  <si>
    <t>Línea</t>
  </si>
  <si>
    <t>x</t>
  </si>
  <si>
    <t>y</t>
  </si>
  <si>
    <t>Título</t>
  </si>
  <si>
    <t xml:space="preserve"> Datos para el gráfico</t>
  </si>
  <si>
    <t>Eje x</t>
  </si>
  <si>
    <t>Eje y</t>
  </si>
  <si>
    <t xml:space="preserve"> Diagonal </t>
  </si>
  <si>
    <t>Disolvente</t>
  </si>
  <si>
    <t>Soluto</t>
  </si>
  <si>
    <t>Portador</t>
  </si>
  <si>
    <t>Caudal</t>
  </si>
  <si>
    <t>Corrientes:</t>
  </si>
  <si>
    <t>(%w/w)</t>
  </si>
  <si>
    <t>(kg/h)</t>
  </si>
  <si>
    <t>water</t>
  </si>
  <si>
    <t>Solvent</t>
  </si>
  <si>
    <t>Acetic acid</t>
  </si>
  <si>
    <t>C</t>
  </si>
  <si>
    <r>
      <rPr>
        <b/>
        <i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 xml:space="preserve"> (ºC)</t>
    </r>
  </si>
  <si>
    <r>
      <t xml:space="preserve">P </t>
    </r>
    <r>
      <rPr>
        <b/>
        <sz val="12"/>
        <color theme="1"/>
        <rFont val="Times New Roman"/>
        <family val="1"/>
      </rPr>
      <t>(Pa)</t>
    </r>
  </si>
  <si>
    <r>
      <t>q</t>
    </r>
    <r>
      <rPr>
        <b/>
        <sz val="12"/>
        <color rgb="FF000000"/>
        <rFont val="Times New Roman"/>
        <family val="1"/>
      </rPr>
      <t xml:space="preserve"> (mol/kg)</t>
    </r>
  </si>
  <si>
    <t>ε</t>
  </si>
  <si>
    <t xml:space="preserve"> Extremos de las líneas de reparto sobre la curva de equilibrio</t>
  </si>
  <si>
    <t>Nombre</t>
  </si>
  <si>
    <t>DNI (sin letra)</t>
  </si>
  <si>
    <t>Fracción másica del disolvente (%masa)</t>
  </si>
  <si>
    <t>Fracción másica del soluto (%masa)</t>
  </si>
  <si>
    <t>Diagrama ternario</t>
  </si>
  <si>
    <t>Extracción</t>
  </si>
  <si>
    <t>Corriente</t>
  </si>
  <si>
    <t>Apellidos</t>
  </si>
  <si>
    <t xml:space="preserve"> Parámetro </t>
  </si>
  <si>
    <t>Valor</t>
  </si>
  <si>
    <t xml:space="preserve"> Descripción</t>
  </si>
  <si>
    <r>
      <rPr>
        <sz val="12"/>
        <rFont val="Calibri"/>
        <family val="2"/>
      </rPr>
      <t>ρ</t>
    </r>
    <r>
      <rPr>
        <vertAlign val="subscript"/>
        <sz val="10.199999999999999"/>
        <rFont val="Times New Roman"/>
        <family val="1"/>
      </rPr>
      <t>p</t>
    </r>
    <r>
      <rPr>
        <sz val="10.199999999999999"/>
        <rFont val="Times New Roman"/>
        <family val="1"/>
      </rPr>
      <t xml:space="preserve"> (g/cm</t>
    </r>
    <r>
      <rPr>
        <vertAlign val="superscript"/>
        <sz val="10.199999999999999"/>
        <rFont val="Times New Roman"/>
        <family val="1"/>
      </rPr>
      <t>3</t>
    </r>
    <r>
      <rPr>
        <sz val="10.199999999999999"/>
        <rFont val="Times New Roman"/>
        <family val="1"/>
      </rPr>
      <t>)</t>
    </r>
  </si>
  <si>
    <t>Densidad de partícula</t>
  </si>
  <si>
    <t>Porosidad de lecho</t>
  </si>
  <si>
    <t>Diámetro de la columna</t>
  </si>
  <si>
    <t>Temperatura de la corriente gaseosa</t>
  </si>
  <si>
    <r>
      <rPr>
        <i/>
        <sz val="12"/>
        <rFont val="Times New Roman"/>
        <family val="1"/>
      </rPr>
      <t>P</t>
    </r>
    <r>
      <rPr>
        <sz val="12"/>
        <rFont val="Times New Roman"/>
        <family val="1"/>
      </rPr>
      <t xml:space="preserve"> (atm)</t>
    </r>
  </si>
  <si>
    <t>Presión de la corriente gaseosa</t>
  </si>
  <si>
    <t>Volumen a tratar</t>
  </si>
  <si>
    <t>Contenido de xileno en la corriente gaseosa</t>
  </si>
  <si>
    <r>
      <rPr>
        <i/>
        <sz val="12"/>
        <rFont val="Times New Roman"/>
        <family val="1"/>
      </rPr>
      <t>T</t>
    </r>
    <r>
      <rPr>
        <i/>
        <vertAlign val="subscript"/>
        <sz val="12"/>
        <rFont val="Times New Roman"/>
        <family val="1"/>
      </rPr>
      <t>gas</t>
    </r>
    <r>
      <rPr>
        <sz val="12"/>
        <rFont val="Times New Roman"/>
        <family val="1"/>
      </rPr>
      <t xml:space="preserve"> (ºC)</t>
    </r>
  </si>
  <si>
    <r>
      <rPr>
        <i/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 %</t>
    </r>
  </si>
  <si>
    <r>
      <rPr>
        <i/>
        <sz val="12"/>
        <rFont val="Times New Roman"/>
        <family val="1"/>
      </rPr>
      <t>d</t>
    </r>
    <r>
      <rPr>
        <i/>
        <vertAlign val="subscript"/>
        <sz val="12"/>
        <rFont val="Times New Roman"/>
        <family val="1"/>
      </rPr>
      <t>c</t>
    </r>
    <r>
      <rPr>
        <sz val="12"/>
        <rFont val="Times New Roman"/>
        <family val="1"/>
      </rPr>
      <t xml:space="preserve"> (cm)</t>
    </r>
  </si>
  <si>
    <r>
      <rPr>
        <i/>
        <sz val="12"/>
        <rFont val="Times New Roman"/>
        <family val="1"/>
      </rPr>
      <t>V</t>
    </r>
    <r>
      <rPr>
        <i/>
        <vertAlign val="subscript"/>
        <sz val="12"/>
        <rFont val="Times New Roman"/>
        <family val="1"/>
      </rPr>
      <t>gas</t>
    </r>
    <r>
      <rPr>
        <sz val="12"/>
        <rFont val="Times New Roman"/>
        <family val="1"/>
      </rPr>
      <t xml:space="preserve"> (m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)</t>
    </r>
  </si>
  <si>
    <t xml:space="preserve">DNI: </t>
  </si>
  <si>
    <t>Alex</t>
  </si>
  <si>
    <t>Porras Palma</t>
  </si>
  <si>
    <t>79160874A</t>
  </si>
  <si>
    <t>Balance de materia</t>
  </si>
  <si>
    <t>acetato</t>
  </si>
  <si>
    <t>Agua</t>
  </si>
  <si>
    <t>A.acético</t>
  </si>
  <si>
    <t>Alimento</t>
  </si>
  <si>
    <t>Mezcla</t>
  </si>
  <si>
    <t>Extracto</t>
  </si>
  <si>
    <t>Refinado</t>
  </si>
  <si>
    <t>F</t>
  </si>
  <si>
    <t>S</t>
  </si>
  <si>
    <t>M</t>
  </si>
  <si>
    <t>E</t>
  </si>
  <si>
    <t>R</t>
  </si>
  <si>
    <t>Coordenada de los puntos en las rectas</t>
  </si>
  <si>
    <t>Acetato</t>
  </si>
  <si>
    <t>Etilenglicol</t>
  </si>
  <si>
    <t>Recta F-S</t>
  </si>
  <si>
    <t>Punto de mezcla M</t>
  </si>
  <si>
    <t xml:space="preserve">Se puede aproximar la recta interpolada </t>
  </si>
  <si>
    <t>a la recta de reparto número 2</t>
  </si>
  <si>
    <t>Ecuaciones de la recta</t>
  </si>
  <si>
    <t>pendiente</t>
  </si>
  <si>
    <t>Línea de reparto (aprox_2)</t>
  </si>
  <si>
    <t>Recta_2</t>
  </si>
  <si>
    <t>Tramo lineal en el refinado</t>
  </si>
  <si>
    <t>T.L.Ref</t>
  </si>
  <si>
    <t>Tramo Lineal en extracto</t>
  </si>
  <si>
    <t>T.L.Ext</t>
  </si>
  <si>
    <t>Recta R-E</t>
  </si>
  <si>
    <t>2 ETAPA</t>
  </si>
  <si>
    <t>Puntos para interpolar linea de reparto</t>
  </si>
  <si>
    <t>origen</t>
  </si>
  <si>
    <t>Línea de reparto interpolada</t>
  </si>
  <si>
    <t>Rect.int</t>
  </si>
  <si>
    <t>3 ETAPA</t>
  </si>
  <si>
    <t>RMSE</t>
  </si>
  <si>
    <t>(qmax-qexp)^2</t>
  </si>
  <si>
    <t>qmodel(mol/kg)</t>
  </si>
  <si>
    <t>T</t>
  </si>
  <si>
    <t>qmax(mol/kg)</t>
  </si>
  <si>
    <t>Apartado B)</t>
  </si>
  <si>
    <t>Entalpçia de adsorción</t>
  </si>
  <si>
    <t>Usamos Van't Hoff</t>
  </si>
  <si>
    <t>T(K)</t>
  </si>
  <si>
    <t>Ln(K)</t>
  </si>
  <si>
    <t>1/T</t>
  </si>
  <si>
    <t>R(J/(Kmol)</t>
  </si>
  <si>
    <t>J/mol</t>
  </si>
  <si>
    <t>y2</t>
  </si>
  <si>
    <t>K(atm-1)</t>
  </si>
  <si>
    <t>KL(Pa-1)</t>
  </si>
  <si>
    <t>columnas</t>
  </si>
  <si>
    <t>xe</t>
  </si>
  <si>
    <t>xr</t>
  </si>
  <si>
    <t>MxM</t>
  </si>
  <si>
    <t>refinado</t>
  </si>
  <si>
    <t>extracto</t>
  </si>
  <si>
    <t>Reinado</t>
  </si>
  <si>
    <t>Ref</t>
  </si>
  <si>
    <t>Ext</t>
  </si>
  <si>
    <t>Datos del tramo lineal refinado</t>
  </si>
  <si>
    <t>Acetato (x)</t>
  </si>
  <si>
    <t>HAc (y)</t>
  </si>
  <si>
    <t>L.R</t>
  </si>
  <si>
    <t>Datos del tramo lineal extracto</t>
  </si>
  <si>
    <t>-</t>
  </si>
  <si>
    <t>Acetato(x)</t>
  </si>
  <si>
    <t>Hac(y)</t>
  </si>
  <si>
    <t>Rn</t>
  </si>
  <si>
    <t>E1</t>
  </si>
  <si>
    <t>Punto P</t>
  </si>
  <si>
    <t>Recta de reparto superior</t>
  </si>
  <si>
    <t>N</t>
  </si>
  <si>
    <t>m1</t>
  </si>
  <si>
    <t>n1</t>
  </si>
  <si>
    <t>y1</t>
  </si>
  <si>
    <t>Recta de reparto inferior</t>
  </si>
  <si>
    <t>m2</t>
  </si>
  <si>
    <t>n2</t>
  </si>
  <si>
    <t>Recta interpolada</t>
  </si>
  <si>
    <t>tramo</t>
  </si>
  <si>
    <t>¿?</t>
  </si>
  <si>
    <t>binodal refinado</t>
  </si>
  <si>
    <t>X</t>
  </si>
  <si>
    <t>Y</t>
  </si>
  <si>
    <t>Linea para E1</t>
  </si>
  <si>
    <t>Tramo</t>
  </si>
  <si>
    <t>Binodal extracto</t>
  </si>
  <si>
    <t>Trazado de etapas de equilibrio y balances de materia</t>
  </si>
  <si>
    <t>P</t>
  </si>
  <si>
    <t>Recta F-E1</t>
  </si>
  <si>
    <t>Recta Rn-S</t>
  </si>
  <si>
    <t>Composiscion y caudal del refinado y el extracto 2 etapas</t>
  </si>
  <si>
    <t>Etapa1</t>
  </si>
  <si>
    <t>R1</t>
  </si>
  <si>
    <t>w/w%</t>
  </si>
  <si>
    <t>MXm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</si>
</sst>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2"/>
    </font>
    <font>
      <sz val="12"/>
      <name val="Calibri"/>
      <family val="2"/>
    </font>
    <font>
      <vertAlign val="subscript"/>
      <sz val="10.199999999999999"/>
      <name val="Times New Roman"/>
      <family val="1"/>
    </font>
    <font>
      <sz val="10.199999999999999"/>
      <name val="Times New Roman"/>
      <family val="1"/>
    </font>
    <font>
      <vertAlign val="superscript"/>
      <sz val="10.199999999999999"/>
      <name val="Times New Roman"/>
      <family val="1"/>
    </font>
    <font>
      <sz val="12"/>
      <name val="Times New Roman"/>
      <family val="1"/>
    </font>
    <font>
      <i/>
      <sz val="12"/>
      <name val="Calibri"/>
      <family val="2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i/>
      <vertAlign val="subscript"/>
      <sz val="12"/>
      <name val="Times New Roman"/>
      <family val="1"/>
    </font>
    <font>
      <vertAlign val="subscript"/>
      <sz val="12"/>
      <name val="Times New Roman"/>
      <family val="1"/>
    </font>
    <font>
      <b/>
      <sz val="12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9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2" fillId="0" borderId="1" xfId="0" quotePrefix="1" applyFont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4" fillId="0" borderId="0" xfId="0" applyFont="1" applyProtection="1">
      <protection locked="0"/>
    </xf>
    <xf numFmtId="0" fontId="4" fillId="0" borderId="0" xfId="0" applyFont="1"/>
    <xf numFmtId="0" fontId="5" fillId="0" borderId="0" xfId="0" applyFont="1" applyProtection="1">
      <protection locked="0"/>
    </xf>
    <xf numFmtId="0" fontId="4" fillId="2" borderId="1" xfId="0" applyFont="1" applyFill="1" applyBorder="1" applyProtection="1">
      <protection locked="0"/>
    </xf>
    <xf numFmtId="0" fontId="4" fillId="2" borderId="7" xfId="0" applyFont="1" applyFill="1" applyBorder="1" applyProtection="1"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4" fillId="3" borderId="1" xfId="0" quotePrefix="1" applyFont="1" applyFill="1" applyBorder="1" applyAlignment="1" applyProtection="1">
      <alignment vertical="center"/>
      <protection locked="0"/>
    </xf>
    <xf numFmtId="0" fontId="4" fillId="3" borderId="7" xfId="0" applyFont="1" applyFill="1" applyBorder="1" applyProtection="1">
      <protection locked="0"/>
    </xf>
    <xf numFmtId="0" fontId="4" fillId="3" borderId="2" xfId="0" applyFont="1" applyFill="1" applyBorder="1" applyProtection="1">
      <protection locked="0"/>
    </xf>
    <xf numFmtId="0" fontId="0" fillId="3" borderId="11" xfId="0" applyFill="1" applyBorder="1"/>
    <xf numFmtId="0" fontId="2" fillId="2" borderId="1" xfId="0" quotePrefix="1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6" fillId="2" borderId="0" xfId="0" applyFont="1" applyFill="1" applyBorder="1" applyAlignment="1" applyProtection="1">
      <alignment horizontal="center" vertical="center"/>
      <protection locked="0"/>
    </xf>
    <xf numFmtId="11" fontId="4" fillId="2" borderId="3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right"/>
      <protection locked="0"/>
    </xf>
    <xf numFmtId="0" fontId="0" fillId="2" borderId="7" xfId="0" applyFill="1" applyBorder="1"/>
    <xf numFmtId="0" fontId="0" fillId="2" borderId="2" xfId="0" applyFill="1" applyBorder="1"/>
    <xf numFmtId="0" fontId="2" fillId="3" borderId="1" xfId="0" quotePrefix="1" applyFont="1" applyFill="1" applyBorder="1"/>
    <xf numFmtId="0" fontId="0" fillId="3" borderId="7" xfId="0" applyFill="1" applyBorder="1"/>
    <xf numFmtId="0" fontId="0" fillId="3" borderId="2" xfId="0" applyFill="1" applyBorder="1"/>
    <xf numFmtId="0" fontId="2" fillId="0" borderId="3" xfId="0" applyFont="1" applyBorder="1"/>
    <xf numFmtId="0" fontId="2" fillId="0" borderId="5" xfId="0" applyFont="1" applyBorder="1"/>
    <xf numFmtId="0" fontId="0" fillId="2" borderId="0" xfId="0" applyFill="1"/>
    <xf numFmtId="0" fontId="2" fillId="2" borderId="3" xfId="0" quotePrefix="1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9" fillId="0" borderId="0" xfId="0" applyFont="1" applyBorder="1" applyAlignment="1" applyProtection="1">
      <alignment horizontal="center"/>
      <protection locked="0"/>
    </xf>
    <xf numFmtId="0" fontId="0" fillId="0" borderId="5" xfId="0" applyBorder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0" xfId="0" applyFont="1"/>
    <xf numFmtId="0" fontId="2" fillId="3" borderId="9" xfId="0" applyFont="1" applyFill="1" applyBorder="1"/>
    <xf numFmtId="0" fontId="4" fillId="3" borderId="9" xfId="0" quotePrefix="1" applyFont="1" applyFill="1" applyBorder="1" applyAlignment="1" applyProtection="1">
      <alignment vertical="center"/>
      <protection locked="0"/>
    </xf>
    <xf numFmtId="0" fontId="4" fillId="3" borderId="10" xfId="0" applyFont="1" applyFill="1" applyBorder="1" applyProtection="1">
      <protection locked="0"/>
    </xf>
    <xf numFmtId="0" fontId="4" fillId="3" borderId="11" xfId="0" applyFont="1" applyFill="1" applyBorder="1" applyProtection="1">
      <protection locked="0"/>
    </xf>
    <xf numFmtId="0" fontId="0" fillId="0" borderId="0" xfId="0" applyFont="1" applyBorder="1"/>
    <xf numFmtId="0" fontId="2" fillId="3" borderId="1" xfId="0" quotePrefix="1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2" borderId="5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Protection="1">
      <protection locked="0"/>
    </xf>
    <xf numFmtId="0" fontId="5" fillId="2" borderId="8" xfId="0" applyFont="1" applyFill="1" applyBorder="1" applyProtection="1">
      <protection locked="0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12" xfId="0" quotePrefix="1" applyFont="1" applyFill="1" applyBorder="1" applyAlignment="1">
      <alignment horizontal="left"/>
    </xf>
    <xf numFmtId="0" fontId="13" fillId="3" borderId="12" xfId="0" applyFont="1" applyFill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22" fillId="0" borderId="7" xfId="0" applyFont="1" applyBorder="1" applyAlignment="1">
      <alignment horizontal="center"/>
    </xf>
    <xf numFmtId="0" fontId="23" fillId="0" borderId="3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22" fillId="0" borderId="3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0" borderId="0" xfId="0" applyAlignment="1"/>
    <xf numFmtId="0" fontId="28" fillId="0" borderId="0" xfId="0" applyFont="1" applyAlignment="1">
      <alignment horizontal="left"/>
    </xf>
    <xf numFmtId="1" fontId="11" fillId="2" borderId="0" xfId="0" applyNumberFormat="1" applyFont="1" applyFill="1"/>
    <xf numFmtId="0" fontId="5" fillId="2" borderId="0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30" fillId="0" borderId="3" xfId="0" applyFont="1" applyBorder="1"/>
    <xf numFmtId="0" fontId="30" fillId="0" borderId="0" xfId="0" applyFont="1" applyBorder="1"/>
    <xf numFmtId="0" fontId="30" fillId="0" borderId="5" xfId="0" applyFont="1" applyBorder="1"/>
    <xf numFmtId="0" fontId="30" fillId="0" borderId="8" xfId="0" applyFont="1" applyBorder="1"/>
    <xf numFmtId="0" fontId="3" fillId="0" borderId="3" xfId="0" applyFont="1" applyBorder="1"/>
    <xf numFmtId="0" fontId="3" fillId="0" borderId="0" xfId="0" applyFont="1" applyBorder="1"/>
    <xf numFmtId="0" fontId="2" fillId="0" borderId="1" xfId="0" applyFont="1" applyBorder="1"/>
    <xf numFmtId="0" fontId="3" fillId="0" borderId="7" xfId="1" applyBorder="1"/>
    <xf numFmtId="0" fontId="3" fillId="0" borderId="2" xfId="1" applyBorder="1"/>
    <xf numFmtId="0" fontId="3" fillId="0" borderId="0" xfId="1" applyBorder="1"/>
    <xf numFmtId="0" fontId="3" fillId="0" borderId="4" xfId="1" applyBorder="1"/>
    <xf numFmtId="0" fontId="8" fillId="5" borderId="4" xfId="3" applyBorder="1"/>
    <xf numFmtId="0" fontId="7" fillId="4" borderId="0" xfId="2"/>
    <xf numFmtId="0" fontId="0" fillId="0" borderId="7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2" borderId="7" xfId="0" applyFont="1" applyFill="1" applyBorder="1" applyAlignment="1" applyProtection="1">
      <alignment vertical="center"/>
      <protection locked="0"/>
    </xf>
    <xf numFmtId="0" fontId="6" fillId="2" borderId="2" xfId="0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>
      <alignment horizontal="left"/>
    </xf>
    <xf numFmtId="0" fontId="0" fillId="0" borderId="13" xfId="0" applyBorder="1" applyAlignment="1"/>
    <xf numFmtId="0" fontId="12" fillId="0" borderId="13" xfId="0" applyFont="1" applyBorder="1"/>
    <xf numFmtId="0" fontId="2" fillId="0" borderId="13" xfId="0" applyFont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7" fillId="4" borderId="13" xfId="2" applyBorder="1"/>
    <xf numFmtId="0" fontId="29" fillId="6" borderId="13" xfId="4" applyFont="1" applyBorder="1" applyAlignment="1"/>
    <xf numFmtId="0" fontId="29" fillId="6" borderId="13" xfId="4" applyFont="1" applyBorder="1"/>
    <xf numFmtId="0" fontId="29" fillId="7" borderId="13" xfId="5" applyFont="1" applyBorder="1" applyAlignment="1"/>
    <xf numFmtId="0" fontId="29" fillId="7" borderId="13" xfId="5" applyFont="1" applyBorder="1"/>
    <xf numFmtId="0" fontId="29" fillId="9" borderId="13" xfId="7" applyFont="1" applyBorder="1" applyAlignment="1"/>
    <xf numFmtId="0" fontId="29" fillId="9" borderId="13" xfId="7" applyFont="1" applyBorder="1"/>
    <xf numFmtId="0" fontId="29" fillId="8" borderId="13" xfId="6" applyFont="1" applyBorder="1" applyAlignment="1"/>
    <xf numFmtId="0" fontId="29" fillId="8" borderId="13" xfId="6" applyFont="1" applyBorder="1"/>
    <xf numFmtId="0" fontId="8" fillId="5" borderId="13" xfId="3" applyBorder="1"/>
    <xf numFmtId="0" fontId="2" fillId="0" borderId="0" xfId="0" applyFont="1"/>
    <xf numFmtId="0" fontId="2" fillId="0" borderId="13" xfId="0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1" fillId="0" borderId="0" xfId="0" applyFont="1" applyBorder="1"/>
    <xf numFmtId="0" fontId="31" fillId="0" borderId="4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7" xfId="0" quotePrefix="1" applyFont="1" applyFill="1" applyBorder="1"/>
    <xf numFmtId="0" fontId="2" fillId="2" borderId="7" xfId="0" quotePrefix="1" applyFont="1" applyFill="1" applyBorder="1"/>
    <xf numFmtId="0" fontId="4" fillId="3" borderId="10" xfId="0" quotePrefix="1" applyFont="1" applyFill="1" applyBorder="1" applyAlignment="1" applyProtection="1">
      <alignment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2" applyAlignment="1">
      <alignment horizontal="center"/>
    </xf>
    <xf numFmtId="0" fontId="30" fillId="0" borderId="4" xfId="0" applyFont="1" applyBorder="1"/>
    <xf numFmtId="0" fontId="30" fillId="0" borderId="6" xfId="0" applyFont="1" applyBorder="1"/>
    <xf numFmtId="0" fontId="32" fillId="0" borderId="3" xfId="0" applyFont="1" applyBorder="1"/>
    <xf numFmtId="0" fontId="32" fillId="0" borderId="0" xfId="0" applyFont="1" applyBorder="1"/>
    <xf numFmtId="0" fontId="32" fillId="0" borderId="4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5" fillId="2" borderId="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9" fillId="6" borderId="13" xfId="4" applyFont="1" applyBorder="1" applyAlignment="1">
      <alignment horizontal="center"/>
    </xf>
    <xf numFmtId="0" fontId="29" fillId="7" borderId="13" xfId="5" applyFont="1" applyBorder="1" applyAlignment="1">
      <alignment horizontal="center"/>
    </xf>
    <xf numFmtId="0" fontId="29" fillId="9" borderId="13" xfId="7" applyFont="1" applyBorder="1" applyAlignment="1">
      <alignment horizontal="center"/>
    </xf>
    <xf numFmtId="0" fontId="1" fillId="8" borderId="13" xfId="6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2" borderId="1" xfId="0" quotePrefix="1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2" xfId="0" applyFont="1" applyBorder="1" applyAlignment="1">
      <alignment horizontal="left"/>
    </xf>
  </cellXfs>
  <cellStyles count="8">
    <cellStyle name="40% - Accent1" xfId="4" builtinId="31"/>
    <cellStyle name="40% - Accent2" xfId="5" builtinId="35"/>
    <cellStyle name="40% - Accent4" xfId="7" builtinId="43"/>
    <cellStyle name="60% - Accent2" xfId="6" builtinId="36"/>
    <cellStyle name="Dato" xfId="1" xr:uid="{EA01D98F-A152-894B-A060-9AD0F9A3FE83}"/>
    <cellStyle name="error2" xfId="2" xr:uid="{92FAC6FD-296D-A444-872A-BD12E0F11CC2}"/>
    <cellStyle name="Normal" xfId="0" builtinId="0"/>
    <cellStyle name="Param" xfId="3" xr:uid="{9AC0F42E-72D8-F045-BCD7-FCC26255C61B}"/>
  </cellStyles>
  <dxfs count="0"/>
  <tableStyles count="0" defaultTableStyle="TableStyleMedium2" defaultPivotStyle="PivotStyleLight16"/>
  <colors>
    <mruColors>
      <color rgb="FFFFF2CC"/>
      <color rgb="FFD6DCE5"/>
      <color rgb="FFFBDCFE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11" Type="http://schemas.openxmlformats.org/officeDocument/2006/relationships/customXml" Target="../customXml/item3.xml" /><Relationship Id="rId5" Type="http://schemas.openxmlformats.org/officeDocument/2006/relationships/styles" Target="styles.xml" /><Relationship Id="rId10" Type="http://schemas.openxmlformats.org/officeDocument/2006/relationships/customXml" Target="../customXml/item2.xml" /><Relationship Id="rId4" Type="http://schemas.openxmlformats.org/officeDocument/2006/relationships/theme" Target="theme/theme1.xml" /><Relationship Id="rId9" Type="http://schemas.openxmlformats.org/officeDocument/2006/relationships/customXml" Target="../customXml/item1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'P1 (a) ELL simple'!$P$14</c:f>
          <c:strCache>
            <c:ptCount val="1"/>
            <c:pt idx="0">
              <c:v>Diagrama ternario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03744399976168"/>
          <c:y val="0.1264453375516435"/>
          <c:w val="0.80853658367485426"/>
          <c:h val="0.74200151527450819"/>
        </c:manualLayout>
      </c:layout>
      <c:scatterChart>
        <c:scatterStyle val="lineMarker"/>
        <c:varyColors val="0"/>
        <c:ser>
          <c:idx val="2"/>
          <c:order val="0"/>
          <c:tx>
            <c:strRef>
              <c:f>'P1 (a) ELL simple'!$O$17</c:f>
              <c:strCache>
                <c:ptCount val="1"/>
                <c:pt idx="0">
                  <c:v> Diagonal 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chemeClr val="tx1"/>
                </a:solidFill>
                <a:prstDash val="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007-4A72-A31B-8C71FFB72154}"/>
              </c:ext>
            </c:extLst>
          </c:dPt>
          <c:xVal>
            <c:numRef>
              <c:f>('P1 (a) ELL simple'!$O$18:$O$19,'P1 (a) ELL simple'!$Q$30:$Q$31)</c:f>
              <c:numCache>
                <c:formatCode>General</c:formatCode>
                <c:ptCount val="4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</c:numCache>
            </c:numRef>
          </c:xVal>
          <c:yVal>
            <c:numRef>
              <c:f>'P1 (a) ELL simple'!$P$18:$P$19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07-4A72-A31B-8C71FFB72154}"/>
            </c:ext>
          </c:extLst>
        </c:ser>
        <c:ser>
          <c:idx val="0"/>
          <c:order val="1"/>
          <c:tx>
            <c:strRef>
              <c:f>'P1 (a) ELL simple'!$B$4</c:f>
              <c:strCache>
                <c:ptCount val="1"/>
                <c:pt idx="0">
                  <c:v> Datos de equilibrio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'P1 (a) ELL simple'!$B$7:$B$23</c:f>
              <c:numCache>
                <c:formatCode>General</c:formatCode>
                <c:ptCount val="17"/>
                <c:pt idx="0">
                  <c:v>0.09</c:v>
                </c:pt>
                <c:pt idx="1">
                  <c:v>0.12</c:v>
                </c:pt>
                <c:pt idx="2">
                  <c:v>0.18</c:v>
                </c:pt>
                <c:pt idx="3">
                  <c:v>0.2</c:v>
                </c:pt>
                <c:pt idx="4">
                  <c:v>0.49</c:v>
                </c:pt>
                <c:pt idx="5">
                  <c:v>1.1299999999999999</c:v>
                </c:pt>
                <c:pt idx="6">
                  <c:v>3.11</c:v>
                </c:pt>
                <c:pt idx="7">
                  <c:v>11.4</c:v>
                </c:pt>
                <c:pt idx="8">
                  <c:v>21.25</c:v>
                </c:pt>
                <c:pt idx="9">
                  <c:v>29.580000000000002</c:v>
                </c:pt>
                <c:pt idx="10">
                  <c:v>39.31</c:v>
                </c:pt>
                <c:pt idx="11">
                  <c:v>50.249999999999993</c:v>
                </c:pt>
                <c:pt idx="12">
                  <c:v>61.660000000000004</c:v>
                </c:pt>
                <c:pt idx="13">
                  <c:v>73.91</c:v>
                </c:pt>
                <c:pt idx="14">
                  <c:v>86.37</c:v>
                </c:pt>
                <c:pt idx="15">
                  <c:v>99.44</c:v>
                </c:pt>
              </c:numCache>
            </c:numRef>
          </c:xVal>
          <c:yVal>
            <c:numRef>
              <c:f>'P1 (a) ELL simple'!$C$7:$C$23</c:f>
              <c:numCache>
                <c:formatCode>General</c:formatCode>
                <c:ptCount val="17"/>
                <c:pt idx="0">
                  <c:v>0</c:v>
                </c:pt>
                <c:pt idx="1">
                  <c:v>10.54</c:v>
                </c:pt>
                <c:pt idx="2">
                  <c:v>20.74</c:v>
                </c:pt>
                <c:pt idx="3">
                  <c:v>31.230000000000004</c:v>
                </c:pt>
                <c:pt idx="4">
                  <c:v>40.92</c:v>
                </c:pt>
                <c:pt idx="5">
                  <c:v>50.56</c:v>
                </c:pt>
                <c:pt idx="6">
                  <c:v>59.319999999999993</c:v>
                </c:pt>
                <c:pt idx="7">
                  <c:v>62.67</c:v>
                </c:pt>
                <c:pt idx="8">
                  <c:v>58.28</c:v>
                </c:pt>
                <c:pt idx="9">
                  <c:v>53.559999999999995</c:v>
                </c:pt>
                <c:pt idx="10">
                  <c:v>47.81</c:v>
                </c:pt>
                <c:pt idx="11">
                  <c:v>40.489999999999995</c:v>
                </c:pt>
                <c:pt idx="12">
                  <c:v>32.269999999999996</c:v>
                </c:pt>
                <c:pt idx="13">
                  <c:v>22.27</c:v>
                </c:pt>
                <c:pt idx="14">
                  <c:v>11.53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07-4A72-A31B-8C71FFB72154}"/>
            </c:ext>
          </c:extLst>
        </c:ser>
        <c:ser>
          <c:idx val="3"/>
          <c:order val="2"/>
          <c:tx>
            <c:strRef>
              <c:f>'P1 (a) ELL simple'!$H$14</c:f>
              <c:strCache>
                <c:ptCount val="1"/>
                <c:pt idx="0">
                  <c:v>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'P1 (a) ELL simple'!$J$14:$J$15</c:f>
              <c:numCache>
                <c:formatCode>General</c:formatCode>
                <c:ptCount val="2"/>
                <c:pt idx="0">
                  <c:v>0.56000000000000216</c:v>
                </c:pt>
                <c:pt idx="1">
                  <c:v>96.22</c:v>
                </c:pt>
              </c:numCache>
            </c:numRef>
          </c:xVal>
          <c:yVal>
            <c:numRef>
              <c:f>'P1 (a) ELL simple'!$K$14:$K$15</c:f>
              <c:numCache>
                <c:formatCode>General</c:formatCode>
                <c:ptCount val="2"/>
                <c:pt idx="0">
                  <c:v>14.149999999999999</c:v>
                </c:pt>
                <c:pt idx="1">
                  <c:v>2.6599999999999997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07-4A72-A31B-8C71FFB72154}"/>
            </c:ext>
          </c:extLst>
        </c:ser>
        <c:ser>
          <c:idx val="5"/>
          <c:order val="3"/>
          <c:tx>
            <c:strRef>
              <c:f>'P1 (a) ELL simple'!$G$8</c:f>
              <c:strCache>
                <c:ptCount val="1"/>
                <c:pt idx="0">
                  <c:v>2</c:v>
                </c:pt>
              </c:strCache>
            </c:strRef>
          </c:tx>
          <c:spPr>
            <a:ln w="12700" cap="rnd" cmpd="sng" algn="ctr">
              <a:solidFill>
                <a:sysClr val="windowText" lastClr="000000">
                  <a:lumMod val="100000"/>
                </a:sysClr>
              </a:solidFill>
              <a:prstDash val="dash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xVal>
            <c:numRef>
              <c:f>'P1 (a) ELL simple'!$J$16:$J$17</c:f>
              <c:numCache>
                <c:formatCode>General</c:formatCode>
                <c:ptCount val="2"/>
                <c:pt idx="0">
                  <c:v>0.82999999999999741</c:v>
                </c:pt>
                <c:pt idx="1">
                  <c:v>89.710000000000008</c:v>
                </c:pt>
              </c:numCache>
            </c:numRef>
          </c:xVal>
          <c:yVal>
            <c:numRef>
              <c:f>'P1 (a) ELL simple'!$K$16:$K$17</c:f>
              <c:numCache>
                <c:formatCode>General</c:formatCode>
                <c:ptCount val="2"/>
                <c:pt idx="0">
                  <c:v>33.85</c:v>
                </c:pt>
                <c:pt idx="1">
                  <c:v>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07-4A72-A31B-8C71FFB72154}"/>
            </c:ext>
          </c:extLst>
        </c:ser>
        <c:ser>
          <c:idx val="6"/>
          <c:order val="4"/>
          <c:tx>
            <c:strRef>
              <c:f>'P1 (a) ELL simple'!$H$18</c:f>
              <c:strCache>
                <c:ptCount val="1"/>
                <c:pt idx="0">
                  <c:v>3</c:v>
                </c:pt>
              </c:strCache>
            </c:strRef>
          </c:tx>
          <c:spPr>
            <a:ln w="12700" cap="rnd" cmpd="sng" algn="ctr">
              <a:solidFill>
                <a:sysClr val="windowText" lastClr="000000">
                  <a:lumMod val="100000"/>
                </a:sysClr>
              </a:solidFill>
              <a:prstDash val="dash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xVal>
            <c:numRef>
              <c:f>'P1 (a) ELL simple'!$J$18:$J$19</c:f>
              <c:numCache>
                <c:formatCode>General</c:formatCode>
                <c:ptCount val="2"/>
                <c:pt idx="0">
                  <c:v>1.1599999999999944</c:v>
                </c:pt>
                <c:pt idx="1">
                  <c:v>85.16</c:v>
                </c:pt>
              </c:numCache>
            </c:numRef>
          </c:xVal>
          <c:yVal>
            <c:numRef>
              <c:f>'P1 (a) ELL simple'!$K$18:$K$19</c:f>
              <c:numCache>
                <c:formatCode>General</c:formatCode>
                <c:ptCount val="2"/>
                <c:pt idx="0">
                  <c:v>47.760000000000005</c:v>
                </c:pt>
                <c:pt idx="1">
                  <c:v>12.27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07-4A72-A31B-8C71FFB72154}"/>
            </c:ext>
          </c:extLst>
        </c:ser>
        <c:ser>
          <c:idx val="8"/>
          <c:order val="5"/>
          <c:tx>
            <c:strRef>
              <c:f>'P1 (a) ELL simple'!$H$20</c:f>
              <c:strCache>
                <c:ptCount val="1"/>
                <c:pt idx="0">
                  <c:v>4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'P1 (a) ELL simple'!$J$20:$J$21</c:f>
              <c:numCache>
                <c:formatCode>General</c:formatCode>
                <c:ptCount val="2"/>
                <c:pt idx="0">
                  <c:v>2.2499999999999964</c:v>
                </c:pt>
                <c:pt idx="1">
                  <c:v>80.180000000000007</c:v>
                </c:pt>
              </c:numCache>
            </c:numRef>
          </c:xVal>
          <c:yVal>
            <c:numRef>
              <c:f>'P1 (a) ELL simple'!$K$20:$K$21</c:f>
              <c:numCache>
                <c:formatCode>General</c:formatCode>
                <c:ptCount val="2"/>
                <c:pt idx="0">
                  <c:v>55.7</c:v>
                </c:pt>
                <c:pt idx="1">
                  <c:v>16.669999999999998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07-4A72-A31B-8C71FFB72154}"/>
            </c:ext>
          </c:extLst>
        </c:ser>
        <c:ser>
          <c:idx val="10"/>
          <c:order val="6"/>
          <c:tx>
            <c:v>Etiquetas RR</c:v>
          </c:tx>
          <c:spPr>
            <a:ln w="3175" cap="rnd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5848292-CDB5-4B41-82F5-409EBF344C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007-4A72-A31B-8C71FFB7215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290902-2B62-E348-A7C5-AE8DC4643A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007-4A72-A31B-8C71FFB7215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76E4DBA-3ED1-A345-932D-0BA1EC6CEB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007-4A72-A31B-8C71FFB7215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60BB826-722F-FD44-A2BB-0C28BFDD9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007-4A72-A31B-8C71FFB7215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81C-4CEB-BE83-9940A3C533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81C-4CEB-BE83-9940A3C53372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xPr>
              <a:bodyPr rot="0" vert="horz" lIns="36000" tIns="0" rIns="36000" bIns="0"/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('P1 (a) ELL simple'!$Q$7:$Q$10,'P1 (a) ELL simple'!$Q$30:$Q$31)</c:f>
              <c:numCache>
                <c:formatCode>General</c:formatCode>
                <c:ptCount val="6"/>
                <c:pt idx="0">
                  <c:v>48.39</c:v>
                </c:pt>
                <c:pt idx="1">
                  <c:v>45.27</c:v>
                </c:pt>
                <c:pt idx="2">
                  <c:v>43.16</c:v>
                </c:pt>
                <c:pt idx="3">
                  <c:v>41.215000000000003</c:v>
                </c:pt>
                <c:pt idx="4">
                  <c:v>0</c:v>
                </c:pt>
                <c:pt idx="5">
                  <c:v>100</c:v>
                </c:pt>
              </c:numCache>
            </c:numRef>
          </c:xVal>
          <c:yVal>
            <c:numRef>
              <c:f>('P1 (a) ELL simple'!$R$7:$R$10,'P1 (a) ELL simple'!$R$30:$R$31)</c:f>
              <c:numCache>
                <c:formatCode>General</c:formatCode>
                <c:ptCount val="6"/>
                <c:pt idx="0">
                  <c:v>8.4049999999999994</c:v>
                </c:pt>
                <c:pt idx="1">
                  <c:v>21.04</c:v>
                </c:pt>
                <c:pt idx="2">
                  <c:v>30.015000000000001</c:v>
                </c:pt>
                <c:pt idx="3">
                  <c:v>36.185000000000002</c:v>
                </c:pt>
                <c:pt idx="4">
                  <c:v>45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'P1 (a) ELL simple'!$G$7:$G$10</c15:f>
                <c15:dlblRangeCache>
                  <c:ptCount val="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9007-4A72-A31B-8C71FFB72154}"/>
            </c:ext>
          </c:extLst>
        </c:ser>
        <c:ser>
          <c:idx val="1"/>
          <c:order val="7"/>
          <c:tx>
            <c:strRef>
              <c:f>'P1 (a) ELL simple'!$Q$30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('P1 (a) ELL simple'!$O$18:$O$19,'P1 (a) ELL simple'!$Q$30:$Q$31)</c:f>
              <c:numCache>
                <c:formatCode>General</c:formatCode>
                <c:ptCount val="4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</c:numCache>
            </c:numRef>
          </c:xVal>
          <c:yVal>
            <c:numRef>
              <c:f>'P1 (a) ELL simple'!$Q$31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1C-4CEB-BE83-9940A3C53372}"/>
            </c:ext>
          </c:extLst>
        </c:ser>
        <c:ser>
          <c:idx val="4"/>
          <c:order val="8"/>
          <c:tx>
            <c:strRef>
              <c:f>'P1 (a) ELL simple'!$R$30</c:f>
              <c:strCache>
                <c:ptCount val="1"/>
                <c:pt idx="0">
                  <c:v>45</c:v>
                </c:pt>
              </c:strCache>
            </c:strRef>
          </c:tx>
          <c:marker>
            <c:symbol val="none"/>
          </c:marker>
          <c:xVal>
            <c:numRef>
              <c:f>('P1 (a) ELL simple'!$O$18:$O$19,'P1 (a) ELL simple'!$Q$30:$Q$31)</c:f>
              <c:numCache>
                <c:formatCode>General</c:formatCode>
                <c:ptCount val="4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</c:numCache>
            </c:numRef>
          </c:xVal>
          <c:yVal>
            <c:numRef>
              <c:f>'P1 (a) ELL simple'!$R$31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1C-4CEB-BE83-9940A3C53372}"/>
            </c:ext>
          </c:extLst>
        </c:ser>
        <c:ser>
          <c:idx val="7"/>
          <c:order val="9"/>
          <c:marker>
            <c:symbol val="none"/>
          </c:marker>
          <c:xVal>
            <c:numRef>
              <c:f>'P1 (a) ELL simple'!$Q$30:$Q$31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'P1 (a) ELL simple'!$R$30:$R$31</c:f>
              <c:numCache>
                <c:formatCode>General</c:formatCode>
                <c:ptCount val="2"/>
                <c:pt idx="0">
                  <c:v>45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1C-4CEB-BE83-9940A3C53372}"/>
            </c:ext>
          </c:extLst>
        </c:ser>
        <c:ser>
          <c:idx val="9"/>
          <c:order val="10"/>
          <c:marker>
            <c:symbol val="triangle"/>
            <c:size val="5"/>
            <c:spPr>
              <a:ln w="19050">
                <a:solidFill>
                  <a:srgbClr val="C00000"/>
                </a:solidFill>
              </a:ln>
            </c:spPr>
          </c:marker>
          <c:xVal>
            <c:numRef>
              <c:f>'P1 (a) ELL simple'!$Q$33:$Q$34</c:f>
              <c:numCache>
                <c:formatCode>General</c:formatCode>
                <c:ptCount val="2"/>
                <c:pt idx="1">
                  <c:v>66.666666666666671</c:v>
                </c:pt>
              </c:numCache>
            </c:numRef>
          </c:xVal>
          <c:yVal>
            <c:numRef>
              <c:f>'P1 (a) ELL simple'!$R$33:$R$34</c:f>
              <c:numCache>
                <c:formatCode>General</c:formatCode>
                <c:ptCount val="2"/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1C-4CEB-BE83-9940A3C53372}"/>
            </c:ext>
          </c:extLst>
        </c:ser>
        <c:ser>
          <c:idx val="11"/>
          <c:order val="11"/>
          <c:marker>
            <c:symbol val="none"/>
          </c:marker>
          <c:xVal>
            <c:numRef>
              <c:f>'P1 (a) ELL simple'!$Q$52:$Q$53</c:f>
              <c:numCache>
                <c:formatCode>General</c:formatCode>
                <c:ptCount val="2"/>
                <c:pt idx="0">
                  <c:v>0.82999999999999741</c:v>
                </c:pt>
                <c:pt idx="1">
                  <c:v>100</c:v>
                </c:pt>
              </c:numCache>
            </c:numRef>
          </c:xVal>
          <c:yVal>
            <c:numRef>
              <c:f>'P1 (a) ELL simple'!$R$52:$R$53</c:f>
              <c:numCache>
                <c:formatCode>General</c:formatCode>
                <c:ptCount val="2"/>
                <c:pt idx="0">
                  <c:v>33.85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81C-4CEB-BE83-9940A3C53372}"/>
            </c:ext>
          </c:extLst>
        </c:ser>
        <c:ser>
          <c:idx val="12"/>
          <c:order val="12"/>
          <c:marker>
            <c:symbol val="dash"/>
            <c:size val="8"/>
            <c:spPr>
              <a:ln w="15875">
                <a:solidFill>
                  <a:srgbClr val="7030A0"/>
                </a:solidFill>
              </a:ln>
            </c:spPr>
          </c:marker>
          <c:dPt>
            <c:idx val="0"/>
            <c:marker>
              <c:symbol val="diamond"/>
              <c:size val="8"/>
            </c:marker>
            <c:bubble3D val="0"/>
            <c:extLst>
              <c:ext xmlns:c16="http://schemas.microsoft.com/office/drawing/2014/chart" uri="{C3380CC4-5D6E-409C-BE32-E72D297353CC}">
                <c16:uniqueId val="{0000000B-481C-4CEB-BE83-9940A3C53372}"/>
              </c:ext>
            </c:extLst>
          </c:dPt>
          <c:xVal>
            <c:numRef>
              <c:f>'P1 (a) ELL simple'!$Q$55:$Q$56</c:f>
              <c:numCache>
                <c:formatCode>General</c:formatCode>
                <c:ptCount val="2"/>
                <c:pt idx="1">
                  <c:v>72.232078658511867</c:v>
                </c:pt>
              </c:numCache>
            </c:numRef>
          </c:xVal>
          <c:yVal>
            <c:numRef>
              <c:f>'P1 (a) ELL simple'!$R$55:$R$56</c:f>
              <c:numCache>
                <c:formatCode>General</c:formatCode>
                <c:ptCount val="2"/>
                <c:pt idx="1">
                  <c:v>9.4781096844748731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81C-4CEB-BE83-9940A3C53372}"/>
            </c:ext>
          </c:extLst>
        </c:ser>
        <c:ser>
          <c:idx val="13"/>
          <c:order val="13"/>
          <c:marker>
            <c:symbol val="none"/>
          </c:marker>
          <c:xVal>
            <c:strRef>
              <c:f>'P1 (a) ELL simple'!$Q$61:$Q$62</c:f>
              <c:strCache>
                <c:ptCount val="2"/>
                <c:pt idx="0">
                  <c:v>Ref</c:v>
                </c:pt>
                <c:pt idx="1">
                  <c:v>Ext</c:v>
                </c:pt>
              </c:strCache>
            </c:strRef>
          </c:xVal>
          <c:yVal>
            <c:numRef>
              <c:f>'P1 (a) ELL simple'!$R$61:$R$62</c:f>
              <c:numCache>
                <c:formatCode>General</c:formatCode>
                <c:ptCount val="2"/>
                <c:pt idx="0">
                  <c:v>0.69772133935406067</c:v>
                </c:pt>
                <c:pt idx="1">
                  <c:v>93.324084153568734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81C-4CEB-BE83-9940A3C53372}"/>
            </c:ext>
          </c:extLst>
        </c:ser>
        <c:ser>
          <c:idx val="14"/>
          <c:order val="14"/>
          <c:marker>
            <c:symbol val="none"/>
          </c:marker>
          <c:xVal>
            <c:numRef>
              <c:f>'P1 (a) ELL simple'!$Q$52:$Q$53</c:f>
              <c:numCache>
                <c:formatCode>General</c:formatCode>
                <c:ptCount val="2"/>
                <c:pt idx="0">
                  <c:v>0.82999999999999741</c:v>
                </c:pt>
                <c:pt idx="1">
                  <c:v>100</c:v>
                </c:pt>
              </c:numCache>
            </c:numRef>
          </c:xVal>
          <c:yVal>
            <c:numRef>
              <c:f>'P1 (a) ELL simple'!$R$52:$R$53</c:f>
              <c:numCache>
                <c:formatCode>General</c:formatCode>
                <c:ptCount val="2"/>
                <c:pt idx="0">
                  <c:v>33.85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81C-4CEB-BE83-9940A3C53372}"/>
            </c:ext>
          </c:extLst>
        </c:ser>
        <c:ser>
          <c:idx val="15"/>
          <c:order val="15"/>
          <c:marker>
            <c:symbol val="none"/>
          </c:marker>
          <c:xVal>
            <c:numRef>
              <c:f>'P1 (a) ELL simple'!$J$65:$J$66</c:f>
              <c:numCache>
                <c:formatCode>General</c:formatCode>
                <c:ptCount val="2"/>
                <c:pt idx="0">
                  <c:v>0.69772133935406067</c:v>
                </c:pt>
                <c:pt idx="1">
                  <c:v>100</c:v>
                </c:pt>
              </c:numCache>
            </c:numRef>
          </c:xVal>
          <c:yVal>
            <c:numRef>
              <c:f>'P1 (a) ELL simple'!$K$65:$K$66</c:f>
              <c:numCache>
                <c:formatCode>General</c:formatCode>
                <c:ptCount val="2"/>
                <c:pt idx="0">
                  <c:v>24.198556982500001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81C-4CEB-BE83-9940A3C53372}"/>
            </c:ext>
          </c:extLst>
        </c:ser>
        <c:ser>
          <c:idx val="16"/>
          <c:order val="16"/>
          <c:marker>
            <c:symbol val="star"/>
            <c:size val="8"/>
            <c:spPr>
              <a:ln w="12700">
                <a:solidFill>
                  <a:schemeClr val="accent2">
                    <a:lumMod val="50000"/>
                  </a:schemeClr>
                </a:solidFill>
              </a:ln>
            </c:spPr>
          </c:marker>
          <c:xVal>
            <c:numRef>
              <c:f>'P1 (a) ELL simple'!$J$68:$J$69</c:f>
              <c:numCache>
                <c:formatCode>General</c:formatCode>
                <c:ptCount val="2"/>
                <c:pt idx="1">
                  <c:v>76.140121831466544</c:v>
                </c:pt>
              </c:numCache>
            </c:numRef>
          </c:xVal>
          <c:yVal>
            <c:numRef>
              <c:f>'P1 (a) ELL simple'!$K$68:$K$69</c:f>
              <c:numCache>
                <c:formatCode>General</c:formatCode>
                <c:ptCount val="2"/>
                <c:pt idx="1">
                  <c:v>5.8143139235492862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81C-4CEB-BE83-9940A3C53372}"/>
            </c:ext>
          </c:extLst>
        </c:ser>
        <c:ser>
          <c:idx val="17"/>
          <c:order val="17"/>
          <c:marker>
            <c:symbol val="none"/>
          </c:marker>
          <c:xVal>
            <c:strRef>
              <c:f>'P1 (a) ELL simple'!$J$74:$J$75</c:f>
              <c:strCache>
                <c:ptCount val="2"/>
                <c:pt idx="0">
                  <c:v>Ref</c:v>
                </c:pt>
                <c:pt idx="1">
                  <c:v>Extracto</c:v>
                </c:pt>
              </c:strCache>
            </c:strRef>
          </c:xVal>
          <c:yVal>
            <c:numRef>
              <c:f>'P1 (a) ELL simple'!$K$74:$K$75</c:f>
              <c:numCache>
                <c:formatCode>General</c:formatCode>
                <c:ptCount val="2"/>
                <c:pt idx="0">
                  <c:v>0.58841376611950968</c:v>
                </c:pt>
                <c:pt idx="1">
                  <c:v>95.762005243491288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81C-4CEB-BE83-9940A3C53372}"/>
            </c:ext>
          </c:extLst>
        </c:ser>
        <c:ser>
          <c:idx val="18"/>
          <c:order val="18"/>
          <c:marker>
            <c:symbol val="none"/>
          </c:marker>
          <c:xVal>
            <c:numRef>
              <c:f>'P1 (a) ELL simple'!$R$38:$R$39</c:f>
              <c:numCache>
                <c:formatCode>General</c:formatCode>
                <c:ptCount val="2"/>
                <c:pt idx="0">
                  <c:v>0.82999999999999741</c:v>
                </c:pt>
                <c:pt idx="1">
                  <c:v>89.710000000000008</c:v>
                </c:pt>
              </c:numCache>
            </c:numRef>
          </c:xVal>
          <c:yVal>
            <c:numRef>
              <c:f>'P1 (a) ELL simple'!$S$38:$S$39</c:f>
              <c:numCache>
                <c:formatCode>General</c:formatCode>
                <c:ptCount val="2"/>
                <c:pt idx="0">
                  <c:v>33.85</c:v>
                </c:pt>
                <c:pt idx="1">
                  <c:v>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FA-47A0-8826-0D25966E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389808"/>
        <c:axId val="1515297904"/>
      </c:scatterChart>
      <c:valAx>
        <c:axId val="1515389808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'P1 (a) ELL simple'!$P$15</c:f>
              <c:strCache>
                <c:ptCount val="1"/>
                <c:pt idx="0">
                  <c:v>Fracción másica del disolvente (%masa)</c:v>
                </c:pt>
              </c:strCache>
            </c:strRef>
          </c:tx>
          <c:layout>
            <c:manualLayout>
              <c:xMode val="edge"/>
              <c:yMode val="edge"/>
              <c:x val="0.30044318336912462"/>
              <c:y val="0.93323024054982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15297904"/>
        <c:crosses val="autoZero"/>
        <c:crossBetween val="midCat"/>
      </c:valAx>
      <c:valAx>
        <c:axId val="151529790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'P1 (a) ELL simple'!$P$16</c:f>
              <c:strCache>
                <c:ptCount val="1"/>
                <c:pt idx="0">
                  <c:v>Fracción másica del soluto (%masa)</c:v>
                </c:pt>
              </c:strCache>
            </c:strRef>
          </c:tx>
          <c:layout>
            <c:manualLayout>
              <c:xMode val="edge"/>
              <c:yMode val="edge"/>
              <c:x val="1.8238160221892688E-2"/>
              <c:y val="0.27434025292293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15389808"/>
        <c:crosses val="autoZero"/>
        <c:crossBetween val="midCat"/>
      </c:valAx>
      <c:spPr>
        <a:noFill/>
        <a:ln>
          <a:solidFill>
            <a:schemeClr val="tx1"/>
          </a:solidFill>
          <a:prstDash val="dash"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12700" cap="flat" cmpd="sng" algn="ctr">
      <a:solidFill>
        <a:schemeClr val="tx2"/>
      </a:solidFill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'P1 (b) ELL contracorriente'!$O$14</c:f>
          <c:strCache>
            <c:ptCount val="1"/>
            <c:pt idx="0">
              <c:v>Diagrama ternario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63627878962176"/>
          <c:y val="0.11473477081399314"/>
          <c:w val="0.80853658367485426"/>
          <c:h val="0.74200151527450819"/>
        </c:manualLayout>
      </c:layout>
      <c:scatterChart>
        <c:scatterStyle val="lineMarker"/>
        <c:varyColors val="0"/>
        <c:ser>
          <c:idx val="2"/>
          <c:order val="0"/>
          <c:tx>
            <c:strRef>
              <c:f>'P1 (b) ELL contracorriente'!$N$17</c:f>
              <c:strCache>
                <c:ptCount val="1"/>
                <c:pt idx="0">
                  <c:v> Diagonal 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chemeClr val="tx1"/>
                </a:solidFill>
                <a:prstDash val="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06-6A49-B5C7-626DA2EF179D}"/>
              </c:ext>
            </c:extLst>
          </c:dPt>
          <c:xVal>
            <c:numRef>
              <c:f>'P1 (b) ELL contracorriente'!$N$18:$N$19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xVal>
          <c:yVal>
            <c:numRef>
              <c:f>'P1 (b) ELL contracorriente'!$O$18:$O$19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06-6A49-B5C7-626DA2EF179D}"/>
            </c:ext>
          </c:extLst>
        </c:ser>
        <c:ser>
          <c:idx val="0"/>
          <c:order val="1"/>
          <c:tx>
            <c:strRef>
              <c:f>'P1 (b) ELL contracorriente'!$B$4</c:f>
              <c:strCache>
                <c:ptCount val="1"/>
                <c:pt idx="0">
                  <c:v> Datos de equilibrio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'P1 (b) ELL contracorriente'!$B$7:$B$23</c:f>
              <c:numCache>
                <c:formatCode>General</c:formatCode>
                <c:ptCount val="17"/>
                <c:pt idx="0">
                  <c:v>0.09</c:v>
                </c:pt>
                <c:pt idx="1">
                  <c:v>0.12</c:v>
                </c:pt>
                <c:pt idx="2">
                  <c:v>0.18</c:v>
                </c:pt>
                <c:pt idx="3">
                  <c:v>0.2</c:v>
                </c:pt>
                <c:pt idx="4">
                  <c:v>0.49</c:v>
                </c:pt>
                <c:pt idx="5">
                  <c:v>1.1299999999999999</c:v>
                </c:pt>
                <c:pt idx="6">
                  <c:v>3.11</c:v>
                </c:pt>
                <c:pt idx="7">
                  <c:v>11.4</c:v>
                </c:pt>
                <c:pt idx="8">
                  <c:v>21.25</c:v>
                </c:pt>
                <c:pt idx="9">
                  <c:v>29.580000000000002</c:v>
                </c:pt>
                <c:pt idx="10">
                  <c:v>39.31</c:v>
                </c:pt>
                <c:pt idx="11">
                  <c:v>50.249999999999993</c:v>
                </c:pt>
                <c:pt idx="12">
                  <c:v>61.660000000000004</c:v>
                </c:pt>
                <c:pt idx="13">
                  <c:v>73.91</c:v>
                </c:pt>
                <c:pt idx="14">
                  <c:v>86.37</c:v>
                </c:pt>
                <c:pt idx="15">
                  <c:v>99.44</c:v>
                </c:pt>
              </c:numCache>
            </c:numRef>
          </c:xVal>
          <c:yVal>
            <c:numRef>
              <c:f>'P1 (b) ELL contracorriente'!$C$7:$C$23</c:f>
              <c:numCache>
                <c:formatCode>General</c:formatCode>
                <c:ptCount val="17"/>
                <c:pt idx="0">
                  <c:v>0</c:v>
                </c:pt>
                <c:pt idx="1">
                  <c:v>10.54</c:v>
                </c:pt>
                <c:pt idx="2">
                  <c:v>20.74</c:v>
                </c:pt>
                <c:pt idx="3">
                  <c:v>31.230000000000004</c:v>
                </c:pt>
                <c:pt idx="4">
                  <c:v>40.92</c:v>
                </c:pt>
                <c:pt idx="5">
                  <c:v>50.56</c:v>
                </c:pt>
                <c:pt idx="6">
                  <c:v>59.319999999999993</c:v>
                </c:pt>
                <c:pt idx="7">
                  <c:v>62.67</c:v>
                </c:pt>
                <c:pt idx="8">
                  <c:v>58.28</c:v>
                </c:pt>
                <c:pt idx="9">
                  <c:v>53.559999999999995</c:v>
                </c:pt>
                <c:pt idx="10">
                  <c:v>47.81</c:v>
                </c:pt>
                <c:pt idx="11">
                  <c:v>40.489999999999995</c:v>
                </c:pt>
                <c:pt idx="12">
                  <c:v>32.269999999999996</c:v>
                </c:pt>
                <c:pt idx="13">
                  <c:v>22.27</c:v>
                </c:pt>
                <c:pt idx="14">
                  <c:v>11.53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6-6A49-B5C7-626DA2EF179D}"/>
            </c:ext>
          </c:extLst>
        </c:ser>
        <c:ser>
          <c:idx val="3"/>
          <c:order val="2"/>
          <c:tx>
            <c:strRef>
              <c:f>'P1 (b) ELL contracorriente'!$H$14</c:f>
              <c:strCache>
                <c:ptCount val="1"/>
                <c:pt idx="0">
                  <c:v>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'P1 (b) ELL contracorriente'!$I$14:$I$15</c:f>
              <c:numCache>
                <c:formatCode>General</c:formatCode>
                <c:ptCount val="2"/>
                <c:pt idx="0">
                  <c:v>0.56000000000000216</c:v>
                </c:pt>
                <c:pt idx="1">
                  <c:v>96.22</c:v>
                </c:pt>
              </c:numCache>
            </c:numRef>
          </c:xVal>
          <c:yVal>
            <c:numRef>
              <c:f>'P1 (b) ELL contracorriente'!$J$14:$J$15</c:f>
              <c:numCache>
                <c:formatCode>General</c:formatCode>
                <c:ptCount val="2"/>
                <c:pt idx="0">
                  <c:v>14.149999999999999</c:v>
                </c:pt>
                <c:pt idx="1">
                  <c:v>2.6599999999999997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06-6A49-B5C7-626DA2EF179D}"/>
            </c:ext>
          </c:extLst>
        </c:ser>
        <c:ser>
          <c:idx val="5"/>
          <c:order val="3"/>
          <c:tx>
            <c:strRef>
              <c:f>'P1 (b) ELL contracorriente'!$G$8</c:f>
              <c:strCache>
                <c:ptCount val="1"/>
                <c:pt idx="0">
                  <c:v>2</c:v>
                </c:pt>
              </c:strCache>
            </c:strRef>
          </c:tx>
          <c:spPr>
            <a:ln w="12700" cap="rnd" cmpd="sng" algn="ctr">
              <a:solidFill>
                <a:sysClr val="windowText" lastClr="000000">
                  <a:lumMod val="100000"/>
                </a:sysClr>
              </a:solidFill>
              <a:prstDash val="dash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xVal>
            <c:numRef>
              <c:f>'P1 (b) ELL contracorriente'!$I$16:$I$17</c:f>
              <c:numCache>
                <c:formatCode>General</c:formatCode>
                <c:ptCount val="2"/>
                <c:pt idx="0">
                  <c:v>0.82999999999999741</c:v>
                </c:pt>
                <c:pt idx="1">
                  <c:v>89.710000000000008</c:v>
                </c:pt>
              </c:numCache>
            </c:numRef>
          </c:xVal>
          <c:yVal>
            <c:numRef>
              <c:f>'P1 (b) ELL contracorriente'!$J$16:$J$17</c:f>
              <c:numCache>
                <c:formatCode>General</c:formatCode>
                <c:ptCount val="2"/>
                <c:pt idx="0">
                  <c:v>33.85</c:v>
                </c:pt>
                <c:pt idx="1">
                  <c:v>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06-6A49-B5C7-626DA2EF179D}"/>
            </c:ext>
          </c:extLst>
        </c:ser>
        <c:ser>
          <c:idx val="6"/>
          <c:order val="4"/>
          <c:tx>
            <c:strRef>
              <c:f>'P1 (b) ELL contracorriente'!$H$18</c:f>
              <c:strCache>
                <c:ptCount val="1"/>
                <c:pt idx="0">
                  <c:v>3</c:v>
                </c:pt>
              </c:strCache>
            </c:strRef>
          </c:tx>
          <c:spPr>
            <a:ln w="12700" cap="rnd" cmpd="sng" algn="ctr">
              <a:solidFill>
                <a:sysClr val="windowText" lastClr="000000">
                  <a:lumMod val="100000"/>
                </a:sysClr>
              </a:solidFill>
              <a:prstDash val="dash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xVal>
            <c:numRef>
              <c:f>'P1 (b) ELL contracorriente'!$I$18:$I$19</c:f>
              <c:numCache>
                <c:formatCode>General</c:formatCode>
                <c:ptCount val="2"/>
                <c:pt idx="0">
                  <c:v>1.1599999999999944</c:v>
                </c:pt>
                <c:pt idx="1">
                  <c:v>85.16</c:v>
                </c:pt>
              </c:numCache>
            </c:numRef>
          </c:xVal>
          <c:yVal>
            <c:numRef>
              <c:f>'P1 (b) ELL contracorriente'!$J$18:$J$19</c:f>
              <c:numCache>
                <c:formatCode>General</c:formatCode>
                <c:ptCount val="2"/>
                <c:pt idx="0">
                  <c:v>47.760000000000005</c:v>
                </c:pt>
                <c:pt idx="1">
                  <c:v>12.27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06-6A49-B5C7-626DA2EF179D}"/>
            </c:ext>
          </c:extLst>
        </c:ser>
        <c:ser>
          <c:idx val="8"/>
          <c:order val="5"/>
          <c:tx>
            <c:strRef>
              <c:f>'P1 (b) ELL contracorriente'!$H$20</c:f>
              <c:strCache>
                <c:ptCount val="1"/>
                <c:pt idx="0">
                  <c:v>4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'P1 (b) ELL contracorriente'!$I$20:$I$21</c:f>
              <c:numCache>
                <c:formatCode>General</c:formatCode>
                <c:ptCount val="2"/>
                <c:pt idx="0">
                  <c:v>2.2499999999999964</c:v>
                </c:pt>
                <c:pt idx="1">
                  <c:v>80.180000000000007</c:v>
                </c:pt>
              </c:numCache>
            </c:numRef>
          </c:xVal>
          <c:yVal>
            <c:numRef>
              <c:f>'P1 (b) ELL contracorriente'!$J$20:$J$21</c:f>
              <c:numCache>
                <c:formatCode>General</c:formatCode>
                <c:ptCount val="2"/>
                <c:pt idx="0">
                  <c:v>55.7</c:v>
                </c:pt>
                <c:pt idx="1">
                  <c:v>16.669999999999998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06-6A49-B5C7-626DA2EF179D}"/>
            </c:ext>
          </c:extLst>
        </c:ser>
        <c:ser>
          <c:idx val="10"/>
          <c:order val="6"/>
          <c:tx>
            <c:v>Etiquetas RR</c:v>
          </c:tx>
          <c:spPr>
            <a:ln w="3175" cap="rnd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1B23356-CED9-3C4F-939B-5557E96666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306-6A49-B5C7-626DA2EF17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22B3ACA-C348-1844-B052-33F3DD3B6A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306-6A49-B5C7-626DA2EF17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97FDAA4-271A-3742-9944-49401521C4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306-6A49-B5C7-626DA2EF17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481C10A-C8D3-9B45-928C-06020FDAA1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306-6A49-B5C7-626DA2EF179D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xPr>
              <a:bodyPr rot="0" vert="horz" lIns="36000" tIns="0" rIns="36000" bIns="0"/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'P1 (b) ELL contracorriente'!$P$7:$P$10</c:f>
              <c:numCache>
                <c:formatCode>General</c:formatCode>
                <c:ptCount val="4"/>
                <c:pt idx="0">
                  <c:v>48.39</c:v>
                </c:pt>
                <c:pt idx="1">
                  <c:v>45.27</c:v>
                </c:pt>
                <c:pt idx="2">
                  <c:v>43.16</c:v>
                </c:pt>
                <c:pt idx="3">
                  <c:v>41.215000000000003</c:v>
                </c:pt>
              </c:numCache>
            </c:numRef>
          </c:xVal>
          <c:yVal>
            <c:numRef>
              <c:f>'P1 (b) ELL contracorriente'!$Q$7:$Q$10</c:f>
              <c:numCache>
                <c:formatCode>General</c:formatCode>
                <c:ptCount val="4"/>
                <c:pt idx="0">
                  <c:v>8.4049999999999994</c:v>
                </c:pt>
                <c:pt idx="1">
                  <c:v>21.04</c:v>
                </c:pt>
                <c:pt idx="2">
                  <c:v>30.015000000000001</c:v>
                </c:pt>
                <c:pt idx="3">
                  <c:v>36.185000000000002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'P1 (b) ELL contracorriente'!$G$7:$G$10</c15:f>
                <c15:dlblRangeCache>
                  <c:ptCount val="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0306-6A49-B5C7-626DA2EF179D}"/>
            </c:ext>
          </c:extLst>
        </c:ser>
        <c:ser>
          <c:idx val="1"/>
          <c:order val="7"/>
          <c:marker>
            <c:symbol val="none"/>
          </c:marker>
          <c:xVal>
            <c:numRef>
              <c:f>'P1 (b) ELL contracorriente'!$P$29:$P$30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'P1 (b) ELL contracorriente'!$Q$29:$Q$30</c:f>
              <c:numCache>
                <c:formatCode>General</c:formatCode>
                <c:ptCount val="2"/>
                <c:pt idx="0">
                  <c:v>45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AC-4C73-8A07-A55DF63F0ABF}"/>
            </c:ext>
          </c:extLst>
        </c:ser>
        <c:ser>
          <c:idx val="4"/>
          <c:order val="8"/>
          <c:marker>
            <c:symbol val="none"/>
          </c:marker>
          <c:xVal>
            <c:numRef>
              <c:f>'P1 (b) ELL contracorriente'!$P$33</c:f>
              <c:numCache>
                <c:formatCode>General</c:formatCode>
                <c:ptCount val="1"/>
                <c:pt idx="0">
                  <c:v>85.714285714285708</c:v>
                </c:pt>
              </c:numCache>
            </c:numRef>
          </c:xVal>
          <c:yVal>
            <c:numRef>
              <c:f>'P1 (b) ELL contracorriente'!$Q$33</c:f>
              <c:numCache>
                <c:formatCode>General</c:formatCode>
                <c:ptCount val="1"/>
                <c:pt idx="0">
                  <c:v>6.4285714285714288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AC-4C73-8A07-A55DF63F0ABF}"/>
            </c:ext>
          </c:extLst>
        </c:ser>
        <c:ser>
          <c:idx val="7"/>
          <c:order val="9"/>
          <c:tx>
            <c:v>MEZCLA</c:v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chemeClr val="bg2">
                  <a:lumMod val="10000"/>
                </a:schemeClr>
              </a:solidFill>
              <a:ln>
                <a:noFill/>
              </a:ln>
            </c:spPr>
          </c:marker>
          <c:xVal>
            <c:numRef>
              <c:f>'P1 (b) ELL contracorriente'!$P$33</c:f>
              <c:numCache>
                <c:formatCode>General</c:formatCode>
                <c:ptCount val="1"/>
                <c:pt idx="0">
                  <c:v>85.714285714285708</c:v>
                </c:pt>
              </c:numCache>
            </c:numRef>
          </c:xVal>
          <c:yVal>
            <c:numRef>
              <c:f>'P1 (b) ELL contracorriente'!$Q$33</c:f>
              <c:numCache>
                <c:formatCode>General</c:formatCode>
                <c:ptCount val="1"/>
                <c:pt idx="0">
                  <c:v>6.4285714285714288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AC-4C73-8A07-A55DF63F0ABF}"/>
            </c:ext>
          </c:extLst>
        </c:ser>
        <c:ser>
          <c:idx val="9"/>
          <c:order val="10"/>
          <c:marker>
            <c:symbol val="none"/>
          </c:marker>
          <c:xVal>
            <c:numRef>
              <c:f>'P1 (b) ELL contracorriente'!$P$33</c:f>
              <c:numCache>
                <c:formatCode>General</c:formatCode>
                <c:ptCount val="1"/>
                <c:pt idx="0">
                  <c:v>85.714285714285708</c:v>
                </c:pt>
              </c:numCache>
            </c:numRef>
          </c:xVal>
          <c:yVal>
            <c:numRef>
              <c:f>'P1 (b) ELL contracorriente'!$Q$33</c:f>
              <c:numCache>
                <c:formatCode>General</c:formatCode>
                <c:ptCount val="1"/>
                <c:pt idx="0">
                  <c:v>6.4285714285714288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AAC-4C73-8A07-A55DF63F0ABF}"/>
            </c:ext>
          </c:extLst>
        </c:ser>
        <c:ser>
          <c:idx val="11"/>
          <c:order val="11"/>
          <c:marker>
            <c:symbol val="none"/>
          </c:marker>
          <c:xVal>
            <c:numRef>
              <c:f>'P1 (b) ELL contracorriente'!$P$32:$P$33</c:f>
              <c:numCache>
                <c:formatCode>General</c:formatCode>
                <c:ptCount val="2"/>
                <c:pt idx="0">
                  <c:v>0.58841376611950968</c:v>
                </c:pt>
                <c:pt idx="1">
                  <c:v>85.714285714285708</c:v>
                </c:pt>
              </c:numCache>
            </c:numRef>
          </c:xVal>
          <c:yVal>
            <c:numRef>
              <c:f>'P1 (b) ELL contracorriente'!$Q$32:$Q$33</c:f>
              <c:numCache>
                <c:formatCode>General</c:formatCode>
                <c:ptCount val="2"/>
                <c:pt idx="0">
                  <c:v>16.223152565015958</c:v>
                </c:pt>
                <c:pt idx="1">
                  <c:v>6.4285714285714288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AC-4C73-8A07-A55DF63F0ABF}"/>
            </c:ext>
          </c:extLst>
        </c:ser>
        <c:ser>
          <c:idx val="12"/>
          <c:order val="12"/>
          <c:marker>
            <c:symbol val="none"/>
          </c:marker>
          <c:xVal>
            <c:numRef>
              <c:f>'P1 (b) ELL contracorriente'!$P$33:$P$34</c:f>
              <c:numCache>
                <c:formatCode>General</c:formatCode>
                <c:ptCount val="2"/>
                <c:pt idx="0">
                  <c:v>85.714285714285708</c:v>
                </c:pt>
                <c:pt idx="1">
                  <c:v>93.118517471726008</c:v>
                </c:pt>
              </c:numCache>
            </c:numRef>
          </c:xVal>
          <c:yVal>
            <c:numRef>
              <c:f>'P1 (b) ELL contracorriente'!$Q$33:$Q$34</c:f>
              <c:numCache>
                <c:formatCode>General</c:formatCode>
                <c:ptCount val="2"/>
                <c:pt idx="0">
                  <c:v>6.4285714285714288</c:v>
                </c:pt>
                <c:pt idx="1">
                  <c:v>5.5766406695485191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AAC-4C73-8A07-A55DF63F0ABF}"/>
            </c:ext>
          </c:extLst>
        </c:ser>
        <c:ser>
          <c:idx val="13"/>
          <c:order val="13"/>
          <c:marker>
            <c:symbol val="none"/>
          </c:marker>
          <c:dPt>
            <c:idx val="0"/>
            <c:marker>
              <c:symbol val="diamond"/>
              <c:size val="6"/>
              <c:spPr>
                <a:ln>
                  <a:solidFill>
                    <a:srgbClr val="7030A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AAC-4C73-8A07-A55DF63F0ABF}"/>
              </c:ext>
            </c:extLst>
          </c:dPt>
          <c:xVal>
            <c:numRef>
              <c:f>'P1 (b) ELL contracorriente'!$P$35</c:f>
              <c:numCache>
                <c:formatCode>General</c:formatCode>
                <c:ptCount val="1"/>
                <c:pt idx="0">
                  <c:v>110.23632607793266</c:v>
                </c:pt>
              </c:numCache>
            </c:numRef>
          </c:xVal>
          <c:yVal>
            <c:numRef>
              <c:f>'P1 (b) ELL contracorriente'!$Q$35</c:f>
              <c:numCache>
                <c:formatCode>General</c:formatCode>
                <c:ptCount val="1"/>
                <c:pt idx="0">
                  <c:v>-1.6704841554067897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AC-4C73-8A07-A55DF63F0ABF}"/>
            </c:ext>
          </c:extLst>
        </c:ser>
        <c:ser>
          <c:idx val="14"/>
          <c:order val="14"/>
          <c:marker>
            <c:symbol val="none"/>
          </c:marker>
          <c:xVal>
            <c:numRef>
              <c:f>'P1 (b) ELL contracorriente'!$P$34:$P$35</c:f>
              <c:numCache>
                <c:formatCode>General</c:formatCode>
                <c:ptCount val="2"/>
                <c:pt idx="0">
                  <c:v>93.118517471726008</c:v>
                </c:pt>
                <c:pt idx="1">
                  <c:v>110.23632607793266</c:v>
                </c:pt>
              </c:numCache>
            </c:numRef>
          </c:xVal>
          <c:yVal>
            <c:numRef>
              <c:f>'P1 (b) ELL contracorriente'!$Q$34:$Q$35</c:f>
              <c:numCache>
                <c:formatCode>General</c:formatCode>
                <c:ptCount val="2"/>
                <c:pt idx="0">
                  <c:v>5.5766406695485191</c:v>
                </c:pt>
                <c:pt idx="1">
                  <c:v>-1.6704841554067897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AAC-4C73-8A07-A55DF63F0ABF}"/>
            </c:ext>
          </c:extLst>
        </c:ser>
        <c:ser>
          <c:idx val="15"/>
          <c:order val="15"/>
          <c:marker>
            <c:symbol val="none"/>
          </c:marker>
          <c:dPt>
            <c:idx val="1"/>
            <c:bubble3D val="0"/>
            <c:spPr>
              <a:ln>
                <a:solidFill>
                  <a:schemeClr val="accent6">
                    <a:lumMod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F-CAAC-4C73-8A07-A55DF63F0ABF}"/>
              </c:ext>
            </c:extLst>
          </c:dPt>
          <c:xVal>
            <c:numRef>
              <c:f>('P1 (b) ELL contracorriente'!$P$30,'P1 (b) ELL contracorriente'!$P$35)</c:f>
              <c:numCache>
                <c:formatCode>General</c:formatCode>
                <c:ptCount val="2"/>
                <c:pt idx="0">
                  <c:v>100</c:v>
                </c:pt>
                <c:pt idx="1">
                  <c:v>110.23632607793266</c:v>
                </c:pt>
              </c:numCache>
            </c:numRef>
          </c:xVal>
          <c:yVal>
            <c:numRef>
              <c:f>('P1 (b) ELL contracorriente'!$Q$30,'P1 (b) ELL contracorriente'!$Q$35)</c:f>
              <c:numCache>
                <c:formatCode>General</c:formatCode>
                <c:ptCount val="2"/>
                <c:pt idx="0">
                  <c:v>0</c:v>
                </c:pt>
                <c:pt idx="1">
                  <c:v>-1.6704841554067897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AAC-4C73-8A07-A55DF63F0ABF}"/>
            </c:ext>
          </c:extLst>
        </c:ser>
        <c:ser>
          <c:idx val="16"/>
          <c:order val="16"/>
          <c:marker>
            <c:symbol val="none"/>
          </c:marker>
          <c:xVal>
            <c:numRef>
              <c:f>'P1 (b) ELL contracorriente'!$AB$27:$AB$29</c:f>
              <c:numCache>
                <c:formatCode>General</c:formatCode>
                <c:ptCount val="3"/>
                <c:pt idx="0">
                  <c:v>110.23632607793266</c:v>
                </c:pt>
                <c:pt idx="1">
                  <c:v>93.118517471726008</c:v>
                </c:pt>
                <c:pt idx="2">
                  <c:v>0.19035205866936009</c:v>
                </c:pt>
              </c:numCache>
            </c:numRef>
          </c:xVal>
          <c:yVal>
            <c:numRef>
              <c:f>'P1 (b) ELL contracorriente'!$AC$27:$AC$29</c:f>
              <c:numCache>
                <c:formatCode>General</c:formatCode>
                <c:ptCount val="3"/>
                <c:pt idx="0">
                  <c:v>-1.6704841554067897</c:v>
                </c:pt>
                <c:pt idx="1">
                  <c:v>5.5766406695485191</c:v>
                </c:pt>
                <c:pt idx="2">
                  <c:v>26.169654772079365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AAC-4C73-8A07-A55DF63F0ABF}"/>
            </c:ext>
          </c:extLst>
        </c:ser>
        <c:ser>
          <c:idx val="17"/>
          <c:order val="17"/>
          <c:marker>
            <c:symbol val="none"/>
          </c:marker>
          <c:dPt>
            <c:idx val="0"/>
            <c:marker>
              <c:symbol val="diamond"/>
              <c:size val="6"/>
              <c:spPr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CAAC-4C73-8A07-A55DF63F0ABF}"/>
              </c:ext>
            </c:extLst>
          </c:dPt>
          <c:xVal>
            <c:numRef>
              <c:f>'P1 (b) ELL contracorriente'!$I$41</c:f>
              <c:numCache>
                <c:formatCode>General</c:formatCode>
                <c:ptCount val="1"/>
                <c:pt idx="0">
                  <c:v>97.753949910156663</c:v>
                </c:pt>
              </c:numCache>
            </c:numRef>
          </c:xVal>
          <c:yVal>
            <c:numRef>
              <c:f>'P1 (b) ELL contracorriente'!$J$41</c:f>
              <c:numCache>
                <c:formatCode>General</c:formatCode>
                <c:ptCount val="1"/>
                <c:pt idx="0">
                  <c:v>1.4873877227156633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AAC-4C73-8A07-A55DF63F0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389808"/>
        <c:axId val="1515297904"/>
      </c:scatterChart>
      <c:valAx>
        <c:axId val="1515389808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'P1 (b) ELL contracorriente'!$O$15</c:f>
              <c:strCache>
                <c:ptCount val="1"/>
                <c:pt idx="0">
                  <c:v>Fracción másica del disolvente (%masa)</c:v>
                </c:pt>
              </c:strCache>
            </c:strRef>
          </c:tx>
          <c:layout>
            <c:manualLayout>
              <c:xMode val="edge"/>
              <c:yMode val="edge"/>
              <c:x val="0.30044318336912462"/>
              <c:y val="0.93323024054982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15297904"/>
        <c:crosses val="autoZero"/>
        <c:crossBetween val="midCat"/>
      </c:valAx>
      <c:valAx>
        <c:axId val="1515297904"/>
        <c:scaling>
          <c:orientation val="minMax"/>
          <c:max val="1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'P1 (b) ELL contracorriente'!$O$16</c:f>
              <c:strCache>
                <c:ptCount val="1"/>
                <c:pt idx="0">
                  <c:v>Fracción másica del soluto (%masa)</c:v>
                </c:pt>
              </c:strCache>
            </c:strRef>
          </c:tx>
          <c:layout>
            <c:manualLayout>
              <c:xMode val="edge"/>
              <c:yMode val="edge"/>
              <c:x val="1.8238160221892688E-2"/>
              <c:y val="0.27434025292293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15389808"/>
        <c:crosses val="autoZero"/>
        <c:crossBetween val="midCat"/>
      </c:valAx>
      <c:spPr>
        <a:noFill/>
        <a:ln>
          <a:solidFill>
            <a:schemeClr val="tx1"/>
          </a:solidFill>
          <a:prstDash val="dash"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12700" cap="flat" cmpd="sng" algn="ctr">
      <a:solidFill>
        <a:schemeClr val="tx2"/>
      </a:solidFill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41165447778675"/>
          <c:y val="0.13462919613573318"/>
          <c:w val="0.82593735914536803"/>
          <c:h val="0.69014424178131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'P2 Adsorción'!$C$16</c:f>
              <c:strCache>
                <c:ptCount val="1"/>
                <c:pt idx="0">
                  <c:v>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'P2 Adsorción'!$B$18:$B$22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xVal>
          <c:yVal>
            <c:numRef>
              <c:f>'P2 Adsorción'!$C$18:$C$22</c:f>
              <c:numCache>
                <c:formatCode>General</c:formatCode>
                <c:ptCount val="5"/>
                <c:pt idx="0">
                  <c:v>0</c:v>
                </c:pt>
                <c:pt idx="1">
                  <c:v>4.21</c:v>
                </c:pt>
                <c:pt idx="2">
                  <c:v>5.05</c:v>
                </c:pt>
                <c:pt idx="3">
                  <c:v>5.41</c:v>
                </c:pt>
                <c:pt idx="4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3-9942-A945-0D3CF3FB3CEA}"/>
            </c:ext>
          </c:extLst>
        </c:ser>
        <c:ser>
          <c:idx val="1"/>
          <c:order val="1"/>
          <c:tx>
            <c:strRef>
              <c:f>'P2 Adsorción'!$D$16</c:f>
              <c:strCache>
                <c:ptCount val="1"/>
                <c:pt idx="0">
                  <c:v>34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12700">
                <a:solidFill>
                  <a:schemeClr val="accent2"/>
                </a:solidFill>
              </a:ln>
              <a:effectLst/>
            </c:spPr>
          </c:marker>
          <c:xVal>
            <c:numRef>
              <c:f>'P2 Adsorción'!$B$18:$B$24</c:f>
              <c:numCache>
                <c:formatCode>General</c:formatCode>
                <c:ptCount val="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</c:numCache>
            </c:numRef>
          </c:xVal>
          <c:yVal>
            <c:numRef>
              <c:f>'P2 Adsorción'!$D$18:$D$24</c:f>
              <c:numCache>
                <c:formatCode>General</c:formatCode>
                <c:ptCount val="7"/>
                <c:pt idx="0">
                  <c:v>0</c:v>
                </c:pt>
                <c:pt idx="1">
                  <c:v>3.26</c:v>
                </c:pt>
                <c:pt idx="2">
                  <c:v>4.24</c:v>
                </c:pt>
                <c:pt idx="3">
                  <c:v>4.71</c:v>
                </c:pt>
                <c:pt idx="4">
                  <c:v>4.99</c:v>
                </c:pt>
                <c:pt idx="5">
                  <c:v>5.18</c:v>
                </c:pt>
                <c:pt idx="6">
                  <c:v>5.31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3-9942-A945-0D3CF3FB3CEA}"/>
            </c:ext>
          </c:extLst>
        </c:ser>
        <c:ser>
          <c:idx val="2"/>
          <c:order val="2"/>
          <c:tx>
            <c:strRef>
              <c:f>'P2 Adsorción'!$E$16</c:f>
              <c:strCache>
                <c:ptCount val="1"/>
                <c:pt idx="0">
                  <c:v>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chemeClr val="accent3"/>
                </a:solidFill>
              </a:ln>
              <a:effectLst/>
            </c:spPr>
          </c:marker>
          <c:xVal>
            <c:numRef>
              <c:f>'P2 Adsorción'!$B$18:$B$24</c:f>
              <c:numCache>
                <c:formatCode>General</c:formatCode>
                <c:ptCount val="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</c:numCache>
            </c:numRef>
          </c:xVal>
          <c:yVal>
            <c:numRef>
              <c:f>'P2 Adsorción'!$E$18:$E$24</c:f>
              <c:numCache>
                <c:formatCode>General</c:formatCode>
                <c:ptCount val="7"/>
                <c:pt idx="0">
                  <c:v>0</c:v>
                </c:pt>
                <c:pt idx="1">
                  <c:v>2.64</c:v>
                </c:pt>
                <c:pt idx="2">
                  <c:v>3.61</c:v>
                </c:pt>
                <c:pt idx="3">
                  <c:v>4.1100000000000003</c:v>
                </c:pt>
                <c:pt idx="4">
                  <c:v>4.42</c:v>
                </c:pt>
                <c:pt idx="5">
                  <c:v>4.63</c:v>
                </c:pt>
                <c:pt idx="6">
                  <c:v>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3-9942-A945-0D3CF3FB3CEA}"/>
            </c:ext>
          </c:extLst>
        </c:ser>
        <c:ser>
          <c:idx val="3"/>
          <c:order val="3"/>
          <c:tx>
            <c:strRef>
              <c:f>'P2 Adsorción'!$F$16</c:f>
              <c:strCache>
                <c:ptCount val="1"/>
                <c:pt idx="0">
                  <c:v>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12700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'P2 Adsorción'!$B$18:$B$24</c:f>
              <c:numCache>
                <c:formatCode>General</c:formatCode>
                <c:ptCount val="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</c:numCache>
            </c:numRef>
          </c:xVal>
          <c:yVal>
            <c:numRef>
              <c:f>'P2 Adsorción'!$F$18:$F$24</c:f>
              <c:numCache>
                <c:formatCode>General</c:formatCode>
                <c:ptCount val="7"/>
                <c:pt idx="0">
                  <c:v>0</c:v>
                </c:pt>
                <c:pt idx="1">
                  <c:v>1.5</c:v>
                </c:pt>
                <c:pt idx="2">
                  <c:v>2.77</c:v>
                </c:pt>
                <c:pt idx="3">
                  <c:v>3.19</c:v>
                </c:pt>
                <c:pt idx="4">
                  <c:v>3.45</c:v>
                </c:pt>
                <c:pt idx="5">
                  <c:v>3.63</c:v>
                </c:pt>
                <c:pt idx="6">
                  <c:v>3.76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3-9942-A945-0D3CF3FB3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80016"/>
        <c:axId val="1454003280"/>
      </c:scatterChart>
      <c:scatterChart>
        <c:scatterStyle val="smoothMarker"/>
        <c:varyColors val="0"/>
        <c:ser>
          <c:idx val="4"/>
          <c:order val="4"/>
          <c:tx>
            <c:strRef>
              <c:f>'P2 Adsorción'!$G$28:$H$28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'P2 Adsorción'!$B$30:$B$34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xVal>
          <c:yVal>
            <c:numRef>
              <c:f>'P2 Adsorción'!$G$30:$G$34</c:f>
              <c:numCache>
                <c:formatCode>General</c:formatCode>
                <c:ptCount val="5"/>
                <c:pt idx="0">
                  <c:v>0</c:v>
                </c:pt>
                <c:pt idx="1">
                  <c:v>4.298242213456037</c:v>
                </c:pt>
                <c:pt idx="2">
                  <c:v>5.0332163948353719</c:v>
                </c:pt>
                <c:pt idx="3">
                  <c:v>5.3374400303062224</c:v>
                </c:pt>
                <c:pt idx="4">
                  <c:v>5.5037728126179815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2E-48AF-B9A7-9E537EE42999}"/>
            </c:ext>
          </c:extLst>
        </c:ser>
        <c:ser>
          <c:idx val="5"/>
          <c:order val="5"/>
          <c:tx>
            <c:strRef>
              <c:f>'P2 Adsorción'!$D$28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'P2 Adsorción'!$B$30:$B$36</c:f>
              <c:numCache>
                <c:formatCode>General</c:formatCode>
                <c:ptCount val="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</c:numCache>
            </c:numRef>
          </c:xVal>
          <c:yVal>
            <c:numRef>
              <c:f>'P2 Adsorción'!$I$30:$I$36</c:f>
              <c:numCache>
                <c:formatCode>General</c:formatCode>
                <c:ptCount val="7"/>
                <c:pt idx="0">
                  <c:v>0</c:v>
                </c:pt>
                <c:pt idx="1">
                  <c:v>3.2576729064296415</c:v>
                </c:pt>
                <c:pt idx="2">
                  <c:v>4.2402116398075131</c:v>
                </c:pt>
                <c:pt idx="3">
                  <c:v>4.7141530150802984</c:v>
                </c:pt>
                <c:pt idx="4">
                  <c:v>4.993205936189355</c:v>
                </c:pt>
                <c:pt idx="5">
                  <c:v>5.177079363449244</c:v>
                </c:pt>
                <c:pt idx="6">
                  <c:v>5.3073744267915783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2E-48AF-B9A7-9E537EE42999}"/>
            </c:ext>
          </c:extLst>
        </c:ser>
        <c:ser>
          <c:idx val="6"/>
          <c:order val="6"/>
          <c:tx>
            <c:strRef>
              <c:f>'P2 Adsorción'!$K$28:$L$28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'P2 Adsorción'!$B$30:$B$36</c:f>
              <c:numCache>
                <c:formatCode>General</c:formatCode>
                <c:ptCount val="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</c:numCache>
            </c:numRef>
          </c:xVal>
          <c:yVal>
            <c:numRef>
              <c:f>'P2 Adsorción'!$K$30:$K$36</c:f>
              <c:numCache>
                <c:formatCode>General</c:formatCode>
                <c:ptCount val="7"/>
                <c:pt idx="0">
                  <c:v>0</c:v>
                </c:pt>
                <c:pt idx="1">
                  <c:v>2.5041456371768378</c:v>
                </c:pt>
                <c:pt idx="2">
                  <c:v>3.5458177878098542</c:v>
                </c:pt>
                <c:pt idx="3">
                  <c:v>4.1166281598853178</c:v>
                </c:pt>
                <c:pt idx="4">
                  <c:v>4.4769834796941161</c:v>
                </c:pt>
                <c:pt idx="5">
                  <c:v>4.7251578139903128</c:v>
                </c:pt>
                <c:pt idx="6">
                  <c:v>4.9064796537715623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2E-48AF-B9A7-9E537EE42999}"/>
            </c:ext>
          </c:extLst>
        </c:ser>
        <c:ser>
          <c:idx val="7"/>
          <c:order val="7"/>
          <c:tx>
            <c:strRef>
              <c:f>'P2 Adsorción'!$M$28:$N$28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'P2 Adsorción'!$B$30:$B$36</c:f>
              <c:numCache>
                <c:formatCode>General</c:formatCode>
                <c:ptCount val="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</c:numCache>
            </c:numRef>
          </c:xVal>
          <c:yVal>
            <c:numRef>
              <c:f>'P2 Adsorción'!$M$30:$M$36</c:f>
              <c:numCache>
                <c:formatCode>General</c:formatCode>
                <c:ptCount val="7"/>
                <c:pt idx="0">
                  <c:v>0</c:v>
                </c:pt>
                <c:pt idx="1">
                  <c:v>1.5238328128133907</c:v>
                </c:pt>
                <c:pt idx="2">
                  <c:v>2.4362110112807835</c:v>
                </c:pt>
                <c:pt idx="3">
                  <c:v>3.0436646252061133</c:v>
                </c:pt>
                <c:pt idx="4">
                  <c:v>3.4771696125852203</c:v>
                </c:pt>
                <c:pt idx="5">
                  <c:v>3.8020850772765598</c:v>
                </c:pt>
                <c:pt idx="6">
                  <c:v>4.0546708302018066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62E-48AF-B9A7-9E537EE42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80016"/>
        <c:axId val="1454003280"/>
      </c:scatterChart>
      <c:valAx>
        <c:axId val="15840800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54003280"/>
        <c:crosses val="autoZero"/>
        <c:crossBetween val="midCat"/>
      </c:valAx>
      <c:valAx>
        <c:axId val="14540032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 (mol/kg)</a:t>
                </a:r>
              </a:p>
            </c:rich>
          </c:tx>
          <c:layout>
            <c:manualLayout>
              <c:xMode val="edge"/>
              <c:yMode val="edge"/>
              <c:x val="1.8159837773483522E-2"/>
              <c:y val="0.39515360868706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408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2"/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117094</xdr:colOff>
      <xdr:row>25</xdr:row>
      <xdr:rowOff>42793</xdr:rowOff>
    </xdr:from>
    <xdr:to>
      <xdr:col>7</xdr:col>
      <xdr:colOff>147639</xdr:colOff>
      <xdr:row>47</xdr:row>
      <xdr:rowOff>57359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74F588-6995-4478-999C-E11874052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170103</xdr:colOff>
      <xdr:row>26</xdr:row>
      <xdr:rowOff>89176</xdr:rowOff>
    </xdr:from>
    <xdr:to>
      <xdr:col>7</xdr:col>
      <xdr:colOff>200648</xdr:colOff>
      <xdr:row>48</xdr:row>
      <xdr:rowOff>103743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1A433-3270-B74E-AE51-00D767F78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469419</xdr:colOff>
      <xdr:row>8</xdr:row>
      <xdr:rowOff>50801</xdr:rowOff>
    </xdr:from>
    <xdr:to>
      <xdr:col>11</xdr:col>
      <xdr:colOff>927100</xdr:colOff>
      <xdr:row>23</xdr:row>
      <xdr:rowOff>106469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68C5089A-321E-254E-A1FC-CBF916941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171450</xdr:colOff>
      <xdr:row>44</xdr:row>
      <xdr:rowOff>49530</xdr:rowOff>
    </xdr:from>
    <xdr:ext cx="135383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01BDF0-DF94-4E4B-9EAD-F987EC9F8495}"/>
                </a:ext>
              </a:extLst>
            </xdr:cNvPr>
            <xdr:cNvSpPr txBox="1"/>
          </xdr:nvSpPr>
          <xdr:spPr>
            <a:xfrm>
              <a:off x="6617970" y="8957310"/>
              <a:ext cx="135383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𝐿𝑛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01BDF0-DF94-4E4B-9EAD-F987EC9F8495}"/>
                </a:ext>
              </a:extLst>
            </xdr:cNvPr>
            <xdr:cNvSpPr txBox="1"/>
          </xdr:nvSpPr>
          <xdr:spPr>
            <a:xfrm>
              <a:off x="6617970" y="8957310"/>
              <a:ext cx="135383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𝐿𝑛(𝐾)=−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</a:rPr>
                <a:t>𝐻/𝑅  1/𝑇+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</a:rPr>
                <a:t>𝑆/𝑅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438150</xdr:colOff>
      <xdr:row>47</xdr:row>
      <xdr:rowOff>194310</xdr:rowOff>
    </xdr:from>
    <xdr:ext cx="351699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4193D28-D9D8-4353-B31C-9E7494BD6B80}"/>
                </a:ext>
              </a:extLst>
            </xdr:cNvPr>
            <xdr:cNvSpPr txBox="1"/>
          </xdr:nvSpPr>
          <xdr:spPr>
            <a:xfrm>
              <a:off x="4758690" y="9696450"/>
              <a:ext cx="35169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4193D28-D9D8-4353-B31C-9E7494BD6B80}"/>
                </a:ext>
              </a:extLst>
            </xdr:cNvPr>
            <xdr:cNvSpPr txBox="1"/>
          </xdr:nvSpPr>
          <xdr:spPr>
            <a:xfrm>
              <a:off x="4758690" y="9696450"/>
              <a:ext cx="35169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∆𝐻/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575310</xdr:colOff>
      <xdr:row>51</xdr:row>
      <xdr:rowOff>194310</xdr:rowOff>
    </xdr:from>
    <xdr:ext cx="2227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300A15B-4C1B-40F3-A0B1-E9F6A3F11F9C}"/>
                </a:ext>
              </a:extLst>
            </xdr:cNvPr>
            <xdr:cNvSpPr txBox="1"/>
          </xdr:nvSpPr>
          <xdr:spPr>
            <a:xfrm>
              <a:off x="4895850" y="10488930"/>
              <a:ext cx="222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𝐻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300A15B-4C1B-40F3-A0B1-E9F6A3F11F9C}"/>
                </a:ext>
              </a:extLst>
            </xdr:cNvPr>
            <xdr:cNvSpPr txBox="1"/>
          </xdr:nvSpPr>
          <xdr:spPr>
            <a:xfrm>
              <a:off x="4895850" y="10488930"/>
              <a:ext cx="222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𝐻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521970</xdr:colOff>
      <xdr:row>53</xdr:row>
      <xdr:rowOff>19050</xdr:rowOff>
    </xdr:from>
    <xdr:ext cx="292581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CD8CACD-CCEB-46FE-93A5-5D3148763145}"/>
                </a:ext>
              </a:extLst>
            </xdr:cNvPr>
            <xdr:cNvSpPr txBox="1"/>
          </xdr:nvSpPr>
          <xdr:spPr>
            <a:xfrm>
              <a:off x="4842510" y="10709910"/>
              <a:ext cx="292581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den>
                    </m:f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  <a:p>
              <a:endParaRPr lang="es-E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CD8CACD-CCEB-46FE-93A5-5D3148763145}"/>
                </a:ext>
              </a:extLst>
            </xdr:cNvPr>
            <xdr:cNvSpPr txBox="1"/>
          </xdr:nvSpPr>
          <xdr:spPr>
            <a:xfrm>
              <a:off x="4842510" y="10709910"/>
              <a:ext cx="292581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𝑆/𝑅</a:t>
              </a:r>
              <a:endParaRPr lang="en-US" sz="1100" b="0">
                <a:ea typeface="Cambria Math" panose="02040503050406030204" pitchFamily="18" charset="0"/>
              </a:endParaRPr>
            </a:p>
            <a:p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1A89-0DBB-4B4E-AB17-ADF0872CB73E}">
  <sheetPr>
    <pageSetUpPr fitToPage="1"/>
  </sheetPr>
  <dimension ref="A1:AH75"/>
  <sheetViews>
    <sheetView tabSelected="1" topLeftCell="A38" zoomScale="85" zoomScaleNormal="85" workbookViewId="0">
      <selection activeCell="F19" sqref="F19"/>
    </sheetView>
  </sheetViews>
  <sheetFormatPr defaultColWidth="10.97265625" defaultRowHeight="15" x14ac:dyDescent="0.2"/>
  <cols>
    <col min="1" max="1" width="6.65625" customWidth="1"/>
    <col min="4" max="4" width="12.20703125" bestFit="1" customWidth="1"/>
    <col min="12" max="14" width="11.34375" customWidth="1"/>
    <col min="17" max="17" width="14.55078125" bestFit="1" customWidth="1"/>
    <col min="18" max="18" width="12.20703125" bestFit="1" customWidth="1"/>
  </cols>
  <sheetData>
    <row r="1" spans="1:19" ht="19.5" customHeight="1" x14ac:dyDescent="0.2"/>
    <row r="2" spans="1:19" ht="18.75" x14ac:dyDescent="0.25">
      <c r="B2" s="50" t="s">
        <v>36</v>
      </c>
      <c r="C2" s="51" t="s">
        <v>61</v>
      </c>
      <c r="D2" s="51"/>
      <c r="E2" s="51"/>
      <c r="F2" s="50" t="s">
        <v>43</v>
      </c>
      <c r="G2" s="51" t="s">
        <v>62</v>
      </c>
      <c r="H2" s="51"/>
      <c r="I2" s="51"/>
      <c r="J2" s="51"/>
      <c r="K2" s="51"/>
      <c r="L2" s="51"/>
      <c r="M2" s="51"/>
      <c r="N2" s="51"/>
      <c r="O2" s="51"/>
      <c r="P2" s="50" t="s">
        <v>60</v>
      </c>
      <c r="Q2" s="93" t="s">
        <v>63</v>
      </c>
      <c r="R2" s="51"/>
      <c r="S2" s="51"/>
    </row>
    <row r="4" spans="1:19" x14ac:dyDescent="0.2">
      <c r="B4" s="60" t="s">
        <v>0</v>
      </c>
      <c r="C4" s="61"/>
      <c r="D4" s="62"/>
      <c r="H4" s="35" t="s">
        <v>35</v>
      </c>
      <c r="I4" s="147"/>
      <c r="J4" s="36"/>
      <c r="K4" s="36"/>
      <c r="L4" s="36"/>
      <c r="M4" s="36"/>
      <c r="N4" s="37"/>
      <c r="Q4" s="55" t="s">
        <v>1</v>
      </c>
      <c r="R4" s="24"/>
    </row>
    <row r="5" spans="1:19" x14ac:dyDescent="0.2">
      <c r="B5" s="52" t="s">
        <v>28</v>
      </c>
      <c r="C5" s="20" t="s">
        <v>29</v>
      </c>
      <c r="D5" s="65" t="s">
        <v>27</v>
      </c>
      <c r="H5" s="25" t="s">
        <v>3</v>
      </c>
      <c r="I5" s="148"/>
      <c r="J5" s="26"/>
      <c r="K5" s="27"/>
      <c r="L5" s="25" t="s">
        <v>4</v>
      </c>
      <c r="M5" s="26"/>
      <c r="N5" s="27"/>
      <c r="Q5" s="41"/>
      <c r="R5" s="42"/>
    </row>
    <row r="6" spans="1:19" x14ac:dyDescent="0.2">
      <c r="B6" s="63" t="s">
        <v>25</v>
      </c>
      <c r="C6" s="64" t="s">
        <v>25</v>
      </c>
      <c r="D6" s="66" t="s">
        <v>25</v>
      </c>
      <c r="H6" s="45" t="s">
        <v>5</v>
      </c>
      <c r="I6" s="46" t="s">
        <v>6</v>
      </c>
      <c r="J6" s="46" t="s">
        <v>7</v>
      </c>
      <c r="K6" s="45" t="s">
        <v>5</v>
      </c>
      <c r="L6" s="46" t="s">
        <v>6</v>
      </c>
      <c r="M6" s="47" t="s">
        <v>7</v>
      </c>
      <c r="Q6" s="43" t="s">
        <v>10</v>
      </c>
      <c r="R6" s="44" t="s">
        <v>11</v>
      </c>
    </row>
    <row r="7" spans="1:19" x14ac:dyDescent="0.2">
      <c r="A7" s="1">
        <v>1</v>
      </c>
      <c r="B7" s="101">
        <v>0.09</v>
      </c>
      <c r="C7" s="102">
        <v>0</v>
      </c>
      <c r="D7" s="5">
        <v>99.91</v>
      </c>
      <c r="G7" s="53">
        <v>1</v>
      </c>
      <c r="H7" s="10">
        <v>0.56000000000000216</v>
      </c>
      <c r="I7" s="12">
        <v>14.149999999999999</v>
      </c>
      <c r="J7" s="11">
        <v>85.289999999999992</v>
      </c>
      <c r="K7" s="10">
        <v>96.22</v>
      </c>
      <c r="L7" s="12">
        <v>2.6599999999999997</v>
      </c>
      <c r="M7" s="11">
        <v>1.1200000000000014</v>
      </c>
      <c r="Q7" s="10">
        <f t="shared" ref="Q7:R10" si="0">IFERROR(AVERAGE(H7,K7)," ")</f>
        <v>48.39</v>
      </c>
      <c r="R7" s="11">
        <f t="shared" si="0"/>
        <v>8.4049999999999994</v>
      </c>
    </row>
    <row r="8" spans="1:19" x14ac:dyDescent="0.2">
      <c r="A8" s="1">
        <v>2</v>
      </c>
      <c r="B8" s="101">
        <v>0.12</v>
      </c>
      <c r="C8" s="102">
        <v>10.54</v>
      </c>
      <c r="D8" s="5">
        <v>89.34</v>
      </c>
      <c r="G8" s="53">
        <v>2</v>
      </c>
      <c r="H8" s="3">
        <v>0.82999999999999741</v>
      </c>
      <c r="I8" s="4">
        <v>33.85</v>
      </c>
      <c r="J8" s="5">
        <v>65.319999999999993</v>
      </c>
      <c r="K8" s="3">
        <v>89.710000000000008</v>
      </c>
      <c r="L8" s="4">
        <v>8.23</v>
      </c>
      <c r="M8" s="5">
        <v>2.0599999999999916</v>
      </c>
      <c r="Q8" s="3">
        <f t="shared" si="0"/>
        <v>45.27</v>
      </c>
      <c r="R8" s="5">
        <f t="shared" si="0"/>
        <v>21.04</v>
      </c>
    </row>
    <row r="9" spans="1:19" x14ac:dyDescent="0.2">
      <c r="A9" s="1">
        <v>3</v>
      </c>
      <c r="B9" s="101">
        <v>0.18</v>
      </c>
      <c r="C9" s="102">
        <v>20.74</v>
      </c>
      <c r="D9" s="5">
        <v>79.08</v>
      </c>
      <c r="G9" s="53">
        <v>3</v>
      </c>
      <c r="H9" s="3">
        <v>1.1599999999999944</v>
      </c>
      <c r="I9" s="4">
        <v>47.760000000000005</v>
      </c>
      <c r="J9" s="5">
        <v>51.08</v>
      </c>
      <c r="K9" s="3">
        <v>85.16</v>
      </c>
      <c r="L9" s="4">
        <v>12.27</v>
      </c>
      <c r="M9" s="5">
        <v>2.5700000000000038</v>
      </c>
      <c r="Q9" s="3">
        <f t="shared" si="0"/>
        <v>43.16</v>
      </c>
      <c r="R9" s="5">
        <f t="shared" si="0"/>
        <v>30.015000000000001</v>
      </c>
    </row>
    <row r="10" spans="1:19" x14ac:dyDescent="0.2">
      <c r="A10" s="1">
        <v>4</v>
      </c>
      <c r="B10" s="101">
        <v>0.2</v>
      </c>
      <c r="C10" s="102">
        <v>31.230000000000004</v>
      </c>
      <c r="D10" s="5">
        <v>68.569999999999993</v>
      </c>
      <c r="G10" s="53">
        <v>4</v>
      </c>
      <c r="H10" s="6">
        <v>2.2499999999999964</v>
      </c>
      <c r="I10" s="7">
        <v>55.7</v>
      </c>
      <c r="J10" s="8">
        <v>42.05</v>
      </c>
      <c r="K10" s="6">
        <v>80.180000000000007</v>
      </c>
      <c r="L10" s="7">
        <v>16.669999999999998</v>
      </c>
      <c r="M10" s="8">
        <v>3.149999999999995</v>
      </c>
      <c r="Q10" s="6">
        <f t="shared" si="0"/>
        <v>41.215000000000003</v>
      </c>
      <c r="R10" s="8">
        <f t="shared" si="0"/>
        <v>36.185000000000002</v>
      </c>
    </row>
    <row r="11" spans="1:19" x14ac:dyDescent="0.2">
      <c r="A11" s="1">
        <v>5</v>
      </c>
      <c r="B11" s="101">
        <v>0.49</v>
      </c>
      <c r="C11" s="102">
        <v>40.92</v>
      </c>
      <c r="D11" s="5">
        <v>58.589999999999996</v>
      </c>
    </row>
    <row r="12" spans="1:19" x14ac:dyDescent="0.2">
      <c r="A12" s="1">
        <v>6</v>
      </c>
      <c r="B12" s="101">
        <v>1.1299999999999999</v>
      </c>
      <c r="C12" s="102">
        <v>50.56</v>
      </c>
      <c r="D12" s="5">
        <v>48.309999999999995</v>
      </c>
      <c r="H12" s="56" t="s">
        <v>2</v>
      </c>
      <c r="I12" s="149"/>
      <c r="J12" s="57"/>
      <c r="K12" s="57"/>
      <c r="L12" s="57"/>
      <c r="M12" s="58"/>
    </row>
    <row r="13" spans="1:19" x14ac:dyDescent="0.2">
      <c r="A13" s="1">
        <v>7</v>
      </c>
      <c r="B13" s="101">
        <v>3.11</v>
      </c>
      <c r="C13" s="102">
        <v>59.319999999999993</v>
      </c>
      <c r="D13" s="5">
        <v>37.57</v>
      </c>
      <c r="H13" s="29" t="s">
        <v>12</v>
      </c>
      <c r="I13" s="150" t="s">
        <v>115</v>
      </c>
      <c r="J13" s="30" t="s">
        <v>13</v>
      </c>
      <c r="K13" s="30" t="s">
        <v>14</v>
      </c>
      <c r="L13" s="28" t="s">
        <v>8</v>
      </c>
      <c r="M13" s="31" t="s">
        <v>9</v>
      </c>
      <c r="O13" s="25" t="s">
        <v>16</v>
      </c>
      <c r="P13" s="33"/>
      <c r="Q13" s="33"/>
      <c r="R13" s="34"/>
    </row>
    <row r="14" spans="1:19" x14ac:dyDescent="0.2">
      <c r="A14" s="1">
        <v>8</v>
      </c>
      <c r="B14" s="101">
        <v>11.4</v>
      </c>
      <c r="C14" s="102">
        <v>62.67</v>
      </c>
      <c r="D14" s="5">
        <v>25.929999999999996</v>
      </c>
      <c r="H14" s="13">
        <v>1</v>
      </c>
      <c r="I14" s="153">
        <v>0</v>
      </c>
      <c r="J14" s="12">
        <f ca="1">+OFFSET($H$6,H14,I14)</f>
        <v>0.56000000000000216</v>
      </c>
      <c r="K14" s="12">
        <f ca="1">+OFFSET($I$6,H14,I14)</f>
        <v>14.149999999999999</v>
      </c>
      <c r="L14" s="12"/>
      <c r="M14" s="11"/>
      <c r="O14" s="38" t="s">
        <v>15</v>
      </c>
      <c r="P14" s="59" t="s">
        <v>40</v>
      </c>
      <c r="Q14" s="4"/>
      <c r="R14" s="5"/>
    </row>
    <row r="15" spans="1:19" x14ac:dyDescent="0.2">
      <c r="A15" s="1">
        <v>9</v>
      </c>
      <c r="B15" s="97">
        <v>21.25</v>
      </c>
      <c r="C15" s="98">
        <v>58.28</v>
      </c>
      <c r="D15" s="5">
        <v>20.47</v>
      </c>
      <c r="H15" s="2">
        <v>1</v>
      </c>
      <c r="I15" s="151">
        <v>3</v>
      </c>
      <c r="J15" s="12">
        <f t="shared" ref="J15:J21" ca="1" si="1">+OFFSET($H$6,H15,I15)</f>
        <v>96.22</v>
      </c>
      <c r="K15" s="12">
        <f t="shared" ref="K15:K21" ca="1" si="2">+OFFSET($I$6,H15,I15)</f>
        <v>2.6599999999999997</v>
      </c>
      <c r="L15" s="4">
        <f ca="1">+SLOPE(K14:K15,J14:J15)</f>
        <v>-0.12011289985364833</v>
      </c>
      <c r="M15" s="5">
        <f ca="1">+INTERCEPT(K14:K15,J14:J15)</f>
        <v>14.217263223918042</v>
      </c>
      <c r="O15" s="38" t="s">
        <v>17</v>
      </c>
      <c r="P15" s="4" t="s">
        <v>38</v>
      </c>
      <c r="Q15" s="4"/>
      <c r="R15" s="5"/>
    </row>
    <row r="16" spans="1:19" x14ac:dyDescent="0.2">
      <c r="A16" s="1">
        <v>10</v>
      </c>
      <c r="B16" s="97">
        <v>29.580000000000002</v>
      </c>
      <c r="C16" s="98">
        <v>53.559999999999995</v>
      </c>
      <c r="D16" s="5">
        <v>16.86</v>
      </c>
      <c r="H16" s="13">
        <v>2</v>
      </c>
      <c r="I16" s="150">
        <v>0</v>
      </c>
      <c r="J16" s="12">
        <f t="shared" ca="1" si="1"/>
        <v>0.82999999999999741</v>
      </c>
      <c r="K16" s="12">
        <f t="shared" ca="1" si="2"/>
        <v>33.85</v>
      </c>
      <c r="L16" s="12"/>
      <c r="M16" s="11"/>
      <c r="O16" s="39" t="s">
        <v>18</v>
      </c>
      <c r="P16" s="7" t="s">
        <v>39</v>
      </c>
      <c r="Q16" s="7"/>
      <c r="R16" s="8"/>
    </row>
    <row r="17" spans="1:34" x14ac:dyDescent="0.2">
      <c r="A17" s="1">
        <v>11</v>
      </c>
      <c r="B17" s="97">
        <v>39.31</v>
      </c>
      <c r="C17" s="98">
        <v>47.81</v>
      </c>
      <c r="D17" s="5">
        <v>12.879999999999999</v>
      </c>
      <c r="H17" s="49">
        <v>2</v>
      </c>
      <c r="I17" s="152">
        <v>3</v>
      </c>
      <c r="J17" s="12">
        <f t="shared" ca="1" si="1"/>
        <v>89.710000000000008</v>
      </c>
      <c r="K17" s="12">
        <f t="shared" ca="1" si="2"/>
        <v>8.23</v>
      </c>
      <c r="L17" s="4">
        <f ca="1">+SLOPE(K16:K17,J16:J17)</f>
        <v>-0.28825382538253824</v>
      </c>
      <c r="M17" s="5">
        <f ca="1">+INTERCEPT(K16:K17,J16:J17)</f>
        <v>34.089250675067504</v>
      </c>
      <c r="O17" s="9" t="s">
        <v>19</v>
      </c>
      <c r="P17" s="11"/>
    </row>
    <row r="18" spans="1:34" x14ac:dyDescent="0.2">
      <c r="A18" s="1">
        <v>12</v>
      </c>
      <c r="B18" s="97">
        <v>50.249999999999993</v>
      </c>
      <c r="C18" s="98">
        <v>40.489999999999995</v>
      </c>
      <c r="D18" s="5">
        <v>9.26</v>
      </c>
      <c r="H18" s="13">
        <v>3</v>
      </c>
      <c r="I18" s="150">
        <v>0</v>
      </c>
      <c r="J18" s="12">
        <f t="shared" ca="1" si="1"/>
        <v>1.1599999999999944</v>
      </c>
      <c r="K18" s="12">
        <f t="shared" ca="1" si="2"/>
        <v>47.760000000000005</v>
      </c>
      <c r="L18" s="12"/>
      <c r="M18" s="11"/>
      <c r="O18" s="3">
        <v>100</v>
      </c>
      <c r="P18" s="5">
        <v>0</v>
      </c>
    </row>
    <row r="19" spans="1:34" x14ac:dyDescent="0.2">
      <c r="A19" s="1">
        <v>13</v>
      </c>
      <c r="B19" s="97">
        <v>61.660000000000004</v>
      </c>
      <c r="C19" s="98">
        <v>32.269999999999996</v>
      </c>
      <c r="D19" s="5">
        <v>6.0699999999999994</v>
      </c>
      <c r="H19" s="49">
        <v>3</v>
      </c>
      <c r="I19" s="152">
        <v>3</v>
      </c>
      <c r="J19" s="12">
        <f t="shared" ca="1" si="1"/>
        <v>85.16</v>
      </c>
      <c r="K19" s="12">
        <f t="shared" ca="1" si="2"/>
        <v>12.27</v>
      </c>
      <c r="L19" s="7"/>
      <c r="M19" s="8"/>
      <c r="O19" s="6">
        <v>0</v>
      </c>
      <c r="P19" s="8">
        <v>100</v>
      </c>
    </row>
    <row r="20" spans="1:34" x14ac:dyDescent="0.2">
      <c r="A20" s="1">
        <v>14</v>
      </c>
      <c r="B20" s="97">
        <v>73.91</v>
      </c>
      <c r="C20" s="98">
        <v>22.27</v>
      </c>
      <c r="D20" s="5">
        <v>3.82</v>
      </c>
      <c r="H20" s="2">
        <v>4</v>
      </c>
      <c r="I20" s="151">
        <v>0</v>
      </c>
      <c r="J20" s="12">
        <f t="shared" ca="1" si="1"/>
        <v>2.2499999999999964</v>
      </c>
      <c r="K20" s="12">
        <f t="shared" ca="1" si="2"/>
        <v>55.7</v>
      </c>
      <c r="L20" s="4"/>
      <c r="M20" s="5"/>
    </row>
    <row r="21" spans="1:34" x14ac:dyDescent="0.2">
      <c r="A21" s="1">
        <v>15</v>
      </c>
      <c r="B21" s="97">
        <v>86.37</v>
      </c>
      <c r="C21" s="98">
        <v>11.53</v>
      </c>
      <c r="D21" s="5">
        <v>2.1</v>
      </c>
      <c r="H21" s="49">
        <v>4</v>
      </c>
      <c r="I21" s="152">
        <v>3</v>
      </c>
      <c r="J21" s="12">
        <f t="shared" ca="1" si="1"/>
        <v>80.180000000000007</v>
      </c>
      <c r="K21" s="12">
        <f t="shared" ca="1" si="2"/>
        <v>16.669999999999998</v>
      </c>
      <c r="L21" s="4">
        <f ca="1">+SLOPE(K20:K21,J20:J21)</f>
        <v>-0.50083408186834344</v>
      </c>
      <c r="M21" s="5">
        <f ca="1">+INTERCEPT(K20:K21,J20:J21)</f>
        <v>56.826876684203782</v>
      </c>
    </row>
    <row r="22" spans="1:34" x14ac:dyDescent="0.2">
      <c r="A22" s="1">
        <v>16</v>
      </c>
      <c r="B22" s="99">
        <v>99.44</v>
      </c>
      <c r="C22" s="100">
        <v>0</v>
      </c>
      <c r="D22" s="8">
        <v>0.55999999999999994</v>
      </c>
    </row>
    <row r="24" spans="1:34" x14ac:dyDescent="0.2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AE24" s="16"/>
      <c r="AF24" s="16"/>
      <c r="AG24" s="15"/>
      <c r="AH24" s="15"/>
    </row>
    <row r="25" spans="1:34" x14ac:dyDescent="0.2">
      <c r="AE25" s="14"/>
      <c r="AF25" s="14"/>
      <c r="AG25" s="15"/>
      <c r="AH25" s="15"/>
    </row>
    <row r="26" spans="1:34" x14ac:dyDescent="0.2">
      <c r="J26" s="21" t="s">
        <v>41</v>
      </c>
      <c r="K26" s="22"/>
      <c r="L26" s="22"/>
      <c r="M26" s="22"/>
      <c r="N26" s="22"/>
      <c r="O26" s="23"/>
      <c r="Q26" s="21" t="s">
        <v>77</v>
      </c>
      <c r="R26" s="22"/>
      <c r="S26" s="22"/>
      <c r="T26" s="22" t="s">
        <v>84</v>
      </c>
      <c r="U26" s="22"/>
      <c r="V26" s="23"/>
      <c r="AE26" s="14"/>
      <c r="AF26" s="14"/>
      <c r="AG26" s="15"/>
      <c r="AH26" s="15"/>
    </row>
    <row r="27" spans="1:34" x14ac:dyDescent="0.2">
      <c r="J27" s="17"/>
      <c r="K27" s="18"/>
      <c r="L27" s="20" t="s">
        <v>20</v>
      </c>
      <c r="M27" s="20" t="s">
        <v>21</v>
      </c>
      <c r="N27" s="20" t="s">
        <v>22</v>
      </c>
      <c r="O27" s="19" t="s">
        <v>23</v>
      </c>
      <c r="Q27" s="52" t="s">
        <v>20</v>
      </c>
      <c r="R27" s="20" t="s">
        <v>21</v>
      </c>
      <c r="S27" s="65" t="s">
        <v>22</v>
      </c>
      <c r="T27" s="160" t="s">
        <v>86</v>
      </c>
      <c r="U27" s="161"/>
      <c r="V27" s="162"/>
      <c r="AG27" s="15"/>
      <c r="AH27" s="15"/>
    </row>
    <row r="28" spans="1:34" x14ac:dyDescent="0.2">
      <c r="J28" s="67" t="s">
        <v>24</v>
      </c>
      <c r="K28" s="68"/>
      <c r="L28" s="64" t="s">
        <v>25</v>
      </c>
      <c r="M28" s="64" t="s">
        <v>25</v>
      </c>
      <c r="N28" s="64" t="s">
        <v>25</v>
      </c>
      <c r="O28" s="66" t="s">
        <v>26</v>
      </c>
      <c r="Q28" s="95" t="s">
        <v>78</v>
      </c>
      <c r="R28" s="94" t="s">
        <v>79</v>
      </c>
      <c r="S28" s="96" t="s">
        <v>66</v>
      </c>
      <c r="T28" s="3"/>
      <c r="U28" s="94" t="s">
        <v>8</v>
      </c>
      <c r="V28" s="96" t="s">
        <v>9</v>
      </c>
      <c r="AG28" s="15"/>
      <c r="AH28" s="15"/>
    </row>
    <row r="29" spans="1:34" x14ac:dyDescent="0.2">
      <c r="J29" s="32" t="s">
        <v>42</v>
      </c>
      <c r="K29" s="48" t="s">
        <v>30</v>
      </c>
      <c r="L29" s="4"/>
      <c r="M29" s="4"/>
      <c r="N29" s="4"/>
      <c r="O29" s="5"/>
      <c r="Q29" s="38" t="s">
        <v>80</v>
      </c>
      <c r="R29" s="4"/>
      <c r="S29" s="5"/>
      <c r="T29" s="3" t="s">
        <v>87</v>
      </c>
      <c r="U29" s="4">
        <f ca="1">+L17</f>
        <v>-0.28825382538253824</v>
      </c>
      <c r="V29" s="4">
        <f ca="1">+M17</f>
        <v>34.089250675067504</v>
      </c>
      <c r="AG29" s="15"/>
      <c r="AH29" s="15"/>
    </row>
    <row r="30" spans="1:34" x14ac:dyDescent="0.2">
      <c r="J30" s="6"/>
      <c r="K30" s="7"/>
      <c r="L30" s="7"/>
      <c r="M30" s="7"/>
      <c r="N30" s="7"/>
      <c r="O30" s="8"/>
      <c r="Q30" s="3">
        <f>+L37</f>
        <v>0</v>
      </c>
      <c r="R30" s="3">
        <f>+M37</f>
        <v>45</v>
      </c>
      <c r="S30" s="5"/>
      <c r="T30" s="163" t="s">
        <v>88</v>
      </c>
      <c r="U30" s="164"/>
      <c r="V30" s="165"/>
      <c r="AG30" s="15"/>
      <c r="AH30" s="15"/>
    </row>
    <row r="31" spans="1:34" x14ac:dyDescent="0.2">
      <c r="Q31" s="3">
        <f>+L38</f>
        <v>100</v>
      </c>
      <c r="R31" s="3">
        <f>+M38</f>
        <v>0</v>
      </c>
      <c r="S31" s="8"/>
      <c r="T31" s="3" t="s">
        <v>89</v>
      </c>
      <c r="U31" s="4"/>
      <c r="V31" s="5"/>
      <c r="AG31" s="15"/>
      <c r="AH31" s="15"/>
    </row>
    <row r="32" spans="1:34" x14ac:dyDescent="0.2">
      <c r="Q32" s="103" t="s">
        <v>81</v>
      </c>
      <c r="R32" s="12"/>
      <c r="S32" s="11"/>
      <c r="T32" s="163" t="s">
        <v>90</v>
      </c>
      <c r="U32" s="164"/>
      <c r="V32" s="165"/>
      <c r="AG32" s="15"/>
      <c r="AH32" s="15"/>
    </row>
    <row r="33" spans="10:34" x14ac:dyDescent="0.2">
      <c r="Q33" s="3"/>
      <c r="R33" s="4"/>
      <c r="S33" s="5"/>
      <c r="T33" s="6" t="s">
        <v>91</v>
      </c>
      <c r="U33" s="7"/>
      <c r="V33" s="8"/>
      <c r="AG33" s="15"/>
      <c r="AH33" s="15"/>
    </row>
    <row r="34" spans="10:34" x14ac:dyDescent="0.2">
      <c r="J34" s="21" t="s">
        <v>64</v>
      </c>
      <c r="K34" s="22"/>
      <c r="L34" s="22" t="s">
        <v>65</v>
      </c>
      <c r="M34" s="22" t="s">
        <v>67</v>
      </c>
      <c r="N34" s="22" t="s">
        <v>66</v>
      </c>
      <c r="O34" s="23"/>
      <c r="Q34" s="6">
        <f>+L39</f>
        <v>66.666666666666671</v>
      </c>
      <c r="R34" s="6">
        <f>+M39</f>
        <v>15</v>
      </c>
      <c r="S34" s="8"/>
      <c r="AG34" s="15"/>
      <c r="AH34" s="15"/>
    </row>
    <row r="35" spans="10:34" x14ac:dyDescent="0.2">
      <c r="J35" s="17"/>
      <c r="K35" s="18"/>
      <c r="L35" s="20" t="s">
        <v>20</v>
      </c>
      <c r="M35" s="20" t="s">
        <v>21</v>
      </c>
      <c r="N35" s="20" t="s">
        <v>22</v>
      </c>
      <c r="O35" s="19" t="s">
        <v>23</v>
      </c>
      <c r="Q35" s="169" t="s">
        <v>82</v>
      </c>
      <c r="R35" s="170"/>
      <c r="S35" s="171"/>
      <c r="AG35" s="15"/>
      <c r="AH35" s="15"/>
    </row>
    <row r="36" spans="10:34" x14ac:dyDescent="0.2">
      <c r="J36" s="67" t="s">
        <v>24</v>
      </c>
      <c r="K36" s="68"/>
      <c r="L36" s="64" t="s">
        <v>25</v>
      </c>
      <c r="M36" s="64" t="s">
        <v>25</v>
      </c>
      <c r="N36" s="64" t="s">
        <v>25</v>
      </c>
      <c r="O36" s="66" t="s">
        <v>26</v>
      </c>
      <c r="Q36" s="172" t="s">
        <v>83</v>
      </c>
      <c r="R36" s="173"/>
      <c r="S36" s="174"/>
      <c r="AG36" s="15"/>
      <c r="AH36" s="15"/>
    </row>
    <row r="37" spans="10:34" x14ac:dyDescent="0.2">
      <c r="J37" s="10" t="s">
        <v>68</v>
      </c>
      <c r="K37" s="12" t="s">
        <v>72</v>
      </c>
      <c r="L37" s="104">
        <v>0</v>
      </c>
      <c r="M37" s="104">
        <v>45</v>
      </c>
      <c r="N37" s="104">
        <v>55</v>
      </c>
      <c r="O37" s="105">
        <v>100</v>
      </c>
      <c r="Q37" s="103" t="s">
        <v>92</v>
      </c>
      <c r="R37" s="12"/>
      <c r="S37" s="11"/>
      <c r="AG37" s="15"/>
      <c r="AH37" s="15"/>
    </row>
    <row r="38" spans="10:34" x14ac:dyDescent="0.2">
      <c r="J38" s="3" t="s">
        <v>20</v>
      </c>
      <c r="K38" s="4" t="s">
        <v>73</v>
      </c>
      <c r="L38" s="106">
        <v>100</v>
      </c>
      <c r="M38" s="106">
        <v>0</v>
      </c>
      <c r="N38" s="106">
        <v>0</v>
      </c>
      <c r="O38" s="107">
        <v>200</v>
      </c>
      <c r="Q38" s="3" t="s">
        <v>119</v>
      </c>
      <c r="R38" s="4">
        <f ca="1">+J16</f>
        <v>0.82999999999999741</v>
      </c>
      <c r="S38" s="4">
        <f ca="1">+K16</f>
        <v>33.85</v>
      </c>
      <c r="AG38" s="15"/>
      <c r="AH38" s="15"/>
    </row>
    <row r="39" spans="10:34" x14ac:dyDescent="0.2">
      <c r="J39" s="3" t="s">
        <v>69</v>
      </c>
      <c r="K39" s="4" t="s">
        <v>74</v>
      </c>
      <c r="L39" s="4">
        <f>+(L37*O37+L38*O38)/O39</f>
        <v>66.666666666666671</v>
      </c>
      <c r="M39" s="4">
        <f>+(M37*O37+M38*O38)/O39</f>
        <v>15</v>
      </c>
      <c r="N39" s="4">
        <f>100-SUM(L39:M39)</f>
        <v>18.333333333333329</v>
      </c>
      <c r="O39" s="5">
        <f>+SUM(O37:O38)</f>
        <v>300</v>
      </c>
      <c r="Q39" s="6" t="s">
        <v>120</v>
      </c>
      <c r="R39" s="4">
        <f ca="1">+J17</f>
        <v>89.710000000000008</v>
      </c>
      <c r="S39" s="4">
        <f ca="1">+K17</f>
        <v>8.23</v>
      </c>
      <c r="AG39" s="15"/>
      <c r="AH39" s="15"/>
    </row>
    <row r="40" spans="10:34" x14ac:dyDescent="0.2">
      <c r="J40" s="3" t="s">
        <v>70</v>
      </c>
      <c r="K40" s="4" t="s">
        <v>75</v>
      </c>
      <c r="L40" s="4">
        <f ca="1">+R39</f>
        <v>89.710000000000008</v>
      </c>
      <c r="M40" s="4">
        <f ca="1">+S39</f>
        <v>8.23</v>
      </c>
      <c r="N40" s="4">
        <f ca="1">100-SUM(L40:M40)</f>
        <v>2.0599999999999881</v>
      </c>
      <c r="O40" s="108">
        <f ca="1">+N44</f>
        <v>222.22097209720971</v>
      </c>
      <c r="AG40" s="15"/>
      <c r="AH40" s="15"/>
    </row>
    <row r="41" spans="10:34" x14ac:dyDescent="0.2">
      <c r="J41" s="6" t="s">
        <v>121</v>
      </c>
      <c r="K41" s="7" t="s">
        <v>76</v>
      </c>
      <c r="L41" s="7">
        <f ca="1">+R38</f>
        <v>0.82999999999999741</v>
      </c>
      <c r="M41" s="7">
        <f ca="1">+S38</f>
        <v>33.85</v>
      </c>
      <c r="N41" s="7">
        <f ca="1">100-SUM(L41:M41)</f>
        <v>65.319999999999993</v>
      </c>
      <c r="O41" s="108">
        <f ca="1">+N45</f>
        <v>77.779027902790347</v>
      </c>
      <c r="AG41" s="15"/>
      <c r="AH41" s="15"/>
    </row>
    <row r="42" spans="10:34" x14ac:dyDescent="0.2">
      <c r="K42" s="153">
        <v>1</v>
      </c>
      <c r="L42" s="153">
        <v>1</v>
      </c>
      <c r="M42" s="154" t="s">
        <v>74</v>
      </c>
      <c r="N42" s="153" t="s">
        <v>75</v>
      </c>
      <c r="AG42" s="15"/>
      <c r="AH42" s="15"/>
    </row>
    <row r="43" spans="10:34" x14ac:dyDescent="0.2">
      <c r="K43" s="153" t="s">
        <v>116</v>
      </c>
      <c r="L43" s="153" t="s">
        <v>117</v>
      </c>
      <c r="M43" s="153" t="s">
        <v>118</v>
      </c>
      <c r="N43" s="153" t="s">
        <v>76</v>
      </c>
      <c r="AG43" s="15"/>
      <c r="AH43" s="15"/>
    </row>
    <row r="44" spans="10:34" x14ac:dyDescent="0.2">
      <c r="K44" s="153">
        <v>1</v>
      </c>
      <c r="L44" s="153">
        <v>1</v>
      </c>
      <c r="M44" s="153">
        <f>+O39</f>
        <v>300</v>
      </c>
      <c r="N44" s="153" cm="1">
        <f t="array" aca="1" ref="N44:N45" ca="1">+MMULT(MINVERSE(K44:L45),M44:M45)</f>
        <v>222.22097209720971</v>
      </c>
    </row>
    <row r="45" spans="10:34" x14ac:dyDescent="0.2">
      <c r="J45" t="s">
        <v>93</v>
      </c>
      <c r="K45" s="153">
        <f ca="1">+L40</f>
        <v>89.710000000000008</v>
      </c>
      <c r="L45" s="153">
        <f ca="1">+L41</f>
        <v>0.82999999999999741</v>
      </c>
      <c r="M45" s="153">
        <f>+O39*L39</f>
        <v>20000</v>
      </c>
      <c r="N45" s="153">
        <f ca="1"/>
        <v>77.779027902790347</v>
      </c>
    </row>
    <row r="47" spans="10:34" x14ac:dyDescent="0.2">
      <c r="J47" s="21" t="s">
        <v>64</v>
      </c>
      <c r="K47" s="22"/>
      <c r="L47" s="22" t="s">
        <v>65</v>
      </c>
      <c r="M47" s="22" t="s">
        <v>67</v>
      </c>
      <c r="N47" s="22" t="s">
        <v>66</v>
      </c>
      <c r="O47" s="23"/>
      <c r="Q47" s="21" t="s">
        <v>77</v>
      </c>
      <c r="R47" s="22"/>
      <c r="S47" s="22"/>
      <c r="T47" s="22" t="s">
        <v>84</v>
      </c>
      <c r="U47" s="22"/>
      <c r="V47" s="23"/>
    </row>
    <row r="48" spans="10:34" x14ac:dyDescent="0.2">
      <c r="J48" s="17"/>
      <c r="K48" s="18"/>
      <c r="L48" s="20" t="s">
        <v>20</v>
      </c>
      <c r="M48" s="20" t="s">
        <v>21</v>
      </c>
      <c r="N48" s="20" t="s">
        <v>22</v>
      </c>
      <c r="O48" s="19" t="s">
        <v>23</v>
      </c>
      <c r="Q48" s="52" t="s">
        <v>20</v>
      </c>
      <c r="R48" s="20" t="s">
        <v>21</v>
      </c>
      <c r="S48" s="65" t="s">
        <v>22</v>
      </c>
      <c r="T48" s="116"/>
      <c r="U48" s="117" t="s">
        <v>85</v>
      </c>
      <c r="V48" s="118" t="s">
        <v>95</v>
      </c>
    </row>
    <row r="49" spans="2:22" x14ac:dyDescent="0.2">
      <c r="J49" s="67" t="s">
        <v>24</v>
      </c>
      <c r="K49" s="68"/>
      <c r="L49" s="64" t="s">
        <v>25</v>
      </c>
      <c r="M49" s="64" t="s">
        <v>25</v>
      </c>
      <c r="N49" s="64" t="s">
        <v>25</v>
      </c>
      <c r="O49" s="66" t="s">
        <v>26</v>
      </c>
      <c r="Q49" s="95" t="s">
        <v>78</v>
      </c>
      <c r="R49" s="94" t="s">
        <v>79</v>
      </c>
      <c r="S49" s="96" t="s">
        <v>66</v>
      </c>
      <c r="T49" s="3"/>
      <c r="U49" s="94" t="s">
        <v>8</v>
      </c>
      <c r="V49" s="96" t="s">
        <v>9</v>
      </c>
    </row>
    <row r="50" spans="2:22" x14ac:dyDescent="0.2">
      <c r="J50" s="10" t="s">
        <v>68</v>
      </c>
      <c r="K50" s="12" t="s">
        <v>72</v>
      </c>
      <c r="L50" s="104">
        <f ca="1">+L41</f>
        <v>0.82999999999999741</v>
      </c>
      <c r="M50" s="104">
        <f t="shared" ref="M50:O50" ca="1" si="3">+M41</f>
        <v>33.85</v>
      </c>
      <c r="N50" s="104">
        <f t="shared" ca="1" si="3"/>
        <v>65.319999999999993</v>
      </c>
      <c r="O50" s="104">
        <f t="shared" ca="1" si="3"/>
        <v>77.779027902790347</v>
      </c>
      <c r="Q50" s="95"/>
      <c r="R50" s="94"/>
      <c r="S50" s="96"/>
      <c r="T50" s="3">
        <v>1</v>
      </c>
      <c r="U50" s="94" cm="1">
        <f t="array" aca="1" ref="U50" ca="1">+INDEX($L$14:$L$21,T50*2,1)</f>
        <v>-0.12011289985364833</v>
      </c>
      <c r="V50" s="96" cm="1">
        <f t="array" aca="1" ref="V50" ca="1">+INDEX($M$14:$M$21,T50*2,1)</f>
        <v>14.217263223918042</v>
      </c>
    </row>
    <row r="51" spans="2:22" x14ac:dyDescent="0.2">
      <c r="J51" s="3" t="s">
        <v>20</v>
      </c>
      <c r="K51" s="4" t="s">
        <v>73</v>
      </c>
      <c r="L51" s="106">
        <v>100</v>
      </c>
      <c r="M51" s="106">
        <v>0</v>
      </c>
      <c r="N51" s="106">
        <v>0</v>
      </c>
      <c r="O51" s="107">
        <v>200</v>
      </c>
      <c r="Q51" s="38" t="s">
        <v>80</v>
      </c>
      <c r="R51" s="4"/>
      <c r="S51" s="5"/>
      <c r="T51" s="3">
        <v>2</v>
      </c>
      <c r="U51" s="94" cm="1">
        <f t="array" aca="1" ref="U51" ca="1">+INDEX($L$14:$L$21,T51*2,1)</f>
        <v>-0.28825382538253824</v>
      </c>
      <c r="V51" s="96" cm="1">
        <f t="array" aca="1" ref="V51" ca="1">+INDEX($M$14:$M$21,T51*2,1)</f>
        <v>34.089250675067504</v>
      </c>
    </row>
    <row r="52" spans="2:22" x14ac:dyDescent="0.2">
      <c r="J52" s="3" t="s">
        <v>69</v>
      </c>
      <c r="K52" s="4" t="s">
        <v>74</v>
      </c>
      <c r="L52" s="4">
        <f ca="1">+(L50*O50+L51*O51)/O52</f>
        <v>72.232078658511867</v>
      </c>
      <c r="M52" s="4">
        <f ca="1">+(M50*O50+M51*O51)/O52</f>
        <v>9.4781096844748731</v>
      </c>
      <c r="N52" s="4">
        <f ca="1">100-SUM(L52:M52)</f>
        <v>18.28981165701326</v>
      </c>
      <c r="O52" s="5">
        <f ca="1">+SUM(O50:O51)</f>
        <v>277.77902790279035</v>
      </c>
      <c r="Q52" s="3">
        <f ca="1">+L50</f>
        <v>0.82999999999999741</v>
      </c>
      <c r="R52" s="3">
        <f ca="1">+M50</f>
        <v>33.85</v>
      </c>
      <c r="S52" s="4"/>
      <c r="T52" s="3" t="s">
        <v>96</v>
      </c>
      <c r="U52" s="4"/>
      <c r="V52" s="5"/>
    </row>
    <row r="53" spans="2:22" x14ac:dyDescent="0.2">
      <c r="J53" s="3" t="s">
        <v>70</v>
      </c>
      <c r="K53" s="4" t="s">
        <v>75</v>
      </c>
      <c r="L53" s="4">
        <f ca="1">+R62</f>
        <v>93.324084153568734</v>
      </c>
      <c r="M53" s="4">
        <f ca="1">+S62</f>
        <v>5.1377651712169268</v>
      </c>
      <c r="N53" s="4">
        <f ca="1">100-SUM(L53:M53)</f>
        <v>1.5381506752143395</v>
      </c>
      <c r="O53" s="108">
        <f ca="1">+N57</f>
        <v>214.52579626409664</v>
      </c>
      <c r="Q53" s="3">
        <f>+L51</f>
        <v>100</v>
      </c>
      <c r="R53" s="3">
        <f>+M51</f>
        <v>0</v>
      </c>
      <c r="S53" s="8"/>
      <c r="T53" s="163" t="s">
        <v>88</v>
      </c>
      <c r="U53" s="164"/>
      <c r="V53" s="165"/>
    </row>
    <row r="54" spans="2:22" x14ac:dyDescent="0.2">
      <c r="J54" s="6" t="s">
        <v>71</v>
      </c>
      <c r="K54" s="7" t="s">
        <v>76</v>
      </c>
      <c r="L54" s="7">
        <f ca="1">+R61</f>
        <v>0.69772133935406067</v>
      </c>
      <c r="M54" s="7">
        <f ca="1">+S61</f>
        <v>24.198556982500001</v>
      </c>
      <c r="N54" s="4">
        <f ca="1">100-SUM(L54:M54)</f>
        <v>75.103721678145945</v>
      </c>
      <c r="O54" s="108">
        <f ca="1">+N58</f>
        <v>63.253231638693734</v>
      </c>
      <c r="Q54" s="103" t="s">
        <v>81</v>
      </c>
      <c r="R54" s="12"/>
      <c r="S54" s="11"/>
      <c r="T54" s="122" t="s">
        <v>97</v>
      </c>
      <c r="U54" s="119">
        <f ca="1">+U50+(U51-U50)*(R56-R58)/(R59-R58)</f>
        <v>-0.20578149926402992</v>
      </c>
      <c r="V54" s="120">
        <f ca="1">+R56-U54*Q56</f>
        <v>24.342135125780786</v>
      </c>
    </row>
    <row r="55" spans="2:22" x14ac:dyDescent="0.2">
      <c r="K55" s="153">
        <v>1</v>
      </c>
      <c r="L55" s="153">
        <v>1</v>
      </c>
      <c r="M55" s="154" t="s">
        <v>74</v>
      </c>
      <c r="N55" s="153" t="s">
        <v>75</v>
      </c>
      <c r="Q55" s="3"/>
      <c r="R55" s="3"/>
      <c r="S55" s="3"/>
      <c r="T55" s="122" t="s">
        <v>88</v>
      </c>
      <c r="U55" s="119"/>
      <c r="V55" s="120"/>
    </row>
    <row r="56" spans="2:22" x14ac:dyDescent="0.2">
      <c r="C56" t="s">
        <v>98</v>
      </c>
      <c r="K56" s="153" t="s">
        <v>116</v>
      </c>
      <c r="L56" s="153" t="s">
        <v>117</v>
      </c>
      <c r="M56" s="153" t="s">
        <v>118</v>
      </c>
      <c r="N56" s="153" t="s">
        <v>76</v>
      </c>
      <c r="Q56" s="6">
        <f ca="1">+L52</f>
        <v>72.232078658511867</v>
      </c>
      <c r="R56" s="6">
        <f ca="1">+M52</f>
        <v>9.4781096844748731</v>
      </c>
      <c r="S56" s="8"/>
      <c r="T56" s="3" t="s">
        <v>89</v>
      </c>
      <c r="U56" s="4">
        <f ca="1">+(K14-K16)/(J14-J16)</f>
        <v>72.962962962964255</v>
      </c>
      <c r="V56" s="5">
        <f ca="1">+K14-U56*J14</f>
        <v>-26.709259259260143</v>
      </c>
    </row>
    <row r="57" spans="2:22" x14ac:dyDescent="0.2">
      <c r="K57" s="153">
        <v>1</v>
      </c>
      <c r="L57" s="153">
        <v>1</v>
      </c>
      <c r="M57" s="153">
        <f ca="1">+O52</f>
        <v>277.77902790279035</v>
      </c>
      <c r="N57" s="153" cm="1">
        <f t="array" aca="1" ref="N57:N58" ca="1">+MMULT(MINVERSE(K57:L58),M57:M58)</f>
        <v>214.52579626409664</v>
      </c>
      <c r="Q57" s="121" t="s">
        <v>94</v>
      </c>
      <c r="R57" s="110"/>
      <c r="S57" s="111"/>
      <c r="T57" s="166" t="s">
        <v>90</v>
      </c>
      <c r="U57" s="167"/>
      <c r="V57" s="168"/>
    </row>
    <row r="58" spans="2:22" x14ac:dyDescent="0.2">
      <c r="K58" s="153">
        <f ca="1">+L53</f>
        <v>93.324084153568734</v>
      </c>
      <c r="L58" s="153">
        <f ca="1">+L54</f>
        <v>0.69772133935406067</v>
      </c>
      <c r="M58" s="153">
        <f ca="1">+O52*L52</f>
        <v>20064.556593159316</v>
      </c>
      <c r="N58" s="153">
        <f ca="1"/>
        <v>63.253231638693734</v>
      </c>
      <c r="Q58" s="113">
        <f ca="1">+Q56</f>
        <v>72.232078658511867</v>
      </c>
      <c r="R58" s="114">
        <f ca="1">+U50*Q58+V50</f>
        <v>5.5412587937873585</v>
      </c>
      <c r="S58" s="115"/>
      <c r="T58" s="6" t="s">
        <v>91</v>
      </c>
      <c r="U58" s="7">
        <f ca="1">+(K15-K17)/(J15-J17)</f>
        <v>-0.85560675883256654</v>
      </c>
      <c r="V58" s="8">
        <f ca="1">+K15-U58*J15</f>
        <v>84.98648233486955</v>
      </c>
    </row>
    <row r="59" spans="2:22" x14ac:dyDescent="0.2">
      <c r="Q59" s="113">
        <f ca="1">+Q58</f>
        <v>72.232078658511867</v>
      </c>
      <c r="R59" s="114">
        <f ca="1">+U51*Q59+V51</f>
        <v>13.268077686419058</v>
      </c>
      <c r="S59" s="112"/>
    </row>
    <row r="60" spans="2:22" x14ac:dyDescent="0.2">
      <c r="B60" s="21" t="s">
        <v>64</v>
      </c>
      <c r="C60" s="22"/>
      <c r="D60" s="22" t="s">
        <v>65</v>
      </c>
      <c r="E60" s="22" t="s">
        <v>67</v>
      </c>
      <c r="F60" s="22" t="s">
        <v>66</v>
      </c>
      <c r="G60" s="23"/>
      <c r="J60" s="21" t="s">
        <v>77</v>
      </c>
      <c r="K60" s="22"/>
      <c r="L60" s="22"/>
      <c r="M60" s="22" t="s">
        <v>84</v>
      </c>
      <c r="N60" s="22"/>
      <c r="O60" s="23"/>
      <c r="Q60" s="103" t="s">
        <v>92</v>
      </c>
      <c r="R60" s="12"/>
      <c r="S60" s="11"/>
    </row>
    <row r="61" spans="2:22" x14ac:dyDescent="0.2">
      <c r="B61" s="17"/>
      <c r="C61" s="18"/>
      <c r="D61" s="20" t="s">
        <v>20</v>
      </c>
      <c r="E61" s="20" t="s">
        <v>21</v>
      </c>
      <c r="F61" s="20" t="s">
        <v>22</v>
      </c>
      <c r="G61" s="19" t="s">
        <v>23</v>
      </c>
      <c r="J61" s="52" t="s">
        <v>20</v>
      </c>
      <c r="K61" s="20" t="s">
        <v>21</v>
      </c>
      <c r="L61" s="65" t="s">
        <v>22</v>
      </c>
      <c r="M61" s="116"/>
      <c r="N61" s="117" t="s">
        <v>85</v>
      </c>
      <c r="O61" s="118" t="s">
        <v>95</v>
      </c>
      <c r="Q61" s="3" t="s">
        <v>122</v>
      </c>
      <c r="R61" s="4">
        <f ca="1">+(V56-V54)/(U54-U56)</f>
        <v>0.69772133935406067</v>
      </c>
      <c r="S61" s="5">
        <f ca="1">+R61*U54+V54</f>
        <v>24.198556982500001</v>
      </c>
    </row>
    <row r="62" spans="2:22" x14ac:dyDescent="0.2">
      <c r="B62" s="67" t="s">
        <v>24</v>
      </c>
      <c r="C62" s="68"/>
      <c r="D62" s="64" t="s">
        <v>25</v>
      </c>
      <c r="E62" s="64" t="s">
        <v>25</v>
      </c>
      <c r="F62" s="64" t="s">
        <v>25</v>
      </c>
      <c r="G62" s="66" t="s">
        <v>26</v>
      </c>
      <c r="J62" s="95" t="s">
        <v>78</v>
      </c>
      <c r="K62" s="94" t="s">
        <v>79</v>
      </c>
      <c r="L62" s="96" t="s">
        <v>66</v>
      </c>
      <c r="M62" s="3"/>
      <c r="N62" s="94" t="s">
        <v>8</v>
      </c>
      <c r="O62" s="96" t="s">
        <v>9</v>
      </c>
      <c r="Q62" s="6" t="s">
        <v>123</v>
      </c>
      <c r="R62" s="7">
        <f ca="1">+(V58-V54)/(U54-U58)</f>
        <v>93.324084153568734</v>
      </c>
      <c r="S62" s="8">
        <f ca="1">+R62*U58+V58</f>
        <v>5.1377651712169268</v>
      </c>
    </row>
    <row r="63" spans="2:22" x14ac:dyDescent="0.2">
      <c r="B63" s="10" t="s">
        <v>68</v>
      </c>
      <c r="C63" s="12" t="s">
        <v>72</v>
      </c>
      <c r="D63" s="104">
        <f ca="1">+L54</f>
        <v>0.69772133935406067</v>
      </c>
      <c r="E63" s="104">
        <f t="shared" ref="E63:G63" ca="1" si="4">+M54</f>
        <v>24.198556982500001</v>
      </c>
      <c r="F63" s="104">
        <f t="shared" ca="1" si="4"/>
        <v>75.103721678145945</v>
      </c>
      <c r="G63" s="104">
        <f t="shared" ca="1" si="4"/>
        <v>63.253231638693734</v>
      </c>
      <c r="J63" s="95"/>
      <c r="K63" s="94"/>
      <c r="L63" s="96"/>
      <c r="M63" s="3">
        <v>1</v>
      </c>
      <c r="N63" s="94" cm="1">
        <f t="array" aca="1" ref="N63" ca="1">+INDEX($L$14:$L$21,M63*2,1)</f>
        <v>-0.12011289985364833</v>
      </c>
      <c r="O63" s="94" cm="1">
        <f t="array" aca="1" ref="O63" ca="1">+INDEX($M$14:$M$21,M63*2,1)</f>
        <v>14.217263223918042</v>
      </c>
    </row>
    <row r="64" spans="2:22" x14ac:dyDescent="0.2">
      <c r="B64" s="3" t="s">
        <v>20</v>
      </c>
      <c r="C64" s="4" t="s">
        <v>73</v>
      </c>
      <c r="D64" s="106">
        <v>100</v>
      </c>
      <c r="E64" s="106">
        <v>0</v>
      </c>
      <c r="F64" s="106">
        <v>0</v>
      </c>
      <c r="G64" s="107">
        <v>200</v>
      </c>
      <c r="J64" s="38" t="s">
        <v>80</v>
      </c>
      <c r="K64" s="4"/>
      <c r="L64" s="5"/>
      <c r="M64" s="3">
        <v>2</v>
      </c>
      <c r="N64" s="94" cm="1">
        <f t="array" aca="1" ref="N64" ca="1">+INDEX($L$14:$L$21,M64*2,1)</f>
        <v>-0.28825382538253824</v>
      </c>
      <c r="O64" s="94" cm="1">
        <f t="array" aca="1" ref="O64" ca="1">+INDEX($M$14:$M$21,M64*2,1)</f>
        <v>34.089250675067504</v>
      </c>
    </row>
    <row r="65" spans="2:21" x14ac:dyDescent="0.2">
      <c r="B65" s="3" t="s">
        <v>69</v>
      </c>
      <c r="C65" s="4" t="s">
        <v>74</v>
      </c>
      <c r="D65" s="4">
        <f ca="1">+(D63*G63+D64*G64)/G65</f>
        <v>76.140121831466544</v>
      </c>
      <c r="E65" s="4">
        <f ca="1">+(E63*G63+E64*G64)/G65</f>
        <v>5.8143139235492862</v>
      </c>
      <c r="F65" s="4">
        <f ca="1">100-SUM(D65:E65)</f>
        <v>18.045564244984163</v>
      </c>
      <c r="G65" s="5">
        <f ca="1">+G63+G64</f>
        <v>263.25323163869371</v>
      </c>
      <c r="J65" s="3">
        <f ca="1">+D63</f>
        <v>0.69772133935406067</v>
      </c>
      <c r="K65" s="3">
        <f ca="1">+E63</f>
        <v>24.198556982500001</v>
      </c>
      <c r="L65" s="4"/>
      <c r="M65" s="38" t="s">
        <v>96</v>
      </c>
      <c r="N65" s="4"/>
      <c r="O65" s="5"/>
    </row>
    <row r="66" spans="2:21" x14ac:dyDescent="0.2">
      <c r="B66" s="3" t="s">
        <v>70</v>
      </c>
      <c r="C66" s="4" t="s">
        <v>75</v>
      </c>
      <c r="D66" s="4">
        <f ca="1">+K75</f>
        <v>95.762005243491288</v>
      </c>
      <c r="E66" s="4">
        <f ca="1">+L75</f>
        <v>3.1109863151147721</v>
      </c>
      <c r="F66" s="4">
        <f ca="1">100-SUM(D66:E66)</f>
        <v>1.1270084413939401</v>
      </c>
      <c r="G66" s="108">
        <f ca="1">+F70</f>
        <v>208.97846761151783</v>
      </c>
      <c r="J66" s="3">
        <f>+D64</f>
        <v>100</v>
      </c>
      <c r="K66" s="3">
        <f>+E64</f>
        <v>0</v>
      </c>
      <c r="L66" s="8"/>
      <c r="M66" s="163" t="s">
        <v>88</v>
      </c>
      <c r="N66" s="164"/>
      <c r="O66" s="165"/>
      <c r="S66" t="s">
        <v>124</v>
      </c>
    </row>
    <row r="67" spans="2:21" x14ac:dyDescent="0.2">
      <c r="B67" s="6" t="s">
        <v>71</v>
      </c>
      <c r="C67" s="7" t="s">
        <v>76</v>
      </c>
      <c r="D67" s="7">
        <f ca="1">+K74</f>
        <v>0.58841376611950968</v>
      </c>
      <c r="E67" s="7">
        <f ca="1">+L74</f>
        <v>16.223152565015958</v>
      </c>
      <c r="F67" s="4">
        <f ca="1">100-SUM(D67:E67)</f>
        <v>83.188433668864533</v>
      </c>
      <c r="G67" s="108">
        <f ca="1">+F71</f>
        <v>54.274764027175934</v>
      </c>
      <c r="J67" s="103" t="s">
        <v>81</v>
      </c>
      <c r="K67" s="12"/>
      <c r="L67" s="11"/>
      <c r="M67" s="122" t="s">
        <v>97</v>
      </c>
      <c r="N67" s="145">
        <f ca="1">+N63+(N64-N63)*(K69-K71)/(K72-K71)</f>
        <v>-0.1377710565122332</v>
      </c>
      <c r="O67" s="146">
        <f ca="1">+K69-N67*J69</f>
        <v>16.304218951240586</v>
      </c>
      <c r="T67" t="s">
        <v>125</v>
      </c>
      <c r="U67" t="s">
        <v>126</v>
      </c>
    </row>
    <row r="68" spans="2:21" x14ac:dyDescent="0.2">
      <c r="C68" s="153">
        <v>1</v>
      </c>
      <c r="D68" s="153">
        <v>1</v>
      </c>
      <c r="E68" s="154" t="s">
        <v>74</v>
      </c>
      <c r="F68" s="153" t="s">
        <v>75</v>
      </c>
      <c r="J68" s="3"/>
      <c r="K68" s="3"/>
      <c r="L68" s="3"/>
      <c r="M68" s="122" t="s">
        <v>88</v>
      </c>
      <c r="N68" s="119"/>
      <c r="O68" s="120"/>
      <c r="R68" t="s">
        <v>127</v>
      </c>
      <c r="S68">
        <v>1</v>
      </c>
      <c r="T68">
        <v>0.56000000000000216</v>
      </c>
      <c r="U68">
        <v>14.149999999999999</v>
      </c>
    </row>
    <row r="69" spans="2:21" x14ac:dyDescent="0.2">
      <c r="C69" s="153" t="s">
        <v>116</v>
      </c>
      <c r="D69" s="153" t="s">
        <v>117</v>
      </c>
      <c r="E69" s="153" t="s">
        <v>118</v>
      </c>
      <c r="F69" s="153" t="s">
        <v>76</v>
      </c>
      <c r="J69" s="6">
        <f ca="1">+D65</f>
        <v>76.140121831466544</v>
      </c>
      <c r="K69" s="6">
        <f ca="1">+E65</f>
        <v>5.8143139235492862</v>
      </c>
      <c r="L69" s="8"/>
      <c r="M69" s="3" t="s">
        <v>89</v>
      </c>
      <c r="N69" s="4">
        <f>+(U68-U69)/(T68-T69)</f>
        <v>72.962962962964255</v>
      </c>
      <c r="O69" s="5">
        <f>+U68-T68*N69</f>
        <v>-26.709259259260143</v>
      </c>
      <c r="R69" t="s">
        <v>127</v>
      </c>
      <c r="S69">
        <v>2</v>
      </c>
      <c r="T69">
        <v>0.82999999999999741</v>
      </c>
      <c r="U69">
        <v>33.85</v>
      </c>
    </row>
    <row r="70" spans="2:21" x14ac:dyDescent="0.2">
      <c r="C70" s="153">
        <v>1</v>
      </c>
      <c r="D70" s="153">
        <v>1</v>
      </c>
      <c r="E70" s="153">
        <f ca="1">+G65</f>
        <v>263.25323163869371</v>
      </c>
      <c r="F70" s="153" cm="1">
        <f t="array" aca="1" ref="F70:F71" ca="1">+MMULT(MINVERSE(C70:D71),E70:E71)</f>
        <v>208.97846761151783</v>
      </c>
      <c r="J70" s="121" t="s">
        <v>94</v>
      </c>
      <c r="K70" s="110"/>
      <c r="L70" s="111"/>
      <c r="M70" s="166" t="s">
        <v>90</v>
      </c>
      <c r="N70" s="167"/>
      <c r="O70" s="168"/>
      <c r="S70" t="s">
        <v>128</v>
      </c>
    </row>
    <row r="71" spans="2:21" x14ac:dyDescent="0.2">
      <c r="C71" s="153">
        <f ca="1">+D66</f>
        <v>95.762005243491288</v>
      </c>
      <c r="D71" s="153">
        <f ca="1">+D67</f>
        <v>0.58841376611950968</v>
      </c>
      <c r="E71" s="153">
        <f ca="1">+G65*D65</f>
        <v>20044.133129497422</v>
      </c>
      <c r="F71" s="153">
        <f ca="1"/>
        <v>54.274764027175934</v>
      </c>
      <c r="J71" s="113">
        <f ca="1">+J69</f>
        <v>76.140121831466544</v>
      </c>
      <c r="K71" s="114">
        <f ca="1">+N63*J71+O63</f>
        <v>5.0718523955305184</v>
      </c>
      <c r="L71" s="115"/>
      <c r="M71" s="6" t="s">
        <v>91</v>
      </c>
      <c r="N71" s="4">
        <f>+(U72-U73)/(T72-T73)</f>
        <v>-0.84583761562178916</v>
      </c>
      <c r="O71" s="5">
        <f>+U72-T72*N71</f>
        <v>84.110092497430713</v>
      </c>
      <c r="T71" t="s">
        <v>125</v>
      </c>
      <c r="U71" t="s">
        <v>126</v>
      </c>
    </row>
    <row r="72" spans="2:21" x14ac:dyDescent="0.2">
      <c r="J72" s="113">
        <f ca="1">+J71</f>
        <v>76.140121831466544</v>
      </c>
      <c r="K72" s="114">
        <f ca="1">+N64*J72+O64</f>
        <v>12.141569292054758</v>
      </c>
      <c r="L72" s="112"/>
      <c r="R72" t="s">
        <v>127</v>
      </c>
      <c r="S72">
        <v>1</v>
      </c>
      <c r="T72">
        <v>99.44</v>
      </c>
      <c r="U72">
        <v>0</v>
      </c>
    </row>
    <row r="73" spans="2:21" x14ac:dyDescent="0.2">
      <c r="J73" s="103" t="s">
        <v>92</v>
      </c>
      <c r="K73" s="12"/>
      <c r="L73" s="11"/>
      <c r="R73" t="s">
        <v>127</v>
      </c>
      <c r="S73">
        <v>2</v>
      </c>
      <c r="T73">
        <v>89.710000000000008</v>
      </c>
      <c r="U73">
        <v>8.23</v>
      </c>
    </row>
    <row r="74" spans="2:21" x14ac:dyDescent="0.2">
      <c r="J74" s="3" t="s">
        <v>122</v>
      </c>
      <c r="K74" s="4">
        <f ca="1">+(O69-O67)/(N67-N69)</f>
        <v>0.58841376611950968</v>
      </c>
      <c r="L74" s="5">
        <f ca="1">+K74*N67+O67</f>
        <v>16.223152565015958</v>
      </c>
    </row>
    <row r="75" spans="2:21" x14ac:dyDescent="0.2">
      <c r="J75" s="6" t="s">
        <v>70</v>
      </c>
      <c r="K75" s="7">
        <f ca="1">+(O71-O67)/(N67-N71)</f>
        <v>95.762005243491288</v>
      </c>
      <c r="L75" s="8">
        <f ca="1">+K75*N71+O71</f>
        <v>3.1109863151147721</v>
      </c>
    </row>
  </sheetData>
  <mergeCells count="9">
    <mergeCell ref="T27:V27"/>
    <mergeCell ref="T30:V30"/>
    <mergeCell ref="T32:V32"/>
    <mergeCell ref="M70:O70"/>
    <mergeCell ref="T53:V53"/>
    <mergeCell ref="T57:V57"/>
    <mergeCell ref="M66:O66"/>
    <mergeCell ref="Q35:S35"/>
    <mergeCell ref="Q36:S36"/>
  </mergeCells>
  <pageMargins left="0.25" right="0.25" top="0.75" bottom="0.75" header="0.3" footer="0.3"/>
  <pageSetup paperSize="9" scale="3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6BC5-66CB-2142-99E7-52E6EC255C83}">
  <sheetPr>
    <pageSetUpPr fitToPage="1"/>
  </sheetPr>
  <dimension ref="A1:AG55"/>
  <sheetViews>
    <sheetView zoomScale="70" zoomScaleNormal="70" workbookViewId="0">
      <selection activeCell="Q52" sqref="Q52"/>
    </sheetView>
  </sheetViews>
  <sheetFormatPr defaultColWidth="10.97265625" defaultRowHeight="15" x14ac:dyDescent="0.2"/>
  <cols>
    <col min="1" max="1" width="6.65625" customWidth="1"/>
    <col min="4" max="4" width="12.20703125" bestFit="1" customWidth="1"/>
    <col min="11" max="13" width="11.34375" customWidth="1"/>
    <col min="16" max="16" width="12.328125" customWidth="1"/>
    <col min="17" max="17" width="12.20703125" bestFit="1" customWidth="1"/>
    <col min="22" max="22" width="14.796875" customWidth="1"/>
    <col min="29" max="29" width="15.90625" customWidth="1"/>
  </cols>
  <sheetData>
    <row r="1" spans="1:18" ht="19.5" customHeight="1" x14ac:dyDescent="0.2"/>
    <row r="2" spans="1:18" ht="18.75" x14ac:dyDescent="0.25">
      <c r="B2" s="50" t="s">
        <v>36</v>
      </c>
      <c r="C2" s="51" t="s">
        <v>61</v>
      </c>
      <c r="D2" s="51"/>
      <c r="E2" s="51"/>
      <c r="F2" s="50" t="s">
        <v>43</v>
      </c>
      <c r="G2" s="51" t="s">
        <v>62</v>
      </c>
      <c r="H2" s="51"/>
      <c r="I2" s="51"/>
      <c r="J2" s="51"/>
      <c r="K2" s="51"/>
      <c r="L2" s="51"/>
      <c r="M2" s="51"/>
      <c r="N2" s="51"/>
      <c r="O2" s="50" t="s">
        <v>60</v>
      </c>
      <c r="P2" s="93" t="s">
        <v>63</v>
      </c>
      <c r="Q2" s="51"/>
      <c r="R2" s="51"/>
    </row>
    <row r="4" spans="1:18" x14ac:dyDescent="0.2">
      <c r="B4" s="60" t="s">
        <v>0</v>
      </c>
      <c r="C4" s="61"/>
      <c r="D4" s="62"/>
      <c r="H4" s="35" t="s">
        <v>35</v>
      </c>
      <c r="I4" s="36"/>
      <c r="J4" s="36"/>
      <c r="K4" s="36"/>
      <c r="L4" s="36"/>
      <c r="M4" s="37"/>
      <c r="P4" s="55" t="s">
        <v>1</v>
      </c>
      <c r="Q4" s="24"/>
    </row>
    <row r="5" spans="1:18" x14ac:dyDescent="0.2">
      <c r="B5" s="52" t="s">
        <v>28</v>
      </c>
      <c r="C5" s="20" t="s">
        <v>29</v>
      </c>
      <c r="D5" s="65" t="s">
        <v>27</v>
      </c>
      <c r="H5" s="25" t="s">
        <v>3</v>
      </c>
      <c r="I5" s="26"/>
      <c r="J5" s="27"/>
      <c r="K5" s="25" t="s">
        <v>4</v>
      </c>
      <c r="L5" s="26"/>
      <c r="M5" s="27"/>
      <c r="P5" s="41"/>
      <c r="Q5" s="42"/>
    </row>
    <row r="6" spans="1:18" x14ac:dyDescent="0.2">
      <c r="B6" s="63" t="s">
        <v>25</v>
      </c>
      <c r="C6" s="64" t="s">
        <v>25</v>
      </c>
      <c r="D6" s="66" t="s">
        <v>25</v>
      </c>
      <c r="E6" s="94" t="s">
        <v>8</v>
      </c>
      <c r="F6" s="94" t="s">
        <v>9</v>
      </c>
      <c r="H6" s="45" t="s">
        <v>5</v>
      </c>
      <c r="I6" s="46" t="s">
        <v>6</v>
      </c>
      <c r="J6" s="46" t="s">
        <v>7</v>
      </c>
      <c r="K6" s="45" t="s">
        <v>5</v>
      </c>
      <c r="L6" s="46" t="s">
        <v>6</v>
      </c>
      <c r="M6" s="47" t="s">
        <v>7</v>
      </c>
      <c r="P6" s="43" t="s">
        <v>10</v>
      </c>
      <c r="Q6" s="44" t="s">
        <v>11</v>
      </c>
    </row>
    <row r="7" spans="1:18" x14ac:dyDescent="0.2">
      <c r="A7" s="1">
        <v>1</v>
      </c>
      <c r="B7" s="157">
        <v>0.09</v>
      </c>
      <c r="C7" s="158">
        <v>0</v>
      </c>
      <c r="D7" s="159">
        <v>99.91</v>
      </c>
      <c r="E7" t="s">
        <v>129</v>
      </c>
      <c r="F7" t="s">
        <v>129</v>
      </c>
      <c r="G7" s="53">
        <v>1</v>
      </c>
      <c r="H7" s="10">
        <v>0.56000000000000216</v>
      </c>
      <c r="I7" s="12">
        <v>14.149999999999999</v>
      </c>
      <c r="J7" s="11">
        <v>85.289999999999992</v>
      </c>
      <c r="K7" s="10">
        <v>96.22</v>
      </c>
      <c r="L7" s="12">
        <v>2.6599999999999997</v>
      </c>
      <c r="M7" s="11">
        <v>1.1200000000000014</v>
      </c>
      <c r="P7" s="10">
        <f t="shared" ref="P7:Q10" si="0">IFERROR(AVERAGE(H7,K7)," ")</f>
        <v>48.39</v>
      </c>
      <c r="Q7" s="11">
        <f t="shared" si="0"/>
        <v>8.4049999999999994</v>
      </c>
    </row>
    <row r="8" spans="1:18" x14ac:dyDescent="0.2">
      <c r="A8" s="1">
        <v>2</v>
      </c>
      <c r="B8" s="157">
        <v>0.12</v>
      </c>
      <c r="C8" s="158">
        <v>10.54</v>
      </c>
      <c r="D8" s="159">
        <v>89.34</v>
      </c>
      <c r="E8">
        <f>+SLOPE(C7:C8,B7:B8)</f>
        <v>351.33333333333331</v>
      </c>
      <c r="F8">
        <f>+INTERCEPT(C7:C8,B7:B8)</f>
        <v>-31.619999999999994</v>
      </c>
      <c r="G8" s="53">
        <v>2</v>
      </c>
      <c r="H8" s="3">
        <v>0.82999999999999741</v>
      </c>
      <c r="I8" s="4">
        <v>33.85</v>
      </c>
      <c r="J8" s="5">
        <v>65.319999999999993</v>
      </c>
      <c r="K8" s="3">
        <v>89.710000000000008</v>
      </c>
      <c r="L8" s="4">
        <v>8.23</v>
      </c>
      <c r="M8" s="5">
        <v>2.0599999999999916</v>
      </c>
      <c r="P8" s="3">
        <f t="shared" si="0"/>
        <v>45.27</v>
      </c>
      <c r="Q8" s="5">
        <f t="shared" si="0"/>
        <v>21.04</v>
      </c>
    </row>
    <row r="9" spans="1:18" x14ac:dyDescent="0.2">
      <c r="A9" s="1">
        <v>3</v>
      </c>
      <c r="B9" s="157">
        <v>0.18</v>
      </c>
      <c r="C9" s="158">
        <v>20.74</v>
      </c>
      <c r="D9" s="159">
        <v>79.08</v>
      </c>
      <c r="E9">
        <f t="shared" ref="E9:E22" si="1">+SLOPE(C8:C9,B8:B9)</f>
        <v>170</v>
      </c>
      <c r="F9">
        <f t="shared" ref="F9:F22" si="2">+INTERCEPT(C8:C9,B8:B9)</f>
        <v>-9.8600000000000012</v>
      </c>
      <c r="G9" s="53">
        <v>3</v>
      </c>
      <c r="H9" s="3">
        <v>1.1599999999999944</v>
      </c>
      <c r="I9" s="4">
        <v>47.760000000000005</v>
      </c>
      <c r="J9" s="5">
        <v>51.08</v>
      </c>
      <c r="K9" s="3">
        <v>85.16</v>
      </c>
      <c r="L9" s="4">
        <v>12.27</v>
      </c>
      <c r="M9" s="5">
        <v>2.5700000000000038</v>
      </c>
      <c r="P9" s="3">
        <f t="shared" si="0"/>
        <v>43.16</v>
      </c>
      <c r="Q9" s="5">
        <f t="shared" si="0"/>
        <v>30.015000000000001</v>
      </c>
    </row>
    <row r="10" spans="1:18" x14ac:dyDescent="0.2">
      <c r="A10" s="1">
        <v>4</v>
      </c>
      <c r="B10" s="157">
        <v>0.2</v>
      </c>
      <c r="C10" s="158">
        <v>31.230000000000004</v>
      </c>
      <c r="D10" s="159">
        <v>68.569999999999993</v>
      </c>
      <c r="E10">
        <f t="shared" si="1"/>
        <v>524.49999999999989</v>
      </c>
      <c r="F10">
        <f t="shared" si="2"/>
        <v>-73.669999999999973</v>
      </c>
      <c r="G10" s="53">
        <v>4</v>
      </c>
      <c r="H10" s="6">
        <v>2.2499999999999964</v>
      </c>
      <c r="I10" s="7">
        <v>55.7</v>
      </c>
      <c r="J10" s="8">
        <v>42.05</v>
      </c>
      <c r="K10" s="6">
        <v>80.180000000000007</v>
      </c>
      <c r="L10" s="7">
        <v>16.669999999999998</v>
      </c>
      <c r="M10" s="8">
        <v>3.149999999999995</v>
      </c>
      <c r="P10" s="6">
        <f t="shared" si="0"/>
        <v>41.215000000000003</v>
      </c>
      <c r="Q10" s="8">
        <f t="shared" si="0"/>
        <v>36.185000000000002</v>
      </c>
    </row>
    <row r="11" spans="1:18" x14ac:dyDescent="0.2">
      <c r="A11" s="1">
        <v>5</v>
      </c>
      <c r="B11" s="157">
        <v>0.49</v>
      </c>
      <c r="C11" s="158">
        <v>40.92</v>
      </c>
      <c r="D11" s="159">
        <v>58.589999999999996</v>
      </c>
      <c r="E11">
        <f t="shared" si="1"/>
        <v>33.413793103448278</v>
      </c>
      <c r="F11">
        <f t="shared" si="2"/>
        <v>24.54724137931035</v>
      </c>
    </row>
    <row r="12" spans="1:18" x14ac:dyDescent="0.2">
      <c r="A12" s="1">
        <v>6</v>
      </c>
      <c r="B12" s="157">
        <v>1.1299999999999999</v>
      </c>
      <c r="C12" s="158">
        <v>50.56</v>
      </c>
      <c r="D12" s="159">
        <v>48.309999999999995</v>
      </c>
      <c r="E12">
        <f t="shared" si="1"/>
        <v>15.062500000000004</v>
      </c>
      <c r="F12">
        <f t="shared" si="2"/>
        <v>33.539375</v>
      </c>
      <c r="H12" s="56" t="s">
        <v>2</v>
      </c>
      <c r="I12" s="57"/>
      <c r="J12" s="57"/>
      <c r="K12" s="57"/>
      <c r="L12" s="58"/>
    </row>
    <row r="13" spans="1:18" x14ac:dyDescent="0.2">
      <c r="A13" s="1">
        <v>7</v>
      </c>
      <c r="B13" s="157">
        <v>3.11</v>
      </c>
      <c r="C13" s="158">
        <v>59.319999999999993</v>
      </c>
      <c r="D13" s="159">
        <v>37.57</v>
      </c>
      <c r="E13">
        <f t="shared" si="1"/>
        <v>4.4242424242424194</v>
      </c>
      <c r="F13">
        <f t="shared" si="2"/>
        <v>45.560606060606069</v>
      </c>
      <c r="H13" s="29" t="s">
        <v>12</v>
      </c>
      <c r="I13" s="30" t="s">
        <v>13</v>
      </c>
      <c r="J13" s="30" t="s">
        <v>14</v>
      </c>
      <c r="K13" s="28" t="s">
        <v>8</v>
      </c>
      <c r="L13" s="31" t="s">
        <v>9</v>
      </c>
      <c r="N13" s="25" t="s">
        <v>16</v>
      </c>
      <c r="O13" s="33"/>
      <c r="P13" s="33"/>
      <c r="Q13" s="34"/>
    </row>
    <row r="14" spans="1:18" x14ac:dyDescent="0.2">
      <c r="A14" s="1">
        <v>8</v>
      </c>
      <c r="B14" s="157">
        <v>11.4</v>
      </c>
      <c r="C14" s="158">
        <v>62.67</v>
      </c>
      <c r="D14" s="159">
        <v>25.929999999999996</v>
      </c>
      <c r="E14">
        <f t="shared" si="1"/>
        <v>0.40410132689988038</v>
      </c>
      <c r="F14">
        <f t="shared" si="2"/>
        <v>58.063244873341368</v>
      </c>
      <c r="H14" s="13">
        <v>1</v>
      </c>
      <c r="I14" s="12">
        <f ca="1">+OFFSET($H$6,H14,0)</f>
        <v>0.56000000000000216</v>
      </c>
      <c r="J14" s="12">
        <f ca="1">+OFFSET($H$6,H14,1)</f>
        <v>14.149999999999999</v>
      </c>
      <c r="K14" s="12"/>
      <c r="L14" s="11"/>
      <c r="N14" s="38" t="s">
        <v>15</v>
      </c>
      <c r="O14" s="59" t="s">
        <v>40</v>
      </c>
      <c r="P14" s="4"/>
      <c r="Q14" s="5"/>
    </row>
    <row r="15" spans="1:18" x14ac:dyDescent="0.2">
      <c r="A15" s="1">
        <v>9</v>
      </c>
      <c r="B15" s="97">
        <v>21.25</v>
      </c>
      <c r="C15" s="98">
        <v>58.28</v>
      </c>
      <c r="D15" s="155">
        <v>20.47</v>
      </c>
      <c r="E15" t="s">
        <v>129</v>
      </c>
      <c r="F15" t="s">
        <v>129</v>
      </c>
      <c r="H15" s="2">
        <v>1</v>
      </c>
      <c r="I15" s="4">
        <f ca="1">+OFFSET($H$6,H15,3)</f>
        <v>96.22</v>
      </c>
      <c r="J15" s="4">
        <f ca="1">+OFFSET($H$6,H15,4)</f>
        <v>2.6599999999999997</v>
      </c>
      <c r="K15" s="4">
        <f ca="1">+SLOPE(J14:J15,I14:I15)</f>
        <v>-0.12011289985364833</v>
      </c>
      <c r="L15" s="5">
        <f ca="1">+INTERCEPT(J14:J15,I14:I15)</f>
        <v>14.217263223918042</v>
      </c>
      <c r="N15" s="38" t="s">
        <v>17</v>
      </c>
      <c r="O15" s="4" t="s">
        <v>38</v>
      </c>
      <c r="P15" s="4"/>
      <c r="Q15" s="5"/>
    </row>
    <row r="16" spans="1:18" x14ac:dyDescent="0.2">
      <c r="A16" s="1">
        <v>10</v>
      </c>
      <c r="B16" s="97">
        <v>29.580000000000002</v>
      </c>
      <c r="C16" s="98">
        <v>53.559999999999995</v>
      </c>
      <c r="D16" s="155">
        <v>16.86</v>
      </c>
      <c r="E16">
        <f t="shared" si="1"/>
        <v>-0.56662665066026463</v>
      </c>
      <c r="F16">
        <f t="shared" si="2"/>
        <v>70.320816326530633</v>
      </c>
      <c r="H16" s="13">
        <v>2</v>
      </c>
      <c r="I16" s="12">
        <f ca="1">+OFFSET($H$6,H16,0)</f>
        <v>0.82999999999999741</v>
      </c>
      <c r="J16" s="12">
        <f ca="1">+OFFSET($H$6,H16,1)</f>
        <v>33.85</v>
      </c>
      <c r="K16" s="12"/>
      <c r="L16" s="11"/>
      <c r="N16" s="39" t="s">
        <v>18</v>
      </c>
      <c r="O16" s="7" t="s">
        <v>39</v>
      </c>
      <c r="P16" s="7"/>
      <c r="Q16" s="8"/>
    </row>
    <row r="17" spans="1:33" x14ac:dyDescent="0.2">
      <c r="A17" s="1">
        <v>11</v>
      </c>
      <c r="B17" s="97">
        <v>39.31</v>
      </c>
      <c r="C17" s="98">
        <v>47.81</v>
      </c>
      <c r="D17" s="155">
        <v>12.879999999999999</v>
      </c>
      <c r="E17">
        <f t="shared" si="1"/>
        <v>-0.59095580678314419</v>
      </c>
      <c r="F17">
        <f t="shared" si="2"/>
        <v>71.040472764645401</v>
      </c>
      <c r="H17" s="49">
        <v>2</v>
      </c>
      <c r="I17" s="7">
        <f ca="1">+OFFSET($H$6,H17,3)</f>
        <v>89.710000000000008</v>
      </c>
      <c r="J17" s="7">
        <f ca="1">+OFFSET($H$6,H17,4)</f>
        <v>8.23</v>
      </c>
      <c r="K17" s="7">
        <f ca="1">+SLOPE(J16:J17,I16:I17)</f>
        <v>-0.28825382538253824</v>
      </c>
      <c r="L17" s="8">
        <f ca="1">+INTERCEPT(J16:J17,I16:I17)</f>
        <v>34.089250675067504</v>
      </c>
      <c r="N17" s="9" t="s">
        <v>19</v>
      </c>
      <c r="O17" s="11"/>
    </row>
    <row r="18" spans="1:33" x14ac:dyDescent="0.2">
      <c r="A18" s="1">
        <v>12</v>
      </c>
      <c r="B18" s="97">
        <v>50.249999999999993</v>
      </c>
      <c r="C18" s="98">
        <v>40.489999999999995</v>
      </c>
      <c r="D18" s="155">
        <v>9.26</v>
      </c>
      <c r="E18">
        <f t="shared" si="1"/>
        <v>-0.66910420475320043</v>
      </c>
      <c r="F18">
        <f t="shared" si="2"/>
        <v>74.112486288848316</v>
      </c>
      <c r="H18" s="13">
        <v>3</v>
      </c>
      <c r="I18" s="12">
        <f ca="1">+OFFSET($H$6,H18,0)</f>
        <v>1.1599999999999944</v>
      </c>
      <c r="J18" s="12">
        <f ca="1">+OFFSET($H$6,H18,1)</f>
        <v>47.760000000000005</v>
      </c>
      <c r="K18" s="12"/>
      <c r="L18" s="11"/>
      <c r="N18" s="3">
        <v>100</v>
      </c>
      <c r="O18" s="5">
        <v>0</v>
      </c>
    </row>
    <row r="19" spans="1:33" x14ac:dyDescent="0.2">
      <c r="A19" s="1">
        <v>13</v>
      </c>
      <c r="B19" s="97">
        <v>61.660000000000004</v>
      </c>
      <c r="C19" s="98">
        <v>32.269999999999996</v>
      </c>
      <c r="D19" s="155">
        <v>6.0699999999999994</v>
      </c>
      <c r="E19">
        <f t="shared" si="1"/>
        <v>-0.72042068361086686</v>
      </c>
      <c r="F19">
        <f t="shared" si="2"/>
        <v>76.691139351446054</v>
      </c>
      <c r="H19" s="49">
        <v>3</v>
      </c>
      <c r="I19" s="7">
        <f ca="1">+OFFSET($H$6,H19,3)</f>
        <v>85.16</v>
      </c>
      <c r="J19" s="7">
        <f ca="1">+OFFSET($H$6,H19,4)</f>
        <v>12.27</v>
      </c>
      <c r="K19" s="7">
        <f ca="1">+SLOPE(J18:J19,I18:I19)</f>
        <v>-0.4225000000000001</v>
      </c>
      <c r="L19" s="8">
        <f ca="1">+INTERCEPT(J18:J19,I18:I19)</f>
        <v>48.250100000000003</v>
      </c>
      <c r="N19" s="6">
        <v>0</v>
      </c>
      <c r="O19" s="8">
        <v>100</v>
      </c>
    </row>
    <row r="20" spans="1:33" x14ac:dyDescent="0.2">
      <c r="A20" s="1">
        <v>14</v>
      </c>
      <c r="B20" s="97">
        <v>73.91</v>
      </c>
      <c r="C20" s="98">
        <v>22.27</v>
      </c>
      <c r="D20" s="155">
        <v>3.82</v>
      </c>
      <c r="E20">
        <f t="shared" si="1"/>
        <v>-0.81632653061224503</v>
      </c>
      <c r="F20">
        <f t="shared" si="2"/>
        <v>82.604693877551028</v>
      </c>
      <c r="H20" s="2">
        <v>4</v>
      </c>
      <c r="I20" s="4">
        <f ca="1">+OFFSET($H$6,H20,0)</f>
        <v>2.2499999999999964</v>
      </c>
      <c r="J20" s="4">
        <f ca="1">+OFFSET($H$6,H20,1)</f>
        <v>55.7</v>
      </c>
      <c r="K20" s="4"/>
      <c r="L20" s="5"/>
    </row>
    <row r="21" spans="1:33" x14ac:dyDescent="0.2">
      <c r="A21" s="1">
        <v>15</v>
      </c>
      <c r="B21" s="97">
        <v>86.37</v>
      </c>
      <c r="C21" s="98">
        <v>11.53</v>
      </c>
      <c r="D21" s="155">
        <v>2.1</v>
      </c>
      <c r="E21">
        <f t="shared" si="1"/>
        <v>-0.86195826645264795</v>
      </c>
      <c r="F21">
        <f t="shared" si="2"/>
        <v>85.977335473515211</v>
      </c>
      <c r="H21" s="49">
        <v>4</v>
      </c>
      <c r="I21" s="7">
        <f ca="1">+OFFSET($H$6,H21,3)</f>
        <v>80.180000000000007</v>
      </c>
      <c r="J21" s="7">
        <f ca="1">+OFFSET($H$6,H21,4)</f>
        <v>16.669999999999998</v>
      </c>
      <c r="K21" s="7">
        <f t="shared" ref="K21" ca="1" si="3">+SLOPE(J20:J21,I20:I21)</f>
        <v>-0.50083408186834344</v>
      </c>
      <c r="L21" s="8">
        <f t="shared" ref="L21" ca="1" si="4">+INTERCEPT(J20:J21,I20:I21)</f>
        <v>56.826876684203782</v>
      </c>
    </row>
    <row r="22" spans="1:33" x14ac:dyDescent="0.2">
      <c r="A22" s="1">
        <v>16</v>
      </c>
      <c r="B22" s="99">
        <v>99.44</v>
      </c>
      <c r="C22" s="100">
        <v>0</v>
      </c>
      <c r="D22" s="156">
        <v>0.55999999999999994</v>
      </c>
      <c r="E22">
        <f t="shared" si="1"/>
        <v>-0.88217291507268603</v>
      </c>
      <c r="F22">
        <f t="shared" si="2"/>
        <v>87.723274674827891</v>
      </c>
    </row>
    <row r="24" spans="1:33" x14ac:dyDescent="0.2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AD24" s="16"/>
      <c r="AE24" s="16"/>
      <c r="AF24" s="15"/>
      <c r="AG24" s="15"/>
    </row>
    <row r="25" spans="1:33" x14ac:dyDescent="0.2">
      <c r="Z25" t="s">
        <v>152</v>
      </c>
      <c r="AD25" s="14"/>
      <c r="AE25" s="14"/>
      <c r="AF25" s="15"/>
      <c r="AG25" s="15"/>
    </row>
    <row r="26" spans="1:33" x14ac:dyDescent="0.2">
      <c r="I26" s="21" t="s">
        <v>41</v>
      </c>
      <c r="J26" s="22"/>
      <c r="K26" s="22"/>
      <c r="L26" s="22"/>
      <c r="M26" s="22"/>
      <c r="N26" s="23"/>
      <c r="P26" t="s">
        <v>20</v>
      </c>
      <c r="Q26" t="s">
        <v>21</v>
      </c>
      <c r="S26" t="s">
        <v>84</v>
      </c>
      <c r="AB26" t="s">
        <v>13</v>
      </c>
      <c r="AC26" t="s">
        <v>14</v>
      </c>
      <c r="AD26" s="14"/>
      <c r="AE26" s="14"/>
      <c r="AF26" s="15"/>
      <c r="AG26" s="15"/>
    </row>
    <row r="27" spans="1:33" x14ac:dyDescent="0.2">
      <c r="I27" s="17"/>
      <c r="J27" s="18"/>
      <c r="K27" s="20" t="s">
        <v>20</v>
      </c>
      <c r="L27" s="20" t="s">
        <v>21</v>
      </c>
      <c r="M27" s="20" t="s">
        <v>22</v>
      </c>
      <c r="N27" s="19" t="s">
        <v>23</v>
      </c>
      <c r="P27" s="28" t="s">
        <v>130</v>
      </c>
      <c r="Q27" s="28" t="s">
        <v>131</v>
      </c>
      <c r="S27" t="s">
        <v>8</v>
      </c>
      <c r="T27" t="s">
        <v>9</v>
      </c>
      <c r="Z27" t="s">
        <v>153</v>
      </c>
      <c r="AA27">
        <v>1</v>
      </c>
      <c r="AB27">
        <f>+$P$35</f>
        <v>110.23632607793266</v>
      </c>
      <c r="AC27">
        <f>+$Q$35</f>
        <v>-1.6704841554067897</v>
      </c>
      <c r="AF27" s="15"/>
      <c r="AG27" s="15"/>
    </row>
    <row r="28" spans="1:33" x14ac:dyDescent="0.2">
      <c r="I28" s="67" t="s">
        <v>24</v>
      </c>
      <c r="J28" s="68"/>
      <c r="K28" s="64" t="s">
        <v>25</v>
      </c>
      <c r="L28" s="64" t="s">
        <v>25</v>
      </c>
      <c r="M28" s="64" t="s">
        <v>25</v>
      </c>
      <c r="N28" s="66" t="s">
        <v>26</v>
      </c>
      <c r="P28" s="94" t="s">
        <v>80</v>
      </c>
      <c r="S28" t="s">
        <v>154</v>
      </c>
      <c r="Z28" t="s">
        <v>75</v>
      </c>
      <c r="AA28">
        <v>1</v>
      </c>
      <c r="AB28" cm="1">
        <f t="array" aca="1" ref="AB28" ca="1">+INDEX($I$40:$I$47,AA28)</f>
        <v>93.118517471726008</v>
      </c>
      <c r="AC28" cm="1">
        <f t="array" aca="1" ref="AC28" ca="1">+INDEX($J$40:$J$47,AA28)</f>
        <v>5.5766406695485191</v>
      </c>
      <c r="AF28" s="15"/>
      <c r="AG28" s="15"/>
    </row>
    <row r="29" spans="1:33" x14ac:dyDescent="0.2">
      <c r="I29" s="32" t="s">
        <v>42</v>
      </c>
      <c r="J29" s="48" t="s">
        <v>30</v>
      </c>
      <c r="K29" s="4"/>
      <c r="L29" s="4"/>
      <c r="M29" s="4"/>
      <c r="N29" s="5"/>
      <c r="O29" s="139" t="s">
        <v>72</v>
      </c>
      <c r="P29">
        <f>+K30</f>
        <v>0</v>
      </c>
      <c r="Q29">
        <f>+L30</f>
        <v>45</v>
      </c>
      <c r="S29">
        <f>+(Q29-Q34)/(P29-P34)</f>
        <v>-0.4233675578267424</v>
      </c>
      <c r="T29">
        <f>+Q29-S29*P29</f>
        <v>45</v>
      </c>
      <c r="Z29" t="s">
        <v>76</v>
      </c>
      <c r="AA29">
        <v>1</v>
      </c>
      <c r="AB29" cm="1">
        <f t="array" aca="1" ref="AB29" ca="1">+INDEX($X$40:$X$48,AA29)</f>
        <v>0.19035205866936009</v>
      </c>
      <c r="AC29" cm="1">
        <f t="array" aca="1" ref="AC29" ca="1">+INDEX($Y$40:$Y$49,AA29)</f>
        <v>26.169654772079365</v>
      </c>
      <c r="AF29" s="15"/>
      <c r="AG29" s="15"/>
    </row>
    <row r="30" spans="1:33" x14ac:dyDescent="0.2">
      <c r="I30" s="3" t="s">
        <v>68</v>
      </c>
      <c r="J30" s="140" t="s">
        <v>72</v>
      </c>
      <c r="K30" s="143">
        <v>0</v>
      </c>
      <c r="L30" s="143">
        <v>45</v>
      </c>
      <c r="M30" s="143">
        <v>55</v>
      </c>
      <c r="N30" s="144">
        <v>100</v>
      </c>
      <c r="O30" s="139" t="s">
        <v>73</v>
      </c>
      <c r="P30">
        <f>+K31</f>
        <v>100</v>
      </c>
      <c r="Q30">
        <f>+L31</f>
        <v>0</v>
      </c>
      <c r="Z30" t="s">
        <v>153</v>
      </c>
      <c r="AA30">
        <v>2</v>
      </c>
      <c r="AB30">
        <f>+$P$35</f>
        <v>110.23632607793266</v>
      </c>
      <c r="AC30">
        <f>+$Q$35</f>
        <v>-1.6704841554067897</v>
      </c>
      <c r="AF30" s="15"/>
      <c r="AG30" s="15"/>
    </row>
    <row r="31" spans="1:33" x14ac:dyDescent="0.2">
      <c r="I31" s="3" t="s">
        <v>20</v>
      </c>
      <c r="J31" s="140" t="s">
        <v>73</v>
      </c>
      <c r="K31" s="143">
        <v>100</v>
      </c>
      <c r="L31" s="143">
        <v>0</v>
      </c>
      <c r="M31" s="143">
        <v>0</v>
      </c>
      <c r="N31" s="144">
        <v>600</v>
      </c>
      <c r="O31" s="139"/>
      <c r="S31" t="s">
        <v>155</v>
      </c>
      <c r="Z31" t="s">
        <v>75</v>
      </c>
      <c r="AA31">
        <v>2</v>
      </c>
      <c r="AB31" cm="1">
        <f t="array" aca="1" ref="AB31" ca="1">+INDEX($I$40:$I$47,AA31)</f>
        <v>97.753949910156663</v>
      </c>
      <c r="AC31" cm="1">
        <f t="array" aca="1" ref="AC31" ca="1">+INDEX($J$40:$J$47,AA31)</f>
        <v>1.4873877227156633</v>
      </c>
      <c r="AF31" s="15"/>
      <c r="AG31" s="15"/>
    </row>
    <row r="32" spans="1:33" x14ac:dyDescent="0.2">
      <c r="I32" s="3" t="s">
        <v>69</v>
      </c>
      <c r="J32" s="140" t="s">
        <v>74</v>
      </c>
      <c r="K32" s="4">
        <f>+(K30*N30+K31*N31)/N32</f>
        <v>85.714285714285708</v>
      </c>
      <c r="L32" s="4">
        <f>+(L30*N30+L31*N31)/N32</f>
        <v>6.4285714285714288</v>
      </c>
      <c r="M32" s="4">
        <f>100-K32-L32</f>
        <v>7.857142857142863</v>
      </c>
      <c r="N32" s="5">
        <f>+SUM(N30:N31)</f>
        <v>700</v>
      </c>
      <c r="O32" s="139" t="s">
        <v>132</v>
      </c>
      <c r="P32">
        <f>+K34</f>
        <v>0.58841376611950968</v>
      </c>
      <c r="Q32">
        <f>+L34</f>
        <v>16.223152565015958</v>
      </c>
      <c r="S32">
        <f>+(Q32-Q36)/(P32-P36)</f>
        <v>-0.16319176848107611</v>
      </c>
      <c r="T32">
        <f>+Q32-S32*P32</f>
        <v>16.31917684810761</v>
      </c>
      <c r="Z32" t="s">
        <v>76</v>
      </c>
      <c r="AA32">
        <v>2</v>
      </c>
      <c r="AB32" cm="1">
        <f t="array" aca="1" ref="AB32" ca="1">+INDEX($X$40:$X$48,AA32)</f>
        <v>0.11428812677046095</v>
      </c>
      <c r="AC32" cm="1">
        <f t="array" aca="1" ref="AC32" ca="1">+INDEX($Y$40:$Y$49,AA32)</f>
        <v>8.5332285386886095</v>
      </c>
      <c r="AF32" s="15"/>
      <c r="AG32" s="15"/>
    </row>
    <row r="33" spans="8:33" x14ac:dyDescent="0.2">
      <c r="I33" s="3" t="s">
        <v>70</v>
      </c>
      <c r="J33" s="142" t="s">
        <v>75</v>
      </c>
      <c r="K33" s="4">
        <f>+P34</f>
        <v>93.118517471726008</v>
      </c>
      <c r="L33" s="4">
        <f>+Q34</f>
        <v>5.5766406695485191</v>
      </c>
      <c r="M33" s="4">
        <f>100-K33-L33</f>
        <v>1.3048418587254726</v>
      </c>
      <c r="N33" s="5"/>
      <c r="O33" s="139" t="s">
        <v>74</v>
      </c>
      <c r="P33">
        <f>+K32</f>
        <v>85.714285714285708</v>
      </c>
      <c r="Q33">
        <f>+L32</f>
        <v>6.4285714285714288</v>
      </c>
      <c r="AF33" s="15"/>
      <c r="AG33" s="15"/>
    </row>
    <row r="34" spans="8:33" x14ac:dyDescent="0.2">
      <c r="I34" s="6" t="s">
        <v>71</v>
      </c>
      <c r="J34" s="141" t="s">
        <v>76</v>
      </c>
      <c r="K34" s="7">
        <v>0.58841376611950968</v>
      </c>
      <c r="L34" s="7">
        <v>16.223152565015958</v>
      </c>
      <c r="M34" s="7">
        <v>83.188433668864533</v>
      </c>
      <c r="N34" s="8"/>
      <c r="O34" s="139" t="s">
        <v>133</v>
      </c>
      <c r="P34">
        <f>+I40</f>
        <v>93.118517471726008</v>
      </c>
      <c r="Q34">
        <f>+J40</f>
        <v>5.5766406695485191</v>
      </c>
      <c r="AF34" s="15"/>
      <c r="AG34" s="15"/>
    </row>
    <row r="35" spans="8:33" x14ac:dyDescent="0.2">
      <c r="O35" s="139" t="s">
        <v>134</v>
      </c>
      <c r="P35">
        <f>+(T32-T29)/(S29-S32)</f>
        <v>110.23632607793266</v>
      </c>
      <c r="Q35">
        <f>+S29*P35+T29</f>
        <v>-1.6704841554067897</v>
      </c>
      <c r="AF35" s="15"/>
      <c r="AG35" s="15"/>
    </row>
    <row r="36" spans="8:33" x14ac:dyDescent="0.2">
      <c r="O36" s="139" t="s">
        <v>73</v>
      </c>
      <c r="P36">
        <f>+P30</f>
        <v>100</v>
      </c>
      <c r="Q36">
        <f>+Q30</f>
        <v>0</v>
      </c>
      <c r="AF36" s="15"/>
      <c r="AG36" s="15"/>
    </row>
    <row r="37" spans="8:33" x14ac:dyDescent="0.2">
      <c r="I37" s="153"/>
      <c r="J37" s="153"/>
      <c r="K37" s="153" t="s">
        <v>135</v>
      </c>
      <c r="L37" s="153"/>
      <c r="M37" s="153"/>
      <c r="N37" s="153"/>
      <c r="O37" s="153"/>
      <c r="P37" s="142" t="s">
        <v>140</v>
      </c>
      <c r="Q37" s="153"/>
      <c r="R37" s="153"/>
      <c r="S37" s="153" t="s">
        <v>143</v>
      </c>
      <c r="T37" s="153"/>
      <c r="U37" s="153" t="s">
        <v>144</v>
      </c>
      <c r="V37" s="153" t="s">
        <v>146</v>
      </c>
      <c r="W37" s="153"/>
      <c r="X37" s="153" t="s">
        <v>76</v>
      </c>
      <c r="Y37" s="153" t="s">
        <v>76</v>
      </c>
      <c r="Z37" s="153" t="s">
        <v>149</v>
      </c>
      <c r="AA37" s="153"/>
      <c r="AB37" s="153" t="s">
        <v>150</v>
      </c>
      <c r="AC37" s="153" t="s">
        <v>151</v>
      </c>
      <c r="AD37" s="153"/>
      <c r="AF37" s="15"/>
      <c r="AG37" s="15"/>
    </row>
    <row r="38" spans="8:33" x14ac:dyDescent="0.2">
      <c r="I38" s="153" t="s">
        <v>75</v>
      </c>
      <c r="J38" s="153" t="s">
        <v>75</v>
      </c>
      <c r="K38" s="153" t="s">
        <v>136</v>
      </c>
      <c r="L38" s="153" t="s">
        <v>137</v>
      </c>
      <c r="M38" s="153" t="s">
        <v>138</v>
      </c>
      <c r="N38" s="153" t="s">
        <v>139</v>
      </c>
      <c r="O38" s="142" t="s">
        <v>136</v>
      </c>
      <c r="P38" s="153" t="s">
        <v>141</v>
      </c>
      <c r="Q38" s="153" t="s">
        <v>142</v>
      </c>
      <c r="R38" s="153" t="s">
        <v>112</v>
      </c>
      <c r="S38" s="153" t="s">
        <v>8</v>
      </c>
      <c r="T38" s="153" t="s">
        <v>9</v>
      </c>
      <c r="U38" s="153" t="s">
        <v>145</v>
      </c>
      <c r="V38" s="153" t="s">
        <v>8</v>
      </c>
      <c r="W38" s="153" t="s">
        <v>9</v>
      </c>
      <c r="X38" s="153" t="s">
        <v>147</v>
      </c>
      <c r="Y38" s="153" t="s">
        <v>148</v>
      </c>
      <c r="Z38" s="153" t="s">
        <v>8</v>
      </c>
      <c r="AA38" s="153" t="s">
        <v>9</v>
      </c>
      <c r="AB38" s="153" t="s">
        <v>145</v>
      </c>
      <c r="AC38" s="153" t="s">
        <v>8</v>
      </c>
      <c r="AD38" s="153" t="s">
        <v>9</v>
      </c>
      <c r="AF38" s="15"/>
      <c r="AG38" s="15"/>
    </row>
    <row r="39" spans="8:33" x14ac:dyDescent="0.2">
      <c r="H39">
        <v>0</v>
      </c>
      <c r="I39" s="153" t="s">
        <v>13</v>
      </c>
      <c r="J39" s="153" t="s">
        <v>14</v>
      </c>
      <c r="Z39">
        <f>+SLOPE(Q32:Q33,P32:P33)</f>
        <v>-0.11505998014808617</v>
      </c>
      <c r="AA39">
        <f>+INTERCEPT(Q32:Q33,P32:P33)</f>
        <v>16.290855441264529</v>
      </c>
      <c r="AB39">
        <v>7</v>
      </c>
      <c r="AC39" cm="1">
        <f t="array" ref="AC39">+INDEX($E$15:$E$22,AB39+1,1)</f>
        <v>-0.88217291507268603</v>
      </c>
      <c r="AD39" cm="1">
        <f t="array" ref="AD39">+INDEX($F$15:$F$22,AB39+1,1)</f>
        <v>87.723274674827891</v>
      </c>
      <c r="AF39" s="15"/>
      <c r="AG39" s="15"/>
    </row>
    <row r="40" spans="8:33" x14ac:dyDescent="0.2">
      <c r="H40">
        <v>1</v>
      </c>
      <c r="I40">
        <f>+(AD39-AA39)/(Z39-AC39)</f>
        <v>93.118517471726008</v>
      </c>
      <c r="J40">
        <f>+Z39*I40+AA39</f>
        <v>5.5766406695485191</v>
      </c>
      <c r="K40">
        <v>2</v>
      </c>
      <c r="L40" cm="1">
        <f t="array" aca="1" ref="L40" ca="1">+INDEX($K$14:$K$21,K40*2)</f>
        <v>-0.28825382538253824</v>
      </c>
      <c r="M40" cm="1">
        <f t="array" aca="1" ref="M40" ca="1">+INDEX($L$14:$L$21,K40*2)</f>
        <v>34.089250675067504</v>
      </c>
      <c r="N40">
        <f ca="1">+L40*$I40+M40</f>
        <v>7.2474817998917587</v>
      </c>
      <c r="O40">
        <v>1</v>
      </c>
      <c r="P40" cm="1">
        <f t="array" aca="1" ref="P40" ca="1">+INDEX($K$14:$K$21,O40*2)</f>
        <v>-0.12011289985364833</v>
      </c>
      <c r="Q40" cm="1">
        <f t="array" aca="1" ref="Q40" ca="1">+INDEX($L$14:$L$21,O40*2)</f>
        <v>14.217263223918042</v>
      </c>
      <c r="R40">
        <f ca="1">+P40*$I40+Q40</f>
        <v>3.0325280603164142</v>
      </c>
      <c r="S40">
        <f ca="1">+IFERROR(L40+(P40-L40)*(J40-N40)/(R40-N40),L40)</f>
        <v>-0.22160142741435718</v>
      </c>
      <c r="T40">
        <f ca="1">+J40-S40*I40</f>
        <v>26.211837059991758</v>
      </c>
      <c r="U40">
        <v>3</v>
      </c>
      <c r="V40" cm="1">
        <f t="array" ref="V40">+INDEX($E$7:$E$14,U40+1,1)</f>
        <v>524.49999999999989</v>
      </c>
      <c r="W40" cm="1">
        <f t="array" ref="W40">+INDEX($F$7:$F$14,U40+1,1)</f>
        <v>-73.669999999999973</v>
      </c>
      <c r="X40">
        <f ca="1">+(T40-W40)/(V40-S40)</f>
        <v>0.19035205866936009</v>
      </c>
      <c r="Y40">
        <f ca="1">+S40*X40+T40</f>
        <v>26.169654772079365</v>
      </c>
      <c r="Z40">
        <f ca="1">+($Q$35-Y40)/($P$35-X40)</f>
        <v>-0.25298643749214128</v>
      </c>
      <c r="AA40">
        <f ca="1">+Y40-Z40*X40</f>
        <v>26.217811261271422</v>
      </c>
      <c r="AB40">
        <v>7</v>
      </c>
      <c r="AC40" cm="1">
        <f t="array" ref="AC40">+INDEX($E$15:$E$22,AB40+1,1)</f>
        <v>-0.88217291507268603</v>
      </c>
      <c r="AD40" cm="1">
        <f t="array" ref="AD40">+INDEX($F$15:$F$22,AB40+1,1)</f>
        <v>87.723274674827891</v>
      </c>
      <c r="AF40" s="15"/>
      <c r="AG40" s="15"/>
    </row>
    <row r="41" spans="8:33" x14ac:dyDescent="0.2">
      <c r="H41">
        <v>2</v>
      </c>
      <c r="I41">
        <f ca="1">+(AD40-AA40)/(Z40-AC40)</f>
        <v>97.753949910156663</v>
      </c>
      <c r="J41">
        <f ca="1">+Z40*I41+AA40</f>
        <v>1.4873877227156633</v>
      </c>
      <c r="K41">
        <v>1</v>
      </c>
      <c r="L41" cm="1">
        <f t="array" aca="1" ref="L41" ca="1">+INDEX($K$14:$K$21,K41*2)</f>
        <v>-0.12011289985364833</v>
      </c>
      <c r="M41" cm="1">
        <f t="array" aca="1" ref="M41" ca="1">+INDEX($L$14:$L$21,K41*2)</f>
        <v>14.217263223918042</v>
      </c>
      <c r="N41">
        <f ca="1">+L41*$I41+M41</f>
        <v>2.4757528280608394</v>
      </c>
      <c r="O41">
        <v>0</v>
      </c>
      <c r="P41">
        <v>0</v>
      </c>
      <c r="Q41">
        <v>0</v>
      </c>
      <c r="R41">
        <f ca="1">+P41*$I41+Q41</f>
        <v>0</v>
      </c>
      <c r="S41">
        <f ca="1">+IFERROR(L41+(P41-L41)*(J41-N41)/(R41-N41),L41)</f>
        <v>-7.2161667577302357E-2</v>
      </c>
      <c r="T41">
        <f ca="1">+J41-S41*I41</f>
        <v>8.5414757605006528</v>
      </c>
      <c r="U41">
        <v>1</v>
      </c>
      <c r="V41" cm="1">
        <f t="array" ref="V41">+INDEX($E$7:$E$14,U41+1,1)</f>
        <v>351.33333333333331</v>
      </c>
      <c r="W41" cm="1">
        <f t="array" ref="W41">+INDEX($F$7:$F$14,U41+1,1)</f>
        <v>-31.619999999999994</v>
      </c>
      <c r="X41">
        <f ca="1">+(T41-W41)/(V41-S41)</f>
        <v>0.11428812677046095</v>
      </c>
      <c r="Y41">
        <f ca="1">+S41*X41+T41</f>
        <v>8.5332285386886095</v>
      </c>
      <c r="Z41">
        <f ca="1">+($Q$35-Y41)/($P$35-X41)</f>
        <v>-9.2658226127458915E-2</v>
      </c>
      <c r="AA41">
        <f ca="1">+Y41-Z41*X41</f>
        <v>8.5438182737825912</v>
      </c>
      <c r="AB41">
        <v>7</v>
      </c>
      <c r="AC41" cm="1">
        <f t="array" ref="AC41">+INDEX($E$15:$E$22,AB41+1,1)</f>
        <v>-0.88217291507268603</v>
      </c>
      <c r="AD41" cm="1">
        <f t="array" ref="AD41">+INDEX($F$15:$F$22,AB41+1,1)</f>
        <v>87.723274674827891</v>
      </c>
      <c r="AF41" s="15"/>
      <c r="AG41" s="15"/>
    </row>
    <row r="42" spans="8:33" x14ac:dyDescent="0.2">
      <c r="AF42" s="15"/>
      <c r="AG42" s="15"/>
    </row>
    <row r="43" spans="8:33" x14ac:dyDescent="0.2">
      <c r="AF43" s="15"/>
      <c r="AG43" s="15"/>
    </row>
    <row r="45" spans="8:33" x14ac:dyDescent="0.2">
      <c r="I45" t="s">
        <v>156</v>
      </c>
    </row>
    <row r="47" spans="8:33" x14ac:dyDescent="0.2">
      <c r="K47" t="s">
        <v>130</v>
      </c>
      <c r="L47" t="s">
        <v>131</v>
      </c>
      <c r="O47" s="153">
        <v>1</v>
      </c>
      <c r="P47" s="153">
        <v>1</v>
      </c>
      <c r="Q47" s="153" t="s">
        <v>74</v>
      </c>
      <c r="R47" s="153" t="s">
        <v>75</v>
      </c>
    </row>
    <row r="48" spans="8:33" x14ac:dyDescent="0.2">
      <c r="I48" t="s">
        <v>157</v>
      </c>
      <c r="K48" t="s">
        <v>159</v>
      </c>
      <c r="L48" t="s">
        <v>159</v>
      </c>
      <c r="O48" s="153" t="s">
        <v>116</v>
      </c>
      <c r="P48" s="153" t="s">
        <v>117</v>
      </c>
      <c r="Q48" s="153" t="s">
        <v>160</v>
      </c>
      <c r="R48" s="153" t="s">
        <v>76</v>
      </c>
    </row>
    <row r="49" spans="9:18" x14ac:dyDescent="0.2">
      <c r="I49" t="s">
        <v>70</v>
      </c>
      <c r="J49" t="s">
        <v>133</v>
      </c>
      <c r="K49">
        <f>+I40</f>
        <v>93.118517471726008</v>
      </c>
      <c r="L49">
        <f>+J40</f>
        <v>5.5766406695485191</v>
      </c>
      <c r="M49">
        <f>100-SUM(K49:L49)</f>
        <v>1.3048418587254673</v>
      </c>
      <c r="N49">
        <f ca="1">+R49</f>
        <v>644.22614277199557</v>
      </c>
      <c r="O49">
        <v>1</v>
      </c>
      <c r="P49">
        <v>1</v>
      </c>
      <c r="Q49">
        <f>+$N$32</f>
        <v>700</v>
      </c>
      <c r="R49" cm="1">
        <f t="array" aca="1" ref="R49:R50" ca="1">+MMULT(MINVERSE(O49:P50),Q49:Q50)</f>
        <v>644.22614277199557</v>
      </c>
    </row>
    <row r="50" spans="9:18" x14ac:dyDescent="0.2">
      <c r="I50" t="s">
        <v>119</v>
      </c>
      <c r="J50" t="s">
        <v>158</v>
      </c>
      <c r="K50">
        <f ca="1">+X40</f>
        <v>0.19035205866936009</v>
      </c>
      <c r="L50">
        <f ca="1">+Y40</f>
        <v>26.169654772079365</v>
      </c>
      <c r="M50">
        <f ca="1">100-SUM(K50:L50)</f>
        <v>73.639993169251269</v>
      </c>
      <c r="N50">
        <f ca="1">+R50</f>
        <v>55.773857228004431</v>
      </c>
      <c r="O50">
        <f>+K49</f>
        <v>93.118517471726008</v>
      </c>
      <c r="P50">
        <f ca="1">+K50</f>
        <v>0.19035205866936009</v>
      </c>
      <c r="Q50">
        <f>+$N$32*$K$32</f>
        <v>59999.999999999993</v>
      </c>
      <c r="R50">
        <f ca="1"/>
        <v>55.773857228004431</v>
      </c>
    </row>
    <row r="52" spans="9:18" x14ac:dyDescent="0.2">
      <c r="K52" t="s">
        <v>130</v>
      </c>
      <c r="L52" t="s">
        <v>131</v>
      </c>
      <c r="O52" s="153">
        <v>1</v>
      </c>
      <c r="P52" s="153">
        <v>1</v>
      </c>
      <c r="Q52" s="153" t="s">
        <v>74</v>
      </c>
      <c r="R52" s="153" t="s">
        <v>75</v>
      </c>
    </row>
    <row r="53" spans="9:18" x14ac:dyDescent="0.2">
      <c r="I53" t="s">
        <v>157</v>
      </c>
      <c r="K53" t="s">
        <v>159</v>
      </c>
      <c r="L53" t="s">
        <v>159</v>
      </c>
      <c r="O53" s="153" t="s">
        <v>116</v>
      </c>
      <c r="P53" s="153" t="s">
        <v>117</v>
      </c>
      <c r="Q53" s="153" t="s">
        <v>160</v>
      </c>
      <c r="R53" s="153" t="s">
        <v>76</v>
      </c>
    </row>
    <row r="54" spans="9:18" x14ac:dyDescent="0.2">
      <c r="I54" t="s">
        <v>70</v>
      </c>
      <c r="J54" t="s">
        <v>133</v>
      </c>
      <c r="K54">
        <f ca="1">+I41</f>
        <v>97.753949910156663</v>
      </c>
      <c r="L54">
        <f ca="1">+J41</f>
        <v>1.4873877227156633</v>
      </c>
      <c r="M54">
        <f ca="1">100-SUM(K54:L54)</f>
        <v>0.75866236712766977</v>
      </c>
      <c r="N54">
        <f ca="1">+R54</f>
        <v>613.68502529426314</v>
      </c>
      <c r="O54">
        <v>1</v>
      </c>
      <c r="P54">
        <v>1</v>
      </c>
      <c r="Q54">
        <f>+$N$32</f>
        <v>700</v>
      </c>
      <c r="R54" cm="1">
        <f t="array" aca="1" ref="R54:R55" ca="1">+MMULT(MINVERSE(O54:P55),Q54:Q55)</f>
        <v>613.68502529426314</v>
      </c>
    </row>
    <row r="55" spans="9:18" x14ac:dyDescent="0.2">
      <c r="I55" t="s">
        <v>119</v>
      </c>
      <c r="J55" t="s">
        <v>158</v>
      </c>
      <c r="K55">
        <f ca="1">+X41</f>
        <v>0.11428812677046095</v>
      </c>
      <c r="L55">
        <f ca="1">+Y41</f>
        <v>8.5332285386886095</v>
      </c>
      <c r="M55">
        <f ca="1">100-SUM(K55:L55)</f>
        <v>91.352483334540935</v>
      </c>
      <c r="N55">
        <f ca="1">+R55</f>
        <v>86.314974705736745</v>
      </c>
      <c r="O55">
        <f ca="1">+K54</f>
        <v>97.753949910156663</v>
      </c>
      <c r="P55">
        <f ca="1">+K55</f>
        <v>0.11428812677046095</v>
      </c>
      <c r="Q55">
        <f>+$N$32*$K$32</f>
        <v>59999.999999999993</v>
      </c>
      <c r="R55">
        <f ca="1"/>
        <v>86.314974705736745</v>
      </c>
    </row>
  </sheetData>
  <pageMargins left="0.25" right="0.25" top="0.75" bottom="0.75" header="0.3" footer="0.3"/>
  <pageSetup paperSize="9" scale="3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D9E3-B5CA-D140-998D-9DB16937166F}">
  <dimension ref="A1:AE136"/>
  <sheetViews>
    <sheetView topLeftCell="A18" zoomScale="70" zoomScaleNormal="70" workbookViewId="0">
      <selection activeCell="H42" sqref="H42"/>
    </sheetView>
  </sheetViews>
  <sheetFormatPr defaultColWidth="11.46484375" defaultRowHeight="14.25" x14ac:dyDescent="0.15"/>
  <cols>
    <col min="1" max="1" width="4.19140625" style="54" customWidth="1"/>
    <col min="2" max="2" width="14.671875" style="54" customWidth="1"/>
    <col min="3" max="3" width="14.796875" style="54" customWidth="1"/>
    <col min="4" max="4" width="11.46484375" style="54"/>
    <col min="5" max="5" width="11.46484375" style="54" bestFit="1"/>
    <col min="6" max="6" width="15.4140625" style="54" customWidth="1"/>
    <col min="7" max="7" width="16.3984375" style="54" customWidth="1"/>
    <col min="8" max="8" width="13.6875" style="54" bestFit="1" customWidth="1"/>
    <col min="9" max="9" width="13.6875" style="54" customWidth="1"/>
    <col min="10" max="10" width="15.1640625" style="54" customWidth="1"/>
    <col min="11" max="12" width="14.796875" style="54" bestFit="1" customWidth="1"/>
    <col min="13" max="13" width="13.5625" style="54" customWidth="1"/>
    <col min="14" max="14" width="12.57421875" style="54" customWidth="1"/>
    <col min="15" max="16384" width="11.46484375" style="54"/>
  </cols>
  <sheetData>
    <row r="1" spans="2:31" ht="15" x14ac:dyDescent="0.2">
      <c r="B1" s="69"/>
      <c r="C1" s="70"/>
      <c r="D1" s="70"/>
      <c r="E1" s="70"/>
      <c r="F1" s="70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2:31" ht="15" x14ac:dyDescent="0.2">
      <c r="B2" s="71" t="s">
        <v>36</v>
      </c>
      <c r="C2" s="92" t="s">
        <v>61</v>
      </c>
      <c r="D2" s="70"/>
      <c r="E2" s="70"/>
      <c r="F2" s="7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2:31" ht="15" x14ac:dyDescent="0.2">
      <c r="B3" s="71" t="s">
        <v>43</v>
      </c>
      <c r="C3" s="92" t="s">
        <v>62</v>
      </c>
      <c r="D3" s="70"/>
      <c r="E3" s="70"/>
      <c r="F3" s="72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2:31" ht="15" x14ac:dyDescent="0.2">
      <c r="B4" s="71" t="s">
        <v>37</v>
      </c>
      <c r="C4" s="92">
        <v>79160874</v>
      </c>
      <c r="D4" s="70"/>
      <c r="E4" s="70"/>
      <c r="F4" s="72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2:31" ht="15" x14ac:dyDescent="0.2">
      <c r="B5" s="69"/>
      <c r="C5" s="70"/>
      <c r="D5" s="70"/>
      <c r="F5" s="70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31" ht="15" x14ac:dyDescent="0.2">
      <c r="B6" s="73" t="s">
        <v>44</v>
      </c>
      <c r="C6" s="74" t="s">
        <v>45</v>
      </c>
      <c r="D6" s="185" t="s">
        <v>46</v>
      </c>
      <c r="E6" s="186"/>
      <c r="F6" s="186"/>
      <c r="G6" s="18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2:31" ht="17.25" x14ac:dyDescent="0.25">
      <c r="B7" s="75" t="s">
        <v>47</v>
      </c>
      <c r="C7" s="76">
        <f>0.8+ROUND(((C4-ROUNDDOWN((C4/10),0)*10)),0)/100</f>
        <v>0.84000000000000008</v>
      </c>
      <c r="D7" s="188" t="s">
        <v>48</v>
      </c>
      <c r="E7" s="188"/>
      <c r="F7" s="188"/>
      <c r="G7" s="189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2:31" ht="15" x14ac:dyDescent="0.2">
      <c r="B8" s="77" t="s">
        <v>34</v>
      </c>
      <c r="C8" s="78">
        <v>0.4</v>
      </c>
      <c r="D8" s="181" t="s">
        <v>49</v>
      </c>
      <c r="E8" s="181"/>
      <c r="F8" s="181"/>
      <c r="G8" s="182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2:31" ht="18.75" x14ac:dyDescent="0.3">
      <c r="B9" s="79" t="s">
        <v>58</v>
      </c>
      <c r="C9" s="78">
        <f>50+ROUND(((C4-ROUNDDOWN((C4/10),0)*10)),0)</f>
        <v>54</v>
      </c>
      <c r="D9" s="181" t="s">
        <v>50</v>
      </c>
      <c r="E9" s="181"/>
      <c r="F9" s="181"/>
      <c r="G9" s="182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2:31" ht="18.75" x14ac:dyDescent="0.3">
      <c r="B10" s="79" t="s">
        <v>56</v>
      </c>
      <c r="C10" s="78">
        <f>26+ROUND(((C4-ROUNDDOWN((C4/10),0)*10)),0)</f>
        <v>30</v>
      </c>
      <c r="D10" s="181" t="s">
        <v>51</v>
      </c>
      <c r="E10" s="181"/>
      <c r="F10" s="181"/>
      <c r="G10" s="182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2:31" ht="15" x14ac:dyDescent="0.2">
      <c r="B11" s="79" t="s">
        <v>52</v>
      </c>
      <c r="C11" s="78">
        <v>1</v>
      </c>
      <c r="D11" s="181" t="s">
        <v>53</v>
      </c>
      <c r="E11" s="181"/>
      <c r="F11" s="181"/>
      <c r="G11" s="182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2:31" ht="19.5" x14ac:dyDescent="0.3">
      <c r="B12" s="79" t="s">
        <v>59</v>
      </c>
      <c r="C12" s="78">
        <f>4500+(ROUND(((C4-ROUNDDOWN((C4/10),0)*10)),0)*100)</f>
        <v>4900</v>
      </c>
      <c r="D12" s="181" t="s">
        <v>54</v>
      </c>
      <c r="E12" s="181"/>
      <c r="F12" s="181"/>
      <c r="G12" s="18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2:31" ht="18.75" x14ac:dyDescent="0.3">
      <c r="B13" s="80" t="s">
        <v>57</v>
      </c>
      <c r="C13" s="81">
        <f>0.45+(ROUND(((C4-ROUNDDOWN((C4/10),0)*10)),0))/100</f>
        <v>0.49</v>
      </c>
      <c r="D13" s="183" t="s">
        <v>55</v>
      </c>
      <c r="E13" s="183"/>
      <c r="F13" s="183"/>
      <c r="G13" s="184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2:31" ht="15" x14ac:dyDescent="0.2">
      <c r="B14" s="70"/>
      <c r="C14" s="70"/>
      <c r="D14" s="70"/>
      <c r="E14" s="70"/>
      <c r="F14" s="70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2:31" ht="15" x14ac:dyDescent="0.2">
      <c r="B15" s="70"/>
      <c r="C15" s="70"/>
      <c r="D15" s="70"/>
      <c r="E15" s="70"/>
      <c r="F15" s="70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2:31" ht="15" x14ac:dyDescent="0.2">
      <c r="B16" s="82" t="s">
        <v>31</v>
      </c>
      <c r="C16" s="83">
        <v>25</v>
      </c>
      <c r="D16" s="83">
        <v>34</v>
      </c>
      <c r="E16" s="83">
        <v>45</v>
      </c>
      <c r="F16" s="84">
        <v>60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15" x14ac:dyDescent="0.2">
      <c r="B17" s="85" t="s">
        <v>32</v>
      </c>
      <c r="C17" s="175" t="s">
        <v>33</v>
      </c>
      <c r="D17" s="175"/>
      <c r="E17" s="175"/>
      <c r="F17" s="176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ht="15" x14ac:dyDescent="0.2">
      <c r="B18" s="86">
        <v>0</v>
      </c>
      <c r="C18" s="70">
        <v>0</v>
      </c>
      <c r="D18" s="70">
        <v>0</v>
      </c>
      <c r="E18" s="70">
        <v>0</v>
      </c>
      <c r="F18" s="87">
        <v>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ht="15" x14ac:dyDescent="0.2">
      <c r="B19" s="86">
        <v>250</v>
      </c>
      <c r="C19" s="70">
        <v>4.21</v>
      </c>
      <c r="D19" s="70">
        <v>3.26</v>
      </c>
      <c r="E19" s="70">
        <v>2.64</v>
      </c>
      <c r="F19" s="87">
        <v>1.5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ht="15" x14ac:dyDescent="0.2">
      <c r="B20" s="86">
        <v>500</v>
      </c>
      <c r="C20" s="70">
        <v>5.05</v>
      </c>
      <c r="D20" s="70">
        <v>4.24</v>
      </c>
      <c r="E20" s="70">
        <v>3.61</v>
      </c>
      <c r="F20" s="87">
        <v>2.77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ht="15" x14ac:dyDescent="0.2">
      <c r="B21" s="86">
        <v>750</v>
      </c>
      <c r="C21" s="70">
        <v>5.41</v>
      </c>
      <c r="D21" s="70">
        <v>4.71</v>
      </c>
      <c r="E21" s="70">
        <v>4.1100000000000003</v>
      </c>
      <c r="F21" s="87">
        <v>3.19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ht="15" x14ac:dyDescent="0.2">
      <c r="B22" s="86">
        <v>1000</v>
      </c>
      <c r="C22" s="70">
        <v>5.6</v>
      </c>
      <c r="D22" s="70">
        <v>4.99</v>
      </c>
      <c r="E22" s="70">
        <v>4.42</v>
      </c>
      <c r="F22" s="87">
        <v>3.45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ht="15" x14ac:dyDescent="0.2">
      <c r="B23" s="86">
        <v>1250</v>
      </c>
      <c r="C23" s="70"/>
      <c r="D23" s="70">
        <v>5.18</v>
      </c>
      <c r="E23" s="70">
        <v>4.63</v>
      </c>
      <c r="F23" s="87">
        <v>3.63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ht="15" x14ac:dyDescent="0.2">
      <c r="B24" s="88">
        <v>1500</v>
      </c>
      <c r="C24" s="89"/>
      <c r="D24" s="89">
        <v>5.31</v>
      </c>
      <c r="E24" s="89">
        <v>4.78</v>
      </c>
      <c r="F24" s="90">
        <v>3.76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ht="15" x14ac:dyDescent="0.2">
      <c r="A25" s="91"/>
      <c r="B25" s="91"/>
      <c r="C25" s="91"/>
      <c r="D25" s="91"/>
      <c r="E25" s="91"/>
      <c r="F25" s="91"/>
      <c r="G25" s="9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ht="15" x14ac:dyDescent="0.2">
      <c r="A26" s="91"/>
      <c r="B26" s="91"/>
      <c r="C26" s="91"/>
      <c r="D26" s="91"/>
      <c r="E26" s="91"/>
      <c r="F26" s="91"/>
      <c r="G26" s="9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ht="15" x14ac:dyDescent="0.2">
      <c r="A27" s="91"/>
      <c r="G27" s="91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ht="15" x14ac:dyDescent="0.2">
      <c r="A28" s="91"/>
      <c r="B28" s="82" t="s">
        <v>31</v>
      </c>
      <c r="C28" s="83">
        <v>25</v>
      </c>
      <c r="D28" s="83">
        <v>34</v>
      </c>
      <c r="E28" s="83">
        <v>45</v>
      </c>
      <c r="F28" s="84">
        <v>60</v>
      </c>
      <c r="G28" s="177">
        <v>25</v>
      </c>
      <c r="H28" s="177"/>
      <c r="I28" s="178">
        <v>34</v>
      </c>
      <c r="J28" s="178"/>
      <c r="K28" s="179">
        <v>45</v>
      </c>
      <c r="L28" s="179"/>
      <c r="M28" s="180">
        <v>60</v>
      </c>
      <c r="N28" s="180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ht="15" x14ac:dyDescent="0.2">
      <c r="A29" s="91"/>
      <c r="B29" s="85" t="s">
        <v>32</v>
      </c>
      <c r="C29" s="175" t="s">
        <v>33</v>
      </c>
      <c r="D29" s="175"/>
      <c r="E29" s="175"/>
      <c r="F29" s="176"/>
      <c r="G29" s="128" t="s">
        <v>101</v>
      </c>
      <c r="H29" s="129" t="s">
        <v>100</v>
      </c>
      <c r="I29" s="130" t="s">
        <v>101</v>
      </c>
      <c r="J29" s="131" t="s">
        <v>100</v>
      </c>
      <c r="K29" s="132" t="s">
        <v>101</v>
      </c>
      <c r="L29" s="133" t="s">
        <v>100</v>
      </c>
      <c r="M29" s="134" t="s">
        <v>101</v>
      </c>
      <c r="N29" s="135" t="s">
        <v>100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ht="15" x14ac:dyDescent="0.2">
      <c r="A30" s="91"/>
      <c r="B30" s="86">
        <v>0</v>
      </c>
      <c r="C30" s="70">
        <v>0</v>
      </c>
      <c r="D30" s="70">
        <v>0</v>
      </c>
      <c r="E30" s="70">
        <v>0</v>
      </c>
      <c r="F30" s="87">
        <v>0</v>
      </c>
      <c r="G30" s="123">
        <f>$D$40*$D$41*B30/(1+$D$41*B30)</f>
        <v>0</v>
      </c>
      <c r="H30" s="124">
        <f>(G30-C30)^2</f>
        <v>0</v>
      </c>
      <c r="I30" s="124">
        <f>$E$40*$E$41*B30/(1+$E$41*B30)</f>
        <v>0</v>
      </c>
      <c r="J30" s="124">
        <f>(I30-D30)^2</f>
        <v>0</v>
      </c>
      <c r="K30" s="124">
        <f>$F$40*$F$41*B30/(1+$F$41*B30)</f>
        <v>0</v>
      </c>
      <c r="L30" s="124">
        <f>(K30-E30)^2</f>
        <v>0</v>
      </c>
      <c r="M30" s="124">
        <f>$G$40*$G$41*B30/(1+$G$41*B30)</f>
        <v>0</v>
      </c>
      <c r="N30" s="124">
        <f>(M30-F30)^2</f>
        <v>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ht="15" x14ac:dyDescent="0.2">
      <c r="A31" s="91"/>
      <c r="B31" s="86">
        <v>250</v>
      </c>
      <c r="C31" s="70">
        <v>4.21</v>
      </c>
      <c r="D31" s="70">
        <v>3.26</v>
      </c>
      <c r="E31" s="70">
        <v>2.64</v>
      </c>
      <c r="F31" s="87">
        <v>1.5</v>
      </c>
      <c r="G31" s="123">
        <f>$D$40*$D$41*B31/(1+$D$41*B31)</f>
        <v>4.298242213456037</v>
      </c>
      <c r="H31" s="124">
        <f>(G31-C31)^2</f>
        <v>7.7866882356207971E-3</v>
      </c>
      <c r="I31" s="124">
        <f>$E$40*$E$41*B31/(1+$E$41*B31)</f>
        <v>3.2576729064296415</v>
      </c>
      <c r="J31" s="124">
        <f>(I31-D31)^2</f>
        <v>5.4153644852030258E-6</v>
      </c>
      <c r="K31" s="124">
        <f>$F$40*$F$41*B31/(1+$F$41*B31)</f>
        <v>2.5041456371768378</v>
      </c>
      <c r="L31" s="124">
        <f>(K31-E31)^2</f>
        <v>1.8456407898087428E-2</v>
      </c>
      <c r="M31" s="124">
        <f>$G$40*$G$41*B31/(1+$G$41*B31)</f>
        <v>1.5238328128133907</v>
      </c>
      <c r="N31" s="124">
        <f>(M31-F31)^2</f>
        <v>5.6800296659811845E-4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ht="15" x14ac:dyDescent="0.2">
      <c r="A32" s="91"/>
      <c r="B32" s="86">
        <v>500</v>
      </c>
      <c r="C32" s="70">
        <v>5.05</v>
      </c>
      <c r="D32" s="70">
        <v>4.24</v>
      </c>
      <c r="E32" s="70">
        <v>3.61</v>
      </c>
      <c r="F32" s="87">
        <v>2.77</v>
      </c>
      <c r="G32" s="123">
        <f t="shared" ref="G32:G34" si="0">$D$40*$D$41*B32/(1+$D$41*B32)</f>
        <v>5.0332163948353719</v>
      </c>
      <c r="H32" s="124">
        <f t="shared" ref="H32:H34" si="1">(G32-C32)^2</f>
        <v>2.8168940232212625E-4</v>
      </c>
      <c r="I32" s="124">
        <f t="shared" ref="I32:I36" si="2">$E$40*$E$41*B32/(1+$E$41*B32)</f>
        <v>4.2402116398075131</v>
      </c>
      <c r="J32" s="124">
        <f t="shared" ref="J32:J36" si="3">(I32-D32)^2</f>
        <v>4.4791408124110528E-8</v>
      </c>
      <c r="K32" s="124">
        <f t="shared" ref="K32:K36" si="4">$F$40*$F$41*B32/(1+$F$41*B32)</f>
        <v>3.5458177878098542</v>
      </c>
      <c r="L32" s="124">
        <f t="shared" ref="L32:L36" si="5">(K32-E32)^2</f>
        <v>4.1193563616208793E-3</v>
      </c>
      <c r="M32" s="124">
        <f t="shared" ref="M32:M36" si="6">$G$40*$G$41*B32/(1+$G$41*B32)</f>
        <v>2.4362110112807835</v>
      </c>
      <c r="N32" s="124">
        <f t="shared" ref="N32:N36" si="7">(M32-F32)^2</f>
        <v>0.11141508899019723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ht="15" x14ac:dyDescent="0.2">
      <c r="A33" s="91"/>
      <c r="B33" s="86">
        <v>750</v>
      </c>
      <c r="C33" s="70">
        <v>5.41</v>
      </c>
      <c r="D33" s="70">
        <v>4.71</v>
      </c>
      <c r="E33" s="70">
        <v>4.1100000000000003</v>
      </c>
      <c r="F33" s="87">
        <v>3.19</v>
      </c>
      <c r="G33" s="123">
        <f t="shared" si="0"/>
        <v>5.3374400303062224</v>
      </c>
      <c r="H33" s="124">
        <f t="shared" si="1"/>
        <v>5.2649492019619468E-3</v>
      </c>
      <c r="I33" s="124">
        <f t="shared" si="2"/>
        <v>4.7141530150802984</v>
      </c>
      <c r="J33" s="124">
        <f t="shared" si="3"/>
        <v>1.7247534257186064E-5</v>
      </c>
      <c r="K33" s="124">
        <f t="shared" si="4"/>
        <v>4.1166281598853178</v>
      </c>
      <c r="L33" s="124">
        <f t="shared" si="5"/>
        <v>4.3932503465332208E-5</v>
      </c>
      <c r="M33" s="124">
        <f t="shared" si="6"/>
        <v>3.0436646252061133</v>
      </c>
      <c r="N33" s="124">
        <f t="shared" si="7"/>
        <v>2.141404191606729E-2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ht="15" x14ac:dyDescent="0.2">
      <c r="A34" s="91"/>
      <c r="B34" s="86">
        <v>1000</v>
      </c>
      <c r="C34" s="70">
        <v>5.6</v>
      </c>
      <c r="D34" s="70">
        <v>4.99</v>
      </c>
      <c r="E34" s="70">
        <v>4.42</v>
      </c>
      <c r="F34" s="87">
        <v>3.45</v>
      </c>
      <c r="G34" s="123">
        <f t="shared" si="0"/>
        <v>5.5037728126179815</v>
      </c>
      <c r="H34" s="124">
        <f t="shared" si="1"/>
        <v>9.2596715914540408E-3</v>
      </c>
      <c r="I34" s="124">
        <f t="shared" si="2"/>
        <v>4.993205936189355</v>
      </c>
      <c r="J34" s="124">
        <f t="shared" si="3"/>
        <v>1.0278026850214969E-5</v>
      </c>
      <c r="K34" s="124">
        <f t="shared" si="4"/>
        <v>4.4769834796941161</v>
      </c>
      <c r="L34" s="124">
        <f t="shared" si="5"/>
        <v>3.2471169580497545E-3</v>
      </c>
      <c r="M34" s="124">
        <f t="shared" si="6"/>
        <v>3.4771696125852203</v>
      </c>
      <c r="N34" s="124">
        <f t="shared" si="7"/>
        <v>7.3818784803095065E-4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ht="15" x14ac:dyDescent="0.2">
      <c r="A35" s="91"/>
      <c r="B35" s="86">
        <v>1250</v>
      </c>
      <c r="C35" s="70"/>
      <c r="D35" s="70">
        <v>5.18</v>
      </c>
      <c r="E35" s="70">
        <v>4.63</v>
      </c>
      <c r="F35" s="87">
        <v>3.63</v>
      </c>
      <c r="G35" s="123"/>
      <c r="H35" s="124"/>
      <c r="I35" s="124">
        <f t="shared" si="2"/>
        <v>5.177079363449244</v>
      </c>
      <c r="J35" s="124">
        <f t="shared" si="3"/>
        <v>8.5301178616101248E-6</v>
      </c>
      <c r="K35" s="124">
        <f t="shared" si="4"/>
        <v>4.7251578139903128</v>
      </c>
      <c r="L35" s="124">
        <f t="shared" si="5"/>
        <v>9.0550095634149841E-3</v>
      </c>
      <c r="M35" s="124">
        <f t="shared" si="6"/>
        <v>3.8020850772765598</v>
      </c>
      <c r="N35" s="124">
        <f t="shared" si="7"/>
        <v>2.9613273821279578E-2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ht="15" x14ac:dyDescent="0.2">
      <c r="A36" s="91"/>
      <c r="B36" s="88">
        <v>1500</v>
      </c>
      <c r="C36" s="89"/>
      <c r="D36" s="89">
        <v>5.31</v>
      </c>
      <c r="E36" s="89">
        <v>4.78</v>
      </c>
      <c r="F36" s="90">
        <v>3.76</v>
      </c>
      <c r="G36" s="123"/>
      <c r="H36" s="124"/>
      <c r="I36" s="124">
        <f t="shared" si="2"/>
        <v>5.3073744267915783</v>
      </c>
      <c r="J36" s="124">
        <f t="shared" si="3"/>
        <v>6.8936346727795743E-6</v>
      </c>
      <c r="K36" s="124">
        <f t="shared" si="4"/>
        <v>4.9064796537715623</v>
      </c>
      <c r="L36" s="124">
        <f t="shared" si="5"/>
        <v>1.5997102818174198E-2</v>
      </c>
      <c r="M36" s="124">
        <f t="shared" si="6"/>
        <v>4.0546708302018066</v>
      </c>
      <c r="N36" s="124">
        <f t="shared" si="7"/>
        <v>8.6830898171822074E-2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ht="15" x14ac:dyDescent="0.2">
      <c r="A37" s="91"/>
      <c r="B37" s="91"/>
      <c r="C37" s="91"/>
      <c r="D37" s="91"/>
      <c r="E37" s="91"/>
      <c r="F37" s="91"/>
      <c r="G37" s="91"/>
      <c r="H37" s="127">
        <f>SUM(H31:H36)</f>
        <v>2.259299843135891E-2</v>
      </c>
      <c r="I37"/>
      <c r="J37" s="127">
        <f>SUM(J31:J36)</f>
        <v>4.8409469535117862E-5</v>
      </c>
      <c r="K37"/>
      <c r="L37" s="127">
        <f>SUM(L31:L36)</f>
        <v>5.0918926102812581E-2</v>
      </c>
      <c r="M37"/>
      <c r="N37" s="127">
        <f>SUM(N31:N36)</f>
        <v>0.25057949371399524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ht="15" x14ac:dyDescent="0.2">
      <c r="A38" s="91"/>
      <c r="B38" s="91"/>
      <c r="C38" s="91"/>
      <c r="D38" s="91"/>
      <c r="E38" s="91"/>
      <c r="F38" s="91"/>
      <c r="G38" s="91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ht="15" x14ac:dyDescent="0.2">
      <c r="A39" s="91"/>
      <c r="C39" s="125" t="s">
        <v>102</v>
      </c>
      <c r="D39" s="126">
        <v>25</v>
      </c>
      <c r="E39" s="126">
        <v>34</v>
      </c>
      <c r="F39" s="126">
        <v>45</v>
      </c>
      <c r="G39" s="126">
        <v>60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ht="15" x14ac:dyDescent="0.2">
      <c r="A40" s="91"/>
      <c r="C40" s="125" t="s">
        <v>103</v>
      </c>
      <c r="D40" s="136">
        <v>6.0713881142227564</v>
      </c>
      <c r="E40" s="136">
        <f>+$D$40</f>
        <v>6.0713881142227564</v>
      </c>
      <c r="F40" s="136">
        <f t="shared" ref="F40:G40" si="8">+$D$40</f>
        <v>6.0713881142227564</v>
      </c>
      <c r="G40" s="136">
        <f t="shared" si="8"/>
        <v>6.0713881142227564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ht="15" x14ac:dyDescent="0.2">
      <c r="C41" s="125" t="s">
        <v>114</v>
      </c>
      <c r="D41" s="136">
        <v>9.696308040071492E-3</v>
      </c>
      <c r="E41" s="136">
        <v>4.6311338082928961E-3</v>
      </c>
      <c r="F41" s="136">
        <v>2.8079343114915528E-3</v>
      </c>
      <c r="G41" s="136">
        <v>1.340353409086529E-3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ht="15" x14ac:dyDescent="0.2">
      <c r="C42" s="125" t="s">
        <v>99</v>
      </c>
      <c r="D42" s="127">
        <f>SQRT(H37/COUNT(H30:H36))</f>
        <v>6.7220530243905258E-2</v>
      </c>
      <c r="E42" s="127">
        <f>SQRT(J37/COUNT(J30:J36))</f>
        <v>2.6297601611205606E-3</v>
      </c>
      <c r="F42" s="127">
        <f>SQRT(L37/COUNT(L30:L36))</f>
        <v>8.5288523849353828E-2</v>
      </c>
      <c r="G42" s="127">
        <f>SQRT(N37/COUNT(N30:N36))</f>
        <v>0.18920113776235795</v>
      </c>
      <c r="H42" s="109">
        <f>SUM(D42:G42)</f>
        <v>0.34433995201673762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ht="15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ht="1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ht="1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ht="15" x14ac:dyDescent="0.2">
      <c r="A46"/>
      <c r="B46" s="137" t="s">
        <v>104</v>
      </c>
      <c r="C46" s="137" t="s">
        <v>105</v>
      </c>
      <c r="D46"/>
      <c r="E46" t="s">
        <v>106</v>
      </c>
      <c r="F46"/>
      <c r="G46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 spans="1:31" ht="15" x14ac:dyDescent="0.2">
      <c r="A47"/>
      <c r="B47"/>
      <c r="C47"/>
      <c r="D47"/>
      <c r="E47"/>
      <c r="F47"/>
      <c r="G47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 spans="1:31" ht="15" x14ac:dyDescent="0.2">
      <c r="A48"/>
      <c r="B48" s="138" t="s">
        <v>107</v>
      </c>
      <c r="C48" s="138" t="s">
        <v>113</v>
      </c>
      <c r="D48" s="138" t="s">
        <v>108</v>
      </c>
      <c r="E48" s="138" t="s">
        <v>109</v>
      </c>
      <c r="F48"/>
      <c r="G48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 spans="1:28" ht="15" x14ac:dyDescent="0.2">
      <c r="A49" s="91"/>
      <c r="B49" s="123">
        <f>D39+273</f>
        <v>298</v>
      </c>
      <c r="C49" s="123">
        <f>D41/101300</f>
        <v>9.5718736822028555E-8</v>
      </c>
      <c r="D49" s="123">
        <f>LN(C49)</f>
        <v>-16.161851770587248</v>
      </c>
      <c r="E49" s="123">
        <f>1/B49</f>
        <v>3.3557046979865771E-3</v>
      </c>
      <c r="F49" s="91"/>
      <c r="G49" s="91">
        <f>SLOPE(D49:D52,E49:E52)</f>
        <v>5464.8782711739459</v>
      </c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 spans="1:28" ht="15" x14ac:dyDescent="0.2">
      <c r="A50" s="91"/>
      <c r="B50" s="123">
        <f>E39+273</f>
        <v>307</v>
      </c>
      <c r="C50" s="123">
        <f>E41/101300</f>
        <v>4.5717016863700852E-8</v>
      </c>
      <c r="D50" s="123">
        <f t="shared" ref="D50:D52" si="9">LN(C50)</f>
        <v>-16.90079524809909</v>
      </c>
      <c r="E50" s="123">
        <f t="shared" ref="E50:E52" si="10">1/B50</f>
        <v>3.2573289902280132E-3</v>
      </c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 spans="1:28" ht="15" x14ac:dyDescent="0.2">
      <c r="A51" s="91"/>
      <c r="B51" s="123">
        <f>F39+273</f>
        <v>318</v>
      </c>
      <c r="C51" s="123">
        <f>F41/101300</f>
        <v>2.7718996164773472E-8</v>
      </c>
      <c r="D51" s="123">
        <f t="shared" si="9"/>
        <v>-17.401147876672439</v>
      </c>
      <c r="E51" s="123">
        <f t="shared" si="10"/>
        <v>3.1446540880503146E-3</v>
      </c>
      <c r="F51" s="139" t="s">
        <v>110</v>
      </c>
      <c r="G51" s="91">
        <v>8.3140000000000001</v>
      </c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 spans="1:28" ht="15" x14ac:dyDescent="0.2">
      <c r="A52" s="91"/>
      <c r="B52" s="123">
        <f>G39+273</f>
        <v>333</v>
      </c>
      <c r="C52" s="123">
        <f>G41/101300</f>
        <v>1.3231524275286566E-8</v>
      </c>
      <c r="D52" s="123">
        <f t="shared" si="9"/>
        <v>-18.140663651904603</v>
      </c>
      <c r="E52" s="123">
        <f t="shared" si="10"/>
        <v>3.003003003003003E-3</v>
      </c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 spans="1:28" ht="15" x14ac:dyDescent="0.2">
      <c r="A53" s="91"/>
      <c r="B53" s="91"/>
      <c r="C53" s="91"/>
      <c r="D53" s="91"/>
      <c r="E53" s="91"/>
      <c r="F53" s="91"/>
      <c r="G53" s="91">
        <f>G49*G51*-1</f>
        <v>-45434.997946540185</v>
      </c>
      <c r="H53" s="91" t="s">
        <v>111</v>
      </c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 spans="1:28" ht="15" x14ac:dyDescent="0.2">
      <c r="A54" s="91"/>
      <c r="B54" s="91"/>
      <c r="C54" s="91"/>
      <c r="D54" s="91"/>
      <c r="E54" s="91"/>
      <c r="F54" s="91"/>
      <c r="G54" s="91">
        <f>INTERCEPT(D49:D52,E49:E52)</f>
        <v>-34.585020078013571</v>
      </c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 spans="1:28" ht="15" x14ac:dyDescent="0.2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 spans="1:28" ht="15" x14ac:dyDescent="0.2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 spans="1:28" ht="15" x14ac:dyDescent="0.2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 spans="1:28" ht="15" x14ac:dyDescent="0.2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 spans="1:28" ht="15" x14ac:dyDescent="0.2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 spans="1:28" ht="15" x14ac:dyDescent="0.2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 spans="1:28" ht="15" x14ac:dyDescent="0.2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 spans="1:28" ht="15" x14ac:dyDescent="0.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 spans="1:28" ht="15" x14ac:dyDescent="0.2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 spans="1:28" ht="15" x14ac:dyDescent="0.2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 spans="1:28" ht="15" x14ac:dyDescent="0.2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 spans="1:28" ht="15" x14ac:dyDescent="0.2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 spans="1:28" ht="15" x14ac:dyDescent="0.2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 spans="1:28" ht="15" x14ac:dyDescent="0.2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 spans="1:28" ht="15" x14ac:dyDescent="0.2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 spans="1:28" ht="15" x14ac:dyDescent="0.2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 spans="1:28" ht="15" x14ac:dyDescent="0.2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 spans="1:28" ht="15" x14ac:dyDescent="0.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 spans="1:28" ht="15" x14ac:dyDescent="0.2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 spans="1:28" ht="15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 spans="1:28" ht="15" x14ac:dyDescent="0.2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 spans="1:28" ht="15" x14ac:dyDescent="0.2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 spans="1:28" ht="15" x14ac:dyDescent="0.2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 spans="1:28" ht="15" x14ac:dyDescent="0.2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 spans="1:28" ht="15" x14ac:dyDescent="0.2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 spans="1:28" ht="15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 spans="1:28" ht="15" x14ac:dyDescent="0.2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 spans="1:28" ht="15" x14ac:dyDescent="0.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 spans="1:28" ht="15" x14ac:dyDescent="0.2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 spans="1:28" ht="15" x14ac:dyDescent="0.2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 spans="1:28" ht="15" x14ac:dyDescent="0.2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 spans="1:28" ht="15" x14ac:dyDescent="0.2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 spans="1:28" ht="15" x14ac:dyDescent="0.2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 spans="1:28" ht="15" x14ac:dyDescent="0.2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 spans="1:28" ht="15" x14ac:dyDescent="0.2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 spans="1:28" ht="15" x14ac:dyDescent="0.2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 spans="1:28" ht="15" x14ac:dyDescent="0.2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 spans="1:28" ht="15" x14ac:dyDescent="0.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 spans="1:28" ht="15" x14ac:dyDescent="0.2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 spans="1:28" ht="15" x14ac:dyDescent="0.2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 spans="1:28" ht="15" x14ac:dyDescent="0.2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 spans="1:28" ht="15" x14ac:dyDescent="0.2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 spans="1:28" ht="15" x14ac:dyDescent="0.2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 spans="1:28" ht="15" x14ac:dyDescent="0.2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 spans="1:28" ht="15" x14ac:dyDescent="0.2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 spans="1:28" ht="15" x14ac:dyDescent="0.2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 spans="1:28" ht="15" x14ac:dyDescent="0.2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 spans="1:28" ht="15" x14ac:dyDescent="0.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 spans="1:28" ht="15" x14ac:dyDescent="0.2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 spans="1:28" ht="15" x14ac:dyDescent="0.2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28" ht="15" x14ac:dyDescent="0.2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 spans="1:28" ht="15" x14ac:dyDescent="0.2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 spans="1:28" ht="15" x14ac:dyDescent="0.2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 spans="1:28" ht="15" x14ac:dyDescent="0.2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 spans="1:28" ht="15" x14ac:dyDescent="0.2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 spans="1:28" ht="15" x14ac:dyDescent="0.2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 spans="1:28" ht="15" x14ac:dyDescent="0.2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 spans="1:28" ht="15" x14ac:dyDescent="0.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 spans="1:28" ht="15" x14ac:dyDescent="0.2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 spans="1:28" ht="15" x14ac:dyDescent="0.2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 spans="1:28" ht="15" x14ac:dyDescent="0.2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 spans="1:28" ht="15" x14ac:dyDescent="0.2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 spans="1:28" ht="15" x14ac:dyDescent="0.2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 spans="1:28" ht="15" x14ac:dyDescent="0.2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 spans="1:28" ht="15" x14ac:dyDescent="0.2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 spans="1:28" ht="15" x14ac:dyDescent="0.2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 spans="1:28" ht="15" x14ac:dyDescent="0.2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 spans="1:28" ht="15" x14ac:dyDescent="0.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 spans="1:28" ht="15" x14ac:dyDescent="0.2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 spans="1:28" ht="15" x14ac:dyDescent="0.2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 spans="1:28" ht="15" x14ac:dyDescent="0.2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 spans="1:28" ht="15" x14ac:dyDescent="0.2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 spans="1:28" ht="15" x14ac:dyDescent="0.2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 spans="1:28" ht="15" x14ac:dyDescent="0.2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 spans="1:28" ht="15" x14ac:dyDescent="0.2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 spans="1:28" ht="15" x14ac:dyDescent="0.2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 spans="1:28" ht="15" x14ac:dyDescent="0.2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 spans="1:28" ht="15" x14ac:dyDescent="0.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 spans="1:28" ht="15" x14ac:dyDescent="0.2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 spans="1:28" ht="15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 spans="1:28" ht="15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 spans="1:28" ht="15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</sheetData>
  <mergeCells count="14">
    <mergeCell ref="D12:G12"/>
    <mergeCell ref="D13:G13"/>
    <mergeCell ref="C17:F17"/>
    <mergeCell ref="D6:G6"/>
    <mergeCell ref="D7:G7"/>
    <mergeCell ref="D8:G8"/>
    <mergeCell ref="D9:G9"/>
    <mergeCell ref="D10:G10"/>
    <mergeCell ref="D11:G11"/>
    <mergeCell ref="C29:F29"/>
    <mergeCell ref="G28:H28"/>
    <mergeCell ref="I28:J28"/>
    <mergeCell ref="K28:L28"/>
    <mergeCell ref="M28:N2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1AC4BAA629B941BA314CCFDBA3FF57" ma:contentTypeVersion="2" ma:contentTypeDescription="Crear nuevo documento." ma:contentTypeScope="" ma:versionID="02d4a1c1a891606db713665d65cacb81">
  <xsd:schema xmlns:xsd="http://www.w3.org/2001/XMLSchema" xmlns:xs="http://www.w3.org/2001/XMLSchema" xmlns:p="http://schemas.microsoft.com/office/2006/metadata/properties" xmlns:ns2="e82f5cfb-f4c9-45d7-a496-176879fc75fb" targetNamespace="http://schemas.microsoft.com/office/2006/metadata/properties" ma:root="true" ma:fieldsID="e8bdab5e34de6aa9596ed4cf7d8c676a" ns2:_="">
    <xsd:import namespace="e82f5cfb-f4c9-45d7-a496-176879fc75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f5cfb-f4c9-45d7-a496-176879fc7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89E25-0388-488B-8108-1FC869F9321E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452C2131-E0F3-4BC0-A081-28A96A5F33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89392-F403-4BB8-ABC2-84FF7280877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82f5cfb-f4c9-45d7-a496-176879fc75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 (a) ELL simple</vt:lpstr>
      <vt:lpstr>P1 (b) ELL contracorriente</vt:lpstr>
      <vt:lpstr>P2 Adsorción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Juanma Paz</dc:creator>
  <cp:keywords/>
  <dc:description/>
  <cp:lastModifiedBy>Dante Connor</cp:lastModifiedBy>
  <cp:revision/>
  <cp:lastPrinted>2021-02-02T11:45:46Z</cp:lastPrinted>
  <dcterms:created xsi:type="dcterms:W3CDTF">2020-08-25T18:04:27Z</dcterms:created>
  <dcterms:modified xsi:type="dcterms:W3CDTF">2021-09-09T17:53:47Z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0x010100181AC4BAA629B941BA314CCFDBA3FF57</vt:lpwstr>
  </property>
</Properties>
</file>