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4DD2EA09-5FFF-4D63-9D5E-60B9FB3DAC55}" xr6:coauthVersionLast="44" xr6:coauthVersionMax="45" xr10:uidLastSave="{00000000-0000-0000-0000-000000000000}"/>
  <bookViews>
    <workbookView xWindow="-108" yWindow="-108" windowWidth="23256" windowHeight="12576" tabRatio="794" activeTab="3"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5" i="20" l="1"/>
  <c r="H15" i="20"/>
  <c r="I15" i="20" s="1"/>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BY110" i="31" l="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Q30" i="17" s="1"/>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DM5" i="31" s="1"/>
  <c r="H18" i="20"/>
  <c r="DM6" i="31" s="1"/>
  <c r="H19" i="20"/>
  <c r="DM7" i="31" s="1"/>
  <c r="H20" i="20"/>
  <c r="DM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B61" i="18" l="1"/>
  <c r="C29" i="36"/>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5"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5" i="36" l="1"/>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<sst xmlns="http://schemas.openxmlformats.org/spreadsheetml/2006/main" count="2564" uniqueCount="1306">
  <si>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</si>
  <si>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</si>
  <si>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</si>
  <si>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</si>
  <si>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</si>
  <si>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</si>
  <si>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</si>
  <si>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</si>
  <si>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</si>
  <si>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</si>
  <si>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</si>
  <si>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</si>
  <si>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</si>
  <si>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</si>
  <si>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</si>
  <si>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</si>
  <si>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</si>
  <si>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</si>
  <si>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</si>
  <si>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</si>
  <si>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</si>
  <si>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</si>
  <si>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</si>
  <si>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</si>
  <si>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</si>
  <si>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</si>
  <si>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</si>
  <si>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</si>
  <si>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</si>
  <si>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</si>
  <si>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</si>
  <si>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</si>
  <si>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</si>
  <si>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</si>
  <si>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</si>
  <si>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</si>
  <si>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</si>
  <si>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</si>
  <si>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</si>
  <si>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</si>
  <si>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</si>
  <si>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</si>
  <si>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</si>
  <si>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</si>
  <si>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</si>
  <si>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</si>
  <si>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</si>
  <si>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</si>
  <si>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</si>
  <si>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</si>
  <si>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</si>
  <si>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</si>
  <si>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</si>
  <si>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</si>
  <si>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</si>
  <si>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</si>
  <si>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</si>
  <si>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</si>
  <si>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</si>
  <si>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</si>
  <si>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</si>
  <si>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</si>
  <si>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</si>
  <si>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</si>
  <si>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</si>
  <si>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</si>
  <si>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</si>
  <si>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</si>
  <si>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</si>
  <si>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</si>
  <si>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</si>
  <si>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</si>
  <si>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</si>
  <si>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</si>
  <si>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</si>
  <si>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</si>
  <si>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</si>
  <si>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</si>
  <si>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</si>
  <si>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</si>
  <si>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</si>
  <si>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</si>
  <si>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</si>
  <si>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</si>
  <si>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</si>
  <si>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</si>
  <si>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</si>
  <si>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</si>
  <si>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</si>
  <si>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</si>
  <si>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</si>
  <si>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</si>
  <si>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</si>
  <si>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</si>
  <si>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</si>
  <si>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</si>
  <si>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</si>
  <si>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</si>
  <si>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</si>
  <si>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</si>
  <si>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</si>
  <si>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</si>
  <si>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</si>
  <si>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</si>
  <si>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</si>
  <si>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</si>
  <si>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</si>
  <si>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</si>
  <si>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</si>
  <si>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</si>
  <si>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</si>
  <si>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</si>
  <si>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</si>
  <si>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</si>
  <si>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</si>
  <si>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</si>
  <si>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</si>
  <si>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</si>
  <si>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</si>
  <si>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</si>
  <si>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</si>
  <si>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</si>
  <si>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</si>
  <si>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</si>
  <si>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</si>
  <si>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</si>
  <si>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</si>
  <si>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</si>
  <si>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</si>
  <si>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</si>
  <si>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</si>
  <si>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</si>
  <si>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</si>
  <si>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</si>
  <si>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</si>
  <si>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</si>
  <si>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</si>
  <si>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</si>
  <si>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</si>
  <si>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</si>
  <si>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</si>
  <si>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</si>
  <si>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</si>
  <si>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</si>
  <si>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</si>
  <si>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</si>
  <si>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</si>
  <si>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</si>
  <si>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</si>
  <si>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</si>
  <si>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</si>
  <si>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</si>
  <si>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</si>
  <si>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</si>
  <si>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</si>
  <si>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</si>
  <si>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</si>
  <si>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</si>
  <si>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</si>
  <si>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</si>
  <si>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</si>
  <si>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</si>
  <si>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</si>
  <si>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</si>
  <si>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</si>
  <si>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</si>
  <si>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</si>
  <si>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</si>
  <si>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</si>
  <si>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</si>
  <si>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</si>
  <si>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</si>
  <si>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</si>
  <si>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</si>
  <si>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</si>
  <si>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</si>
  <si>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</si>
  <si>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</si>
  <si>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</si>
  <si>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</si>
  <si>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</si>
  <si>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</si>
  <si>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</si>
  <si>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</si>
  <si>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</si>
  <si>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</si>
  <si>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</si>
  <si>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</si>
  <si>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</si>
  <si>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</si>
  <si>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</si>
  <si>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</si>
  <si>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</si>
  <si>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</si>
  <si>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</si>
  <si>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</si>
  <si>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</si>
  <si>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</si>
  <si>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</si>
  <si>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</si>
  <si>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</si>
  <si>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</si>
  <si>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</si>
  <si>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</si>
  <si>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</si>
  <si>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</si>
  <si>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</si>
  <si>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</si>
  <si>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</si>
  <si>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</si>
  <si>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</si>
  <si>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</si>
  <si>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</si>
  <si>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</si>
  <si>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</si>
  <si>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</si>
  <si>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</si>
  <si>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</si>
  <si>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</si>
  <si>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</si>
  <si>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</si>
  <si>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</si>
  <si>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</si>
  <si>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</si>
  <si>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</si>
  <si>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</si>
  <si>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</si>
  <si>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</si>
  <si>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</si>
  <si>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</si>
  <si>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</si>
  <si>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</si>
  <si>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</si>
  <si>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</si>
  <si>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</si>
  <si>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</si>
  <si>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</si>
  <si>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</si>
  <si>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</si>
  <si>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</si>
  <si>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</si>
  <si>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</si>
  <si>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</si>
  <si>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</si>
  <si>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</si>
  <si>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</si>
  <si>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</si>
  <si>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</si>
  <si>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</si>
  <si>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</si>
  <si>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</si>
  <si>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</si>
  <si>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</si>
  <si>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</si>
  <si>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</si>
  <si>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</si>
  <si>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</si>
  <si>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</si>
  <si>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</si>
  <si>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</si>
  <si>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</si>
  <si>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</si>
  <si>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</si>
  <si>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</si>
  <si>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</si>
  <si>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</si>
  <si>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</si>
  <si>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</si>
  <si>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</si>
  <si>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</si>
  <si>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</si>
  <si>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</si>
  <si>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</si>
  <si>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</si>
  <si>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</si>
  <si>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</si>
  <si>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</si>
  <si>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</si>
  <si>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</si>
  <si>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</si>
  <si>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</si>
  <si>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</si>
  <si>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</si>
  <si>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</si>
  <si>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</si>
  <si>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</si>
  <si>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</si>
  <si>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</si>
  <si>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</si>
  <si>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</si>
  <si>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</si>
  <si>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</si>
  <si>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</si>
  <si>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</si>
  <si>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</si>
  <si>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</si>
  <si>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</si>
  <si>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</si>
  <si>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</si>
  <si>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</si>
  <si>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</si>
  <si>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</si>
  <si>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</si>
  <si>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</si>
  <si>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</si>
  <si>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</si>
  <si>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</si>
  <si>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</si>
  <si>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</si>
  <si>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</si>
  <si>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</si>
  <si>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</si>
  <si>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</si>
  <si>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</si>
  <si>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</si>
  <si>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</si>
  <si>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</si>
  <si>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</si>
  <si>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</si>
  <si>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</si>
  <si>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</si>
  <si>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</si>
  <si>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</si>
  <si>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</si>
  <si>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</si>
  <si>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</si>
  <si>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</si>
  <si>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</si>
  <si>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</si>
  <si>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</si>
  <si>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</si>
  <si>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</si>
  <si>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</si>
  <si>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</si>
  <si>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</si>
  <si>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</si>
  <si>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</si>
  <si>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</si>
  <si>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</si>
  <si>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</si>
  <si>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</si>
  <si>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</si>
  <si>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</si>
  <si>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</si>
  <si>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</si>
  <si>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</si>
  <si>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</si>
  <si>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</si>
  <si>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</si>
  <si>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</si>
  <si>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</si>
  <si>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</si>
  <si>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</si>
  <si>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</si>
  <si>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</si>
  <si>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</si>
  <si>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</si>
  <si>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</si>
  <si>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</si>
  <si>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</si>
  <si>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</si>
  <si>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</si>
  <si>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</si>
  <si>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</si>
  <si>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</si>
  <si>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</si>
  <si>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</si>
  <si>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</si>
  <si>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</si>
  <si>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</si>
  <si>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</si>
  <si>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</si>
  <si>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</si>
  <si>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</si>
  <si>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</si>
  <si>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</si>
  <si>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</si>
  <si>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</si>
  <si>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</si>
  <si>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</si>
  <si>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</si>
  <si>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</si>
  <si>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</si>
  <si>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</si>
  <si>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</si>
  <si>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</si>
  <si>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</si>
  <si>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</si>
  <si>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</si>
  <si>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</si>
  <si>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</si>
  <si>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</si>
  <si>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</si>
  <si>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</si>
  <si>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</si>
  <si>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</si>
  <si>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</si>
  <si>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</si>
  <si>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</si>
  <si>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</si>
  <si>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</si>
  <si>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</si>
  <si>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</si>
  <si>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</si>
  <si>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</si>
  <si>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</si>
  <si>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</si>
  <si>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</si>
  <si>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</si>
  <si>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</si>
  <si>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</si>
  <si>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</si>
  <si>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</si>
  <si>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</si>
  <si>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</si>
  <si>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</si>
  <si>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</si>
  <si>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</si>
  <si>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</si>
  <si>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</si>
  <si>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</si>
  <si>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</si>
  <si>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</si>
  <si>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</si>
  <si>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</si>
  <si>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</si>
  <si>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</si>
  <si>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</si>
  <si>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</si>
  <si>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</si>
  <si>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</si>
  <si>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</si>
  <si>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</si>
  <si>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</si>
  <si>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</si>
  <si>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</si>
  <si>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</si>
  <si>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</si>
  <si>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</si>
  <si>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</si>
  <si>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</si>
  <si>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</si>
  <si>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</si>
  <si>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</si>
  <si>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</si>
  <si>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</si>
  <si>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</si>
  <si>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</si>
  <si>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</si>
  <si>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</si>
  <si>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</si>
  <si>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</si>
  <si>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</si>
  <si>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</si>
  <si>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</si>
  <si>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</si>
  <si>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</si>
  <si>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</si>
  <si>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</si>
  <si>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</si>
  <si>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</si>
  <si>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</si>
  <si>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</si>
  <si>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</si>
  <si>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</si>
  <si>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</si>
  <si>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</si>
  <si>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</si>
  <si>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</si>
  <si>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</si>
  <si>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</si>
  <si>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</si>
  <si>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</si>
  <si>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</si>
  <si>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</si>
  <si>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</si>
  <si>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</si>
  <si>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</si>
  <si>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</si>
  <si>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</si>
  <si>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</si>
  <si>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</si>
  <si>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</si>
  <si>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</si>
  <si>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</si>
  <si>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</si>
  <si>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</si>
  <si>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</si>
  <si>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</si>
  <si>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</si>
  <si>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</si>
  <si>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</si>
  <si>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</si>
  <si>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</si>
  <si>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</si>
  <si>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</si>
  <si>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</si>
  <si>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</si>
  <si>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</si>
  <si>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</si>
  <si>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</si>
  <si>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</si>
  <si>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</si>
  <si>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</si>
  <si>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</si>
  <si>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</si>
  <si>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</si>
  <si>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</si>
  <si>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</si>
  <si>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</si>
  <si>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</si>
  <si>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</si>
  <si>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</si>
  <si>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</si>
  <si>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</si>
  <si>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</si>
  <si>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</si>
  <si>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</si>
  <si>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</si>
  <si>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</si>
  <si>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</si>
  <si>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</si>
  <si>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</si>
  <si>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</si>
  <si>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</si>
  <si>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</si>
  <si>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</si>
  <si>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</si>
  <si>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</si>
  <si>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</si>
  <si>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</si>
  <si>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</si>
  <si>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</si>
  <si>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</si>
  <si>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</si>
  <si>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</si>
  <si>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</si>
  <si>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</si>
  <si>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</si>
  <si>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</si>
  <si>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</si>
  <si>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</si>
  <si>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</si>
  <si>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</si>
  <si>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</si>
  <si>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</si>
  <si>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</si>
  <si>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</si>
  <si>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</si>
  <si>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</si>
  <si>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</si>
  <si>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</si>
  <si>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</si>
  <si>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</si>
  <si>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</si>
  <si>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</si>
  <si>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</si>
  <si>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</si>
  <si>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</si>
  <si>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</si>
  <si>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</si>
  <si>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</si>
  <si>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</si>
  <si>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</si>
  <si>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</si>
  <si>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</si>
  <si>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</si>
  <si>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</si>
  <si>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</si>
  <si>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</si>
  <si>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</si>
  <si>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</si>
  <si>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</si>
  <si>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</si>
  <si>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</si>
  <si>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</si>
  <si>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</si>
  <si>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</si>
  <si>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</si>
  <si>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</si>
  <si>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</si>
  <si>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</si>
  <si>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</si>
  <si>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</si>
  <si>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</si>
  <si>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</si>
  <si>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</si>
  <si>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</si>
  <si>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</si>
  <si>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</si>
  <si>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</si>
  <si>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</si>
  <si>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</si>
  <si>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</si>
  <si>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</si>
  <si>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</si>
  <si>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</si>
  <si>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</si>
  <si>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</si>
  <si>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</si>
  <si>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</si>
  <si>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</si>
  <si>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</si>
  <si>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</si>
  <si>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</si>
  <si>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</si>
  <si>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</si>
  <si>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</si>
  <si>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</si>
  <si>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</si>
  <si>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</si>
  <si>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</si>
  <si>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</si>
  <si>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</si>
  <si>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</si>
  <si>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</si>
  <si>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</si>
  <si>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</si>
  <si>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</si>
  <si>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</si>
  <si>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</si>
  <si>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</si>
  <si>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</si>
  <si>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</si>
  <si>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</si>
  <si>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</si>
  <si>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</si>
  <si>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</si>
  <si>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</si>
  <si>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</si>
  <si>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</si>
  <si>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</si>
  <si>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</si>
  <si>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</si>
  <si>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</si>
  <si>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</si>
  <si>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</si>
  <si>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</si>
  <si>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</si>
  <si>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</si>
  <si>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</si>
  <si>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</si>
  <si>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</si>
  <si>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</si>
  <si>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</si>
  <si>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</si>
  <si>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</si>
  <si>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</si>
  <si>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</si>
  <si>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</si>
  <si>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</si>
  <si>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</si>
  <si>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</si>
  <si>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</si>
  <si>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</si>
  <si>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</si>
  <si>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</si>
  <si>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</si>
  <si>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</si>
  <si>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</si>
  <si>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</si>
  <si>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</si>
  <si>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</si>
  <si>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</si>
  <si>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</si>
  <si>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</si>
  <si>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</si>
  <si>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</si>
  <si>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</si>
  <si>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</si>
  <si>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</si>
  <si>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</si>
  <si>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</si>
  <si>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</si>
  <si>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</si>
  <si>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</si>
  <si>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</si>
  <si>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</si>
  <si>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</si>
  <si>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</si>
  <si>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</si>
  <si>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</si>
  <si>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</si>
  <si>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</si>
  <si>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</si>
  <si>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</si>
  <si>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</si>
  <si>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</si>
  <si>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</si>
  <si>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</si>
  <si>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</si>
  <si>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</si>
  <si>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</si>
  <si>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</si>
  <si>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</si>
  <si>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</si>
  <si>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</si>
  <si>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</si>
  <si>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</si>
  <si>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</si>
  <si>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</si>
  <si>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</si>
  <si>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</si>
  <si>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</si>
  <si>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</si>
  <si>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</si>
  <si>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</si>
  <si>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</si>
  <si>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</si>
  <si>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</si>
  <si>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</si>
  <si>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</si>
  <si>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</si>
  <si>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</si>
  <si>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</si>
  <si>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</si>
  <si>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</si>
  <si>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</si>
  <si>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</si>
  <si>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</si>
  <si>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</si>
  <si>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</si>
  <si>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</si>
  <si>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</si>
  <si>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</si>
  <si>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</si>
  <si>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</si>
  <si>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</si>
  <si>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</si>
  <si>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</si>
  <si>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</si>
  <si>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</si>
  <si>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</si>
  <si>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</si>
  <si>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</si>
  <si>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</si>
  <si>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</si>
  <si>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</si>
  <si>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</si>
  <si>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</si>
  <si>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</si>
  <si>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</si>
  <si>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</si>
  <si>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</si>
  <si>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</si>
  <si>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</si>
  <si>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</si>
  <si>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</si>
  <si>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</si>
  <si>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</si>
  <si>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</si>
  <si>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</si>
  <si>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</si>
  <si>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</si>
  <si>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</si>
  <si>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</si>
  <si>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</si>
  <si>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</si>
  <si>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</si>
  <si>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</si>
  <si>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</si>
  <si>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</si>
  <si>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</si>
  <si>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</si>
  <si>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</si>
  <si>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</si>
  <si>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</si>
  <si>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</si>
  <si>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</si>
  <si>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</si>
  <si>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</si>
  <si>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</si>
  <si>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</si>
  <si>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</si>
  <si>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</si>
  <si>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</si>
  <si>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</si>
  <si>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</si>
  <si>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</si>
  <si>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</si>
  <si>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</si>
  <si>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</si>
  <si>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</si>
  <si>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</si>
  <si>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</si>
  <si>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</si>
  <si>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</si>
  <si>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</si>
  <si>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</si>
  <si>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</si>
  <si>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</si>
  <si>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</si>
  <si>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</si>
  <si>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</si>
  <si>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</si>
  <si>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</si>
  <si>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</si>
  <si>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</si>
  <si>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</si>
  <si>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</si>
  <si>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</si>
  <si>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</si>
  <si>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</si>
  <si>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</si>
  <si>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</si>
  <si>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</si>
  <si>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</si>
  <si>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</si>
  <si>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</si>
  <si>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</si>
  <si>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</si>
  <si>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</si>
  <si>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</si>
  <si>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</si>
  <si>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</si>
  <si>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</si>
  <si>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</si>
  <si>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</si>
  <si>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</si>
  <si>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</si>
  <si>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</si>
  <si>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</si>
  <si>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</si>
  <si>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</si>
  <si>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</si>
  <si>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</si>
  <si>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</si>
  <si>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</si>
  <si>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</si>
  <si>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</si>
  <si>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</si>
  <si>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</si>
  <si>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</si>
  <si>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</si>
  <si>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</si>
  <si>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</si>
  <si>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</si>
  <si>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</si>
  <si>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</si>
  <si>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</si>
  <si>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</si>
  <si>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</si>
  <si>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</si>
  <si>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</si>
  <si>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</si>
  <si>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</si>
  <si>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</si>
  <si>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</si>
  <si>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</si>
  <si>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</si>
  <si>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</si>
  <si>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</si>
  <si>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</si>
  <si>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</si>
  <si>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</si>
  <si>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</si>
  <si>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</si>
  <si>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</si>
  <si>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</si>
  <si>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</si>
  <si>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</si>
  <si>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</si>
  <si>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</si>
  <si>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</si>
  <si>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</si>
  <si>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</si>
  <si>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</si>
  <si>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</si>
  <si>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</si>
  <si>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</si>
  <si>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</si>
  <si>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</si>
  <si>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</si>
  <si>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</si>
  <si>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</si>
  <si>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</si>
  <si>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</si>
  <si>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</si>
  <si>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</si>
  <si>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</si>
  <si>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</si>
  <si>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</si>
  <si>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</si>
  <si>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</si>
  <si>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</si>
  <si>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</si>
  <si>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</si>
  <si>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</si>
  <si>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</si>
  <si>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</si>
  <si>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</si>
  <si>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</si>
  <si>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</si>
  <si>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</si>
  <si>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</si>
  <si>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</si>
  <si>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</si>
  <si>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</si>
  <si>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</si>
  <si>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</si>
  <si>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</si>
  <si>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</si>
  <si>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</si>
  <si>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</si>
  <si>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</si>
  <si>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</si>
  <si>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</si>
  <si>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</si>
  <si>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</si>
  <si>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</si>
  <si>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</si>
  <si>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</si>
  <si>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</si>
  <si>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</si>
  <si>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</si>
  <si>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</si>
  <si>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</si>
  <si>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</si>
  <si>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</si>
  <si>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</si>
  <si>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</si>
  <si>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</si>
  <si>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</si>
  <si>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</si>
  <si>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</si>
  <si>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</si>
  <si>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</si>
  <si>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</si>
  <si>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</si>
  <si>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</si>
  <si>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</si>
  <si>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</si>
  <si>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</si>
  <si>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</si>
  <si>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</si>
  <si>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</si>
  <si>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</si>
  <si>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</si>
  <si>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</si>
  <si>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</si>
  <si>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</si>
  <si>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</si>
  <si>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</si>
  <si>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</si>
  <si>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</si>
  <si>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</si>
  <si>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</si>
  <si>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</si>
  <si>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</si>
  <si>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</si>
  <si>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</si>
  <si>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</si>
  <si>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</si>
  <si>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</si>
  <si>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</si>
  <si>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</si>
  <si>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</si>
  <si>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</si>
  <si>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</si>
  <si>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</si>
  <si>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</si>
  <si>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</si>
  <si>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</si>
  <si>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</si>
  <si>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</si>
  <si>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</si>
  <si>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</si>
  <si>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</si>
  <si>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</si>
  <si>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</si>
  <si>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</si>
  <si>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</si>
  <si>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</si>
  <si>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</si>
  <si>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</si>
  <si>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</si>
  <si>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</si>
  <si>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</si>
  <si>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</si>
  <si>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</si>
  <si>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</si>
  <si>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</si>
  <si>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</si>
  <si>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</si>
  <si>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</si>
  <si>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</si>
  <si>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</si>
  <si>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</si>
  <si>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</si>
  <si>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</si>
  <si>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</si>
  <si>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</si>
  <si>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</si>
  <si>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</si>
  <si>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</si>
  <si>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</si>
  <si>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</si>
  <si>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</si>
  <si>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</si>
  <si>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</si>
  <si>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</si>
  <si>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</si>
  <si>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</si>
  <si>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</si>
  <si>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</si>
  <si>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</si>
  <si>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</si>
  <si>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</si>
  <si>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</si>
  <si>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</si>
  <si>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</si>
  <si>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</si>
  <si>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</si>
  <si>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</si>
  <si>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</si>
  <si>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</si>
  <si>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</si>
  <si>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</si>
  <si>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</si>
  <si>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</si>
  <si>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</si>
  <si>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</si>
  <si>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</si>
  <si>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</si>
  <si>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</si>
  <si>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</si>
  <si>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</si>
  <si>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</si>
  <si>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</si>
  <si>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</si>
  <si>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</si>
  <si>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</si>
  <si>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</si>
  <si>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</si>
  <si>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</si>
  <si>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</si>
  <si>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</si>
  <si>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</si>
  <si>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</si>
  <si>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</si>
  <si>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</si>
  <si>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</si>
  <si>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</si>
  <si>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</si>
  <si>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</si>
  <si>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</si>
  <si>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</si>
  <si>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</si>
  <si>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</si>
  <si>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</si>
  <si>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</si>
  <si>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</si>
  <si>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</si>
  <si>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</si>
  <si>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</si>
  <si>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</si>
  <si>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</si>
  <si>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</si>
  <si>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</si>
  <si>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</si>
  <si>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</si>
  <si>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</si>
  <si>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</si>
  <si>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</si>
  <si>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</si>
  <si>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</si>
  <si>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</si>
  <si>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</si>
  <si>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</si>
  <si>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</si>
  <si>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</si>
  <si>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</si>
  <si>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</si>
  <si>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</si>
  <si>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</si>
  <si>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</si>
  <si>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</si>
  <si>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</si>
  <si>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</si>
  <si>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</si>
  <si>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</si>
  <si>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</si>
  <si>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</si>
  <si>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</si>
  <si>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</si>
  <si>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</si>
  <si>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</si>
  <si>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</si>
  <si>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</si>
  <si>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</si>
  <si>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</si>
  <si>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</si>
  <si>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</si>
  <si>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</si>
  <si>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</si>
  <si>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</si>
  <si>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</si>
  <si>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</si>
  <si>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</si>
  <si>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</si>
  <si>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</si>
  <si>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</si>
  <si>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</si>
  <si>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</si>
  <si>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</si>
  <si>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</si>
  <si>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</si>
  <si>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</si>
  <si>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</si>
  <si>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</si>
  <si>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</si>
  <si>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</si>
  <si>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</si>
  <si>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</si>
  <si>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</si>
  <si>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</si>
  <si>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</si>
  <si>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</si>
  <si>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</si>
  <si>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</si>
  <si>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</si>
  <si>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</si>
  <si>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</si>
  <si>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</si>
  <si>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</si>
  <si>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</si>
  <si>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</si>
  <si>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</si>
  <si>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</si>
  <si>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</si>
  <si>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</si>
  <si>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</si>
  <si>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</si>
  <si>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</si>
  <si>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</si>
  <si>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</si>
  <si>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</si>
  <si>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</si>
  <si>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</si>
  <si>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</si>
  <si>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</si>
  <si>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</si>
  <si>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</si>
  <si>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</si>
  <si>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</si>
  <si>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</si>
  <si>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</si>
  <si>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</si>
  <si>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</si>
  <si>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</si>
  <si>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</si>
  <si>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</si>
  <si>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</si>
  <si>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</si>
  <si>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</si>
  <si>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</si>
  <si>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</si>
  <si>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</si>
  <si>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</si>
  <si>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</si>
  <si>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</si>
  <si>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</si>
  <si>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</si>
  <si>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</si>
  <si>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</si>
  <si>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</si>
  <si>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</si>
  <si>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</si>
  <si>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</si>
  <si>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</si>
  <si>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</si>
  <si>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</si>
  <si>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</si>
  <si>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</si>
  <si>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</si>
  <si>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</si>
  <si>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</si>
  <si>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</si>
  <si>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</si>
  <si>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</si>
  <si>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</si>
  <si>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</si>
  <si>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</si>
  <si>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</si>
  <si>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</si>
  <si>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</si>
  <si>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</si>
  <si>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</si>
  <si>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</si>
  <si>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</si>
  <si>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</si>
  <si>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</si>
  <si>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</si>
  <si>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</si>
  <si>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</si>
  <si>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</si>
  <si>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</si>
  <si>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</si>
  <si>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</si>
  <si>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</si>
  <si>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</si>
  <si>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</si>
  <si>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</si>
  <si>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</si>
  <si>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</si>
  <si>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</si>
  <si>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</si>
  <si>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</si>
  <si>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</si>
  <si>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</si>
  <si>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</si>
  <si>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</si>
  <si>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</si>
  <si>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</si>
  <si>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</si>
  <si>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</si>
  <si>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</si>
  <si>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</si>
  <si>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</si>
  <si>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</si>
  <si>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</si>
  <si>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</si>
  <si>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</si>
  <si>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</si>
  <si>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</si>
  <si>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</si>
  <si>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</si>
  <si>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</si>
  <si>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</si>
  <si>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</si>
  <si>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</si>
  <si>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</si>
  <si>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</si>
  <si>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</si>
  <si>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</si>
  <si>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</si>
  <si>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</si>
  <si>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</si>
  <si>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</si>
  <si>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</si>
  <si>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</si>
  <si>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</si>
  <si>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</si>
  <si>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</si>
  <si>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</si>
  <si>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</si>
  <si>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</si>
  <si>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</si>
  <si>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</si>
  <si>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</si>
  <si>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</si>
  <si>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</si>
  <si>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</si>
  <si>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</si>
  <si>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</si>
  <si>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</si>
  <si>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</si>
  <si>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</si>
  <si>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</si>
  <si>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</si>
  <si>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</si>
  <si>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</si>
  <si>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</si>
  <si>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</si>
  <si>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</si>
  <si>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</si>
  <si>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</si>
  <si>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</si>
  <si>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</si>
  <si>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</si>
  <si>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</si>
  <si>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</si>
  <si>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</si>
  <si>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</si>
  <si>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</si>
  <si>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</si>
  <si>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</si>
  <si>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</si>
  <si>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</si>
  <si>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</si>
  <si>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</si>
  <si>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</si>
  <si>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</si>
  <si>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</si>
  <si>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</si>
  <si>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</si>
  <si>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</si>
  <si>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</si>
  <si>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</si>
  <si>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</si>
  <si>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</si>
  <si>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</si>
  <si>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</si>
  <si>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</si>
  <si>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</si>
  <si>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</si>
  <si>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</si>
  <si>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</si>
  <si>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</si>
  <si>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</si>
  <si>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</si>
  <si>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</si>
  <si>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</si>
  <si>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new</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</si>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</sst>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[0]!Cap_Chart_Core_Range</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13.42111888111887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2.7377622377622313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13.038461538461545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2.1153846153846141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(hide)'!$AD$4:$AD$55</c:f>
              <c:numCache>
                <c:formatCode>General</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(hide)'!$AE$4:$AE$55</c:f>
              <c:numCache>
                <c:formatCode>General</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15.153846153846153</c:v>
                </c:pt>
                <c:pt idx="7">
                  <c:v>15.153846153846153</c:v>
                </c:pt>
                <c:pt idx="8">
                  <c:v>15.153846153846153</c:v>
                </c:pt>
                <c:pt idx="9">
                  <c:v>15.153846153846153</c:v>
                </c:pt>
                <c:pt idx="10">
                  <c:v>15.153846153846153</c:v>
                </c:pt>
                <c:pt idx="11">
                  <c:v>15.153846153846153</c:v>
                </c:pt>
                <c:pt idx="12">
                  <c:v>15.153846153846153</c:v>
                </c:pt>
                <c:pt idx="13">
                  <c:v>15.153846153846153</c:v>
                </c:pt>
                <c:pt idx="14">
                  <c:v>15.153846153846153</c:v>
                </c:pt>
                <c:pt idx="15">
                  <c:v>15.153846153846153</c:v>
                </c:pt>
                <c:pt idx="16">
                  <c:v>15.153846153846153</c:v>
                </c:pt>
                <c:pt idx="17">
                  <c:v>15.153846153846153</c:v>
                </c:pt>
                <c:pt idx="18">
                  <c:v>15.153846153846153</c:v>
                </c:pt>
                <c:pt idx="19">
                  <c:v>15.153846153846153</c:v>
                </c:pt>
                <c:pt idx="20">
                  <c:v>15.153846153846153</c:v>
                </c:pt>
                <c:pt idx="21">
                  <c:v>15.153846153846153</c:v>
                </c:pt>
                <c:pt idx="22">
                  <c:v>15.153846153846153</c:v>
                </c:pt>
                <c:pt idx="23">
                  <c:v>15.153846153846153</c:v>
                </c:pt>
                <c:pt idx="24">
                  <c:v>15.153846153846153</c:v>
                </c:pt>
                <c:pt idx="25">
                  <c:v>15.153846153846153</c:v>
                </c:pt>
                <c:pt idx="26">
                  <c:v>15.153846153846153</c:v>
                </c:pt>
                <c:pt idx="27">
                  <c:v>15.153846153846153</c:v>
                </c:pt>
                <c:pt idx="28">
                  <c:v>15.153846153846153</c:v>
                </c:pt>
                <c:pt idx="29">
                  <c:v>15.153846153846153</c:v>
                </c:pt>
                <c:pt idx="30">
                  <c:v>15.153846153846153</c:v>
                </c:pt>
                <c:pt idx="31">
                  <c:v>15.153846153846153</c:v>
                </c:pt>
                <c:pt idx="32">
                  <c:v>15.153846153846153</c:v>
                </c:pt>
                <c:pt idx="33">
                  <c:v>15.153846153846153</c:v>
                </c:pt>
                <c:pt idx="34">
                  <c:v>15.153846153846153</c:v>
                </c:pt>
                <c:pt idx="35">
                  <c:v>15.153846153846153</c:v>
                </c:pt>
                <c:pt idx="36">
                  <c:v>15.153846153846153</c:v>
                </c:pt>
                <c:pt idx="37">
                  <c:v>15.153846153846153</c:v>
                </c:pt>
                <c:pt idx="38">
                  <c:v>15.153846153846153</c:v>
                </c:pt>
                <c:pt idx="39">
                  <c:v>15.153846153846153</c:v>
                </c:pt>
                <c:pt idx="40">
                  <c:v>15.153846153846153</c:v>
                </c:pt>
                <c:pt idx="41">
                  <c:v>15.153846153846153</c:v>
                </c:pt>
                <c:pt idx="42">
                  <c:v>15.153846153846153</c:v>
                </c:pt>
                <c:pt idx="43">
                  <c:v>15.153846153846153</c:v>
                </c:pt>
                <c:pt idx="44">
                  <c:v>15.153846153846153</c:v>
                </c:pt>
                <c:pt idx="45">
                  <c:v>15.153846153846153</c:v>
                </c:pt>
                <c:pt idx="46">
                  <c:v>15.153846153846153</c:v>
                </c:pt>
                <c:pt idx="47">
                  <c:v>15.153846153846153</c:v>
                </c:pt>
                <c:pt idx="48">
                  <c:v>15.153846153846153</c:v>
                </c:pt>
                <c:pt idx="49">
                  <c:v>15.153846153846153</c:v>
                </c:pt>
                <c:pt idx="50">
                  <c:v>15.153846153846153</c:v>
                </c:pt>
                <c:pt idx="51">
                  <c:v>15.153846153846153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91440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1424940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167640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236220</xdr:colOff>
          <xdr:row>2</xdr:row>
          <xdr:rowOff>106680</xdr:rowOff>
        </xdr:from>
        <xdr:to>
          <xdr:col>13</xdr:col>
          <xdr:colOff>1356360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5</xdr:row>
          <xdr:rowOff>38100</xdr:rowOff>
        </xdr:from>
        <xdr:to>
          <xdr:col>13</xdr:col>
          <xdr:colOff>1356360</xdr:colOff>
          <xdr:row>7</xdr:row>
          <xdr:rowOff>99060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7</xdr:row>
          <xdr:rowOff>167640</xdr:rowOff>
        </xdr:from>
        <xdr:to>
          <xdr:col>13</xdr:col>
          <xdr:colOff>1348740</xdr:colOff>
          <xdr:row>12</xdr:row>
          <xdr:rowOff>68580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167640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5695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281940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22860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53340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D5" sqref="D5"/>
    </sheetView>
  </sheetViews>
  <sheetFormatPr defaultRowHeight="13.8" x14ac:dyDescent="0.25"/>
  <cols>
    <col min="1" max="1" width="9.59765625" bestFit="1" customWidth="1"/>
    <col min="2" max="2" width="9.796875" bestFit="1" customWidth="1"/>
    <col min="3" max="3" width="20.09765625" customWidth="1"/>
    <col min="4" max="4" width="74.296875" customWidth="1"/>
    <col min="5" max="5" width="35.296875" customWidth="1"/>
  </cols>
  <sheetData>
    <row r="2" spans="1:5" x14ac:dyDescent="0.25">
      <c r="A2" s="285" t="s">
        <v>0</v>
      </c>
      <c r="B2" s="285" t="s">
        <v>1</v>
      </c>
      <c r="C2" s="285" t="s">
        <v>2</v>
      </c>
      <c r="D2" s="285" t="s">
        <v>3</v>
      </c>
      <c r="E2" s="285" t="s">
        <v>11</v>
      </c>
    </row>
    <row r="3" spans="1:5" s="67" customFormat="1" ht="151.80000000000001" x14ac:dyDescent="0.25">
      <c r="A3" s="289" t="s">
        <v>1293</v>
      </c>
      <c r="B3" s="290">
        <v>44145</v>
      </c>
      <c r="C3" s="289" t="s">
        <v>276</v>
      </c>
      <c r="D3" s="288" t="s">
        <v>1305</v>
      </c>
      <c r="E3" s="285"/>
    </row>
    <row r="4" spans="1:5" s="67" customFormat="1" ht="41.4" x14ac:dyDescent="0.25">
      <c r="A4" s="292" t="s">
        <v>1277</v>
      </c>
      <c r="B4" s="380">
        <v>44061</v>
      </c>
      <c r="C4" s="292" t="s">
        <v>1271</v>
      </c>
      <c r="D4" s="292" t="s">
        <v>1276</v>
      </c>
      <c r="E4" s="292"/>
    </row>
    <row r="5" spans="1:5" s="67" customFormat="1" ht="55.2" x14ac:dyDescent="0.25">
      <c r="A5" s="289" t="s">
        <v>1275</v>
      </c>
      <c r="B5" s="290">
        <v>44057</v>
      </c>
      <c r="C5" s="292" t="s">
        <v>1271</v>
      </c>
      <c r="D5" s="292" t="s">
        <v>1272</v>
      </c>
      <c r="E5" s="289"/>
    </row>
    <row r="6" spans="1:5" s="67" customFormat="1" ht="55.2" x14ac:dyDescent="0.25">
      <c r="A6" s="289" t="s">
        <v>1241</v>
      </c>
      <c r="B6" s="290">
        <v>44027</v>
      </c>
      <c r="C6" s="289" t="s">
        <v>5</v>
      </c>
      <c r="D6" s="292" t="s">
        <v>1242</v>
      </c>
      <c r="E6" s="289"/>
    </row>
    <row r="7" spans="1:5" s="67" customFormat="1" ht="151.80000000000001" x14ac:dyDescent="0.25">
      <c r="A7" s="289" t="s">
        <v>1234</v>
      </c>
      <c r="B7" s="290">
        <v>44025</v>
      </c>
      <c r="C7" s="289" t="s">
        <v>5</v>
      </c>
      <c r="D7" s="292" t="s">
        <v>1240</v>
      </c>
      <c r="E7" s="292"/>
    </row>
    <row r="8" spans="1:5" s="67" customFormat="1" ht="69" x14ac:dyDescent="0.25">
      <c r="A8" s="289" t="s">
        <v>1232</v>
      </c>
      <c r="B8" s="290">
        <v>43997</v>
      </c>
      <c r="C8" s="289" t="s">
        <v>5</v>
      </c>
      <c r="D8" s="292" t="s">
        <v>1235</v>
      </c>
      <c r="E8" s="289"/>
    </row>
    <row r="9" spans="1:5" s="67" customFormat="1" ht="151.80000000000001" x14ac:dyDescent="0.25">
      <c r="A9" s="289">
        <v>3.4</v>
      </c>
      <c r="B9" s="290">
        <v>43993</v>
      </c>
      <c r="C9" s="289" t="s">
        <v>5</v>
      </c>
      <c r="D9" s="292" t="s">
        <v>1230</v>
      </c>
      <c r="E9" s="292"/>
    </row>
    <row r="10" spans="1:5" s="67" customFormat="1" ht="138" x14ac:dyDescent="0.25">
      <c r="A10" s="289">
        <v>3.3</v>
      </c>
      <c r="B10" s="290">
        <v>43980</v>
      </c>
      <c r="C10" s="289" t="s">
        <v>5</v>
      </c>
      <c r="D10" s="292" t="s">
        <v>1228</v>
      </c>
      <c r="E10" s="289"/>
    </row>
    <row r="11" spans="1:5" s="67" customFormat="1" ht="41.4" x14ac:dyDescent="0.25">
      <c r="A11" s="334">
        <v>3.2</v>
      </c>
      <c r="B11" s="290">
        <v>43965</v>
      </c>
      <c r="C11" s="289" t="s">
        <v>5</v>
      </c>
      <c r="D11" s="292" t="s">
        <v>1211</v>
      </c>
      <c r="E11" s="292"/>
    </row>
    <row r="12" spans="1:5" s="67" customFormat="1" ht="41.4" x14ac:dyDescent="0.25">
      <c r="A12" s="334">
        <v>3.1</v>
      </c>
      <c r="B12" s="290">
        <v>43964</v>
      </c>
      <c r="C12" s="289" t="s">
        <v>5</v>
      </c>
      <c r="D12" s="292" t="s">
        <v>1206</v>
      </c>
      <c r="E12" s="292"/>
    </row>
    <row r="13" spans="1:5" s="67" customFormat="1" ht="96.6" x14ac:dyDescent="0.25">
      <c r="A13" s="334">
        <v>3</v>
      </c>
      <c r="B13" s="290">
        <v>43963</v>
      </c>
      <c r="C13" s="289" t="s">
        <v>5</v>
      </c>
      <c r="D13" s="292" t="s">
        <v>1202</v>
      </c>
      <c r="E13" s="292" t="s">
        <v>1203</v>
      </c>
    </row>
    <row r="14" spans="1:5" s="67" customFormat="1" ht="69" x14ac:dyDescent="0.25">
      <c r="A14" s="289">
        <v>2.13</v>
      </c>
      <c r="B14" s="290">
        <v>43903</v>
      </c>
      <c r="C14" s="289" t="s">
        <v>5</v>
      </c>
      <c r="D14" s="292" t="s">
        <v>1174</v>
      </c>
      <c r="E14" s="285"/>
    </row>
    <row r="15" spans="1:5" s="67" customFormat="1" ht="27.6" x14ac:dyDescent="0.25">
      <c r="A15" s="289">
        <v>2.12</v>
      </c>
      <c r="B15" s="290">
        <v>43887</v>
      </c>
      <c r="C15" s="289" t="s">
        <v>276</v>
      </c>
      <c r="D15" s="292" t="s">
        <v>1175</v>
      </c>
      <c r="E15" s="285"/>
    </row>
    <row r="16" spans="1:5" s="67" customFormat="1" ht="55.2" x14ac:dyDescent="0.25">
      <c r="A16" s="289">
        <v>2.11</v>
      </c>
      <c r="B16" s="290">
        <v>43846</v>
      </c>
      <c r="C16" s="292" t="s">
        <v>1166</v>
      </c>
      <c r="D16" s="292" t="s">
        <v>1173</v>
      </c>
      <c r="E16" s="292" t="s">
        <v>1171</v>
      </c>
    </row>
    <row r="17" spans="1:5" s="67" customFormat="1" ht="41.4" x14ac:dyDescent="0.25">
      <c r="A17" s="327">
        <v>2.1</v>
      </c>
      <c r="B17" s="290">
        <v>43756</v>
      </c>
      <c r="C17" s="289" t="s">
        <v>276</v>
      </c>
      <c r="D17" s="292" t="s">
        <v>1170</v>
      </c>
      <c r="E17" s="285"/>
    </row>
    <row r="18" spans="1:5" s="67" customFormat="1" ht="55.2" x14ac:dyDescent="0.25">
      <c r="A18" s="289">
        <v>2.02</v>
      </c>
      <c r="B18" s="290">
        <v>43718</v>
      </c>
      <c r="C18" s="289" t="s">
        <v>5</v>
      </c>
      <c r="D18" s="292" t="s">
        <v>1169</v>
      </c>
      <c r="E18" s="285"/>
    </row>
    <row r="19" spans="1:5" s="67" customFormat="1" ht="55.2" x14ac:dyDescent="0.25">
      <c r="A19" s="289">
        <v>2.0099999999999998</v>
      </c>
      <c r="B19" s="290">
        <v>43693</v>
      </c>
      <c r="C19" s="289" t="s">
        <v>1108</v>
      </c>
      <c r="D19" s="292" t="s">
        <v>1168</v>
      </c>
      <c r="E19" s="285"/>
    </row>
    <row r="20" spans="1:5" s="67" customFormat="1" ht="96.6" x14ac:dyDescent="0.25">
      <c r="A20" s="323">
        <v>2</v>
      </c>
      <c r="B20" s="313">
        <v>43665</v>
      </c>
      <c r="C20" s="292" t="s">
        <v>1166</v>
      </c>
      <c r="D20" s="292" t="s">
        <v>1167</v>
      </c>
      <c r="E20" s="285"/>
    </row>
    <row r="21" spans="1:5" s="67" customFormat="1" ht="248.4" x14ac:dyDescent="0.25">
      <c r="A21" s="285">
        <v>1.05</v>
      </c>
      <c r="B21" s="313">
        <v>43570</v>
      </c>
      <c r="C21" s="292" t="s">
        <v>1165</v>
      </c>
      <c r="D21" s="292" t="s">
        <v>1160</v>
      </c>
      <c r="E21" s="315" t="s">
        <v>1159</v>
      </c>
    </row>
    <row r="22" spans="1:5" s="67" customFormat="1" ht="82.8" x14ac:dyDescent="0.25">
      <c r="A22" s="289">
        <v>1.04</v>
      </c>
      <c r="B22" s="290">
        <v>43516</v>
      </c>
      <c r="C22" s="289" t="s">
        <v>1108</v>
      </c>
      <c r="D22" s="292" t="s">
        <v>1111</v>
      </c>
      <c r="E22" s="292"/>
    </row>
    <row r="23" spans="1:5" s="67" customFormat="1" ht="124.2" x14ac:dyDescent="0.25">
      <c r="A23" s="289" t="s">
        <v>1107</v>
      </c>
      <c r="B23" s="290">
        <v>43486</v>
      </c>
      <c r="C23" s="289" t="s">
        <v>1108</v>
      </c>
      <c r="D23" s="292" t="s">
        <v>1109</v>
      </c>
      <c r="E23" s="292" t="s">
        <v>1110</v>
      </c>
    </row>
    <row r="24" spans="1:5" s="291" customFormat="1" ht="165.6" x14ac:dyDescent="0.25">
      <c r="A24" s="289" t="s">
        <v>1107</v>
      </c>
      <c r="B24" s="290">
        <v>43395</v>
      </c>
      <c r="C24" s="289" t="s">
        <v>5</v>
      </c>
      <c r="D24" s="292" t="s">
        <v>1106</v>
      </c>
      <c r="E24" s="292" t="s">
        <v>1105</v>
      </c>
    </row>
    <row r="25" spans="1:5" s="291" customFormat="1" ht="165.6" x14ac:dyDescent="0.25">
      <c r="A25" s="289">
        <v>1.03</v>
      </c>
      <c r="B25" s="290">
        <v>43319</v>
      </c>
      <c r="C25" s="289" t="s">
        <v>5</v>
      </c>
      <c r="D25" s="292" t="s">
        <v>1104</v>
      </c>
      <c r="E25" s="289"/>
    </row>
    <row r="26" spans="1:5" ht="409.6" x14ac:dyDescent="0.25">
      <c r="A26" s="286">
        <v>1.02</v>
      </c>
      <c r="B26" s="287">
        <v>43292</v>
      </c>
      <c r="C26" s="286" t="s">
        <v>5</v>
      </c>
      <c r="D26" s="288" t="s">
        <v>1103</v>
      </c>
      <c r="E26" s="288" t="s">
        <v>944</v>
      </c>
    </row>
    <row r="27" spans="1:5" ht="41.4" x14ac:dyDescent="0.25">
      <c r="A27" s="286" t="s">
        <v>932</v>
      </c>
      <c r="B27" s="287">
        <v>43291</v>
      </c>
      <c r="C27" s="286" t="s">
        <v>5</v>
      </c>
      <c r="D27" s="288" t="s">
        <v>933</v>
      </c>
      <c r="E27" s="286"/>
    </row>
    <row r="28" spans="1:5" ht="151.80000000000001" x14ac:dyDescent="0.25">
      <c r="A28" s="286" t="s">
        <v>880</v>
      </c>
      <c r="B28" s="287">
        <v>43255</v>
      </c>
      <c r="C28" s="286" t="s">
        <v>5</v>
      </c>
      <c r="D28" s="288" t="s">
        <v>881</v>
      </c>
      <c r="E28" s="286"/>
    </row>
    <row r="29" spans="1:5" ht="41.4" x14ac:dyDescent="0.25">
      <c r="A29" s="286" t="s">
        <v>873</v>
      </c>
      <c r="B29" s="287">
        <v>43247</v>
      </c>
      <c r="C29" s="286" t="s">
        <v>5</v>
      </c>
      <c r="D29" s="288" t="s">
        <v>874</v>
      </c>
      <c r="E29" s="286"/>
    </row>
    <row r="30" spans="1:5" ht="124.2" x14ac:dyDescent="0.25">
      <c r="A30" s="286">
        <v>0.4</v>
      </c>
      <c r="B30" s="287">
        <v>43229</v>
      </c>
      <c r="C30" s="286" t="s">
        <v>5</v>
      </c>
      <c r="D30" s="288" t="s">
        <v>491</v>
      </c>
      <c r="E30" s="288" t="s">
        <v>492</v>
      </c>
    </row>
    <row r="31" spans="1:5" ht="110.4" x14ac:dyDescent="0.25">
      <c r="A31" s="286" t="s">
        <v>324</v>
      </c>
      <c r="B31" s="287">
        <v>43206</v>
      </c>
      <c r="C31" s="286" t="s">
        <v>5</v>
      </c>
      <c r="D31" s="288" t="s">
        <v>325</v>
      </c>
      <c r="E31" s="288" t="s">
        <v>339</v>
      </c>
    </row>
    <row r="32" spans="1:5" ht="55.2" x14ac:dyDescent="0.25">
      <c r="A32" s="286" t="s">
        <v>300</v>
      </c>
      <c r="B32" s="287">
        <v>43185</v>
      </c>
      <c r="C32" s="286" t="s">
        <v>5</v>
      </c>
      <c r="D32" s="286"/>
      <c r="E32" s="288" t="s">
        <v>301</v>
      </c>
    </row>
    <row r="33" spans="1:5" ht="69" x14ac:dyDescent="0.25">
      <c r="A33" s="286" t="s">
        <v>298</v>
      </c>
      <c r="B33" s="287">
        <v>43178</v>
      </c>
      <c r="C33" s="286" t="s">
        <v>276</v>
      </c>
      <c r="D33" s="288" t="s">
        <v>299</v>
      </c>
      <c r="E33" s="286"/>
    </row>
    <row r="34" spans="1:5" ht="124.2" x14ac:dyDescent="0.25">
      <c r="A34" s="286" t="s">
        <v>288</v>
      </c>
      <c r="B34" s="287">
        <v>43172</v>
      </c>
      <c r="C34" s="286" t="s">
        <v>5</v>
      </c>
      <c r="D34" s="288" t="s">
        <v>289</v>
      </c>
      <c r="E34" s="288" t="s">
        <v>291</v>
      </c>
    </row>
    <row r="35" spans="1:5" ht="55.2" x14ac:dyDescent="0.25">
      <c r="A35" s="286" t="s">
        <v>275</v>
      </c>
      <c r="B35" s="287">
        <v>43167</v>
      </c>
      <c r="C35" s="286" t="s">
        <v>276</v>
      </c>
      <c r="D35" s="286" t="s">
        <v>277</v>
      </c>
      <c r="E35" s="288" t="s">
        <v>282</v>
      </c>
    </row>
    <row r="36" spans="1:5" x14ac:dyDescent="0.25">
      <c r="A36" s="286"/>
      <c r="B36" s="287">
        <v>43147</v>
      </c>
      <c r="C36" s="286" t="s">
        <v>5</v>
      </c>
      <c r="D36" s="286" t="s">
        <v>127</v>
      </c>
      <c r="E36" s="286"/>
    </row>
    <row r="37" spans="1:5" ht="96.6" x14ac:dyDescent="0.25">
      <c r="A37" s="286" t="s">
        <v>9</v>
      </c>
      <c r="B37" s="287">
        <v>43130</v>
      </c>
      <c r="C37" s="286" t="s">
        <v>5</v>
      </c>
      <c r="D37" s="288" t="s">
        <v>10</v>
      </c>
      <c r="E37" s="288" t="s">
        <v>12</v>
      </c>
    </row>
    <row r="38" spans="1:5" x14ac:dyDescent="0.25">
      <c r="A38" s="286" t="s">
        <v>7</v>
      </c>
      <c r="B38" s="287">
        <v>43068</v>
      </c>
      <c r="C38" s="286" t="s">
        <v>5</v>
      </c>
      <c r="D38" s="286" t="s">
        <v>8</v>
      </c>
      <c r="E38" s="286"/>
    </row>
    <row r="39" spans="1:5" x14ac:dyDescent="0.25">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296875" bestFit="1" customWidth="1"/>
    <col min="11" max="11" width="28.19921875" customWidth="1"/>
    <col min="12" max="12" width="9.796875" bestFit="1" customWidth="1"/>
    <col min="13" max="13" width="17.5" customWidth="1"/>
    <col min="16" max="16" width="10" bestFit="1" customWidth="1"/>
    <col min="17" max="17" width="11.19921875" bestFit="1" customWidth="1"/>
    <col min="19" max="19" width="12.2968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25">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7">
        <f t="shared" si="0"/>
        <v>43976</v>
      </c>
      <c r="S14" s="7">
        <f t="shared" si="1"/>
        <v>42545</v>
      </c>
      <c r="V14">
        <v>7</v>
      </c>
      <c r="AE14" s="67" t="str">
        <f>IF(Capacity!B28="","",ROW(A12)&amp;". "&amp;Capacity!B28)</f>
        <v/>
      </c>
      <c r="AF14" s="67"/>
      <c r="AI14" s="67">
        <v>31</v>
      </c>
    </row>
    <row r="15" spans="1:35" x14ac:dyDescent="0.25">
      <c r="A15">
        <v>13</v>
      </c>
      <c r="K15" s="317">
        <f t="shared" si="0"/>
        <v>43983</v>
      </c>
      <c r="S15" s="7">
        <f t="shared" si="1"/>
        <v>42552</v>
      </c>
      <c r="V15">
        <v>7.5</v>
      </c>
      <c r="AE15" s="67" t="str">
        <f>IF(Capacity!B29="","",ROW(A13)&amp;". "&amp;Capacity!B29)</f>
        <v/>
      </c>
      <c r="AF15" s="67"/>
      <c r="AI15" s="67">
        <v>32</v>
      </c>
    </row>
    <row r="16" spans="1:35" x14ac:dyDescent="0.25">
      <c r="A16">
        <v>14</v>
      </c>
      <c r="E16" t="s">
        <v>88</v>
      </c>
      <c r="K16" s="317">
        <f t="shared" si="0"/>
        <v>43990</v>
      </c>
      <c r="S16" s="7">
        <f t="shared" si="1"/>
        <v>42559</v>
      </c>
      <c r="V16">
        <v>8</v>
      </c>
      <c r="AE16" s="67" t="str">
        <f>IF(Capacity!B30="","",ROW(A14)&amp;". "&amp;Capacity!B30)</f>
        <v/>
      </c>
      <c r="AF16" s="67"/>
      <c r="AI16" s="67">
        <v>33</v>
      </c>
    </row>
    <row r="17" spans="1:35" x14ac:dyDescent="0.25">
      <c r="A17">
        <v>15</v>
      </c>
      <c r="E17" t="s">
        <v>87</v>
      </c>
      <c r="K17" s="317">
        <f t="shared" si="0"/>
        <v>43997</v>
      </c>
      <c r="S17" s="7">
        <f t="shared" si="1"/>
        <v>42566</v>
      </c>
      <c r="V17">
        <v>8.5</v>
      </c>
      <c r="AE17" s="67" t="str">
        <f>IF(Capacity!B31="","",ROW(A15)&amp;". "&amp;Capacity!B31)</f>
        <v/>
      </c>
      <c r="AF17" s="67"/>
      <c r="AI17" s="67">
        <v>34</v>
      </c>
    </row>
    <row r="18" spans="1:35" x14ac:dyDescent="0.25">
      <c r="A18">
        <v>16</v>
      </c>
      <c r="K18" s="317">
        <f t="shared" si="0"/>
        <v>44004</v>
      </c>
      <c r="S18" s="7">
        <f t="shared" si="1"/>
        <v>42573</v>
      </c>
      <c r="V18">
        <v>9</v>
      </c>
      <c r="AE18" s="67" t="str">
        <f>IF(Capacity!B32="","",ROW(A16)&amp;". "&amp;Capacity!B32)</f>
        <v/>
      </c>
      <c r="AF18" s="67"/>
      <c r="AI18" s="67">
        <v>35</v>
      </c>
    </row>
    <row r="19" spans="1:35" x14ac:dyDescent="0.25">
      <c r="A19">
        <v>17</v>
      </c>
      <c r="E19" t="s">
        <v>402</v>
      </c>
      <c r="K19" s="317">
        <f t="shared" si="0"/>
        <v>44011</v>
      </c>
      <c r="S19" s="7">
        <f t="shared" si="1"/>
        <v>42580</v>
      </c>
      <c r="V19">
        <v>9.5</v>
      </c>
      <c r="AE19" s="67" t="str">
        <f>IF(Capacity!B33="","",ROW(A17)&amp;". "&amp;Capacity!B33)</f>
        <v/>
      </c>
      <c r="AF19" s="67"/>
      <c r="AI19" s="67">
        <v>36</v>
      </c>
    </row>
    <row r="20" spans="1:35" x14ac:dyDescent="0.25">
      <c r="A20">
        <v>18</v>
      </c>
      <c r="E20" t="s">
        <v>401</v>
      </c>
      <c r="K20" s="317">
        <f t="shared" si="0"/>
        <v>44018</v>
      </c>
      <c r="S20" s="7">
        <f t="shared" si="1"/>
        <v>42587</v>
      </c>
      <c r="V20">
        <v>10</v>
      </c>
      <c r="AE20" s="67" t="str">
        <f>IF(Capacity!B34="","",ROW(A18)&amp;". "&amp;Capacity!B34)</f>
        <v/>
      </c>
      <c r="AF20" s="67"/>
      <c r="AI20" s="67">
        <v>37</v>
      </c>
    </row>
    <row r="21" spans="1:35" x14ac:dyDescent="0.25">
      <c r="A21">
        <v>19</v>
      </c>
      <c r="K21" s="317">
        <f t="shared" si="0"/>
        <v>44025</v>
      </c>
      <c r="S21" s="7">
        <f t="shared" si="1"/>
        <v>42594</v>
      </c>
      <c r="V21">
        <v>10.5</v>
      </c>
      <c r="AE21" s="67" t="str">
        <f>IF(Capacity!B35="","",ROW(A19)&amp;". "&amp;Capacity!B35)</f>
        <v/>
      </c>
      <c r="AF21" s="67"/>
      <c r="AI21" s="67">
        <v>38</v>
      </c>
    </row>
    <row r="22" spans="1:35" x14ac:dyDescent="0.25">
      <c r="A22">
        <v>20</v>
      </c>
      <c r="E22" t="s">
        <v>24</v>
      </c>
      <c r="K22" s="317">
        <f t="shared" si="0"/>
        <v>44032</v>
      </c>
      <c r="S22" s="7">
        <f t="shared" si="1"/>
        <v>42601</v>
      </c>
      <c r="V22">
        <v>11</v>
      </c>
      <c r="AE22" s="67" t="str">
        <f>IF(Capacity!B36="","",ROW(A20)&amp;". "&amp;Capacity!B36)</f>
        <v/>
      </c>
      <c r="AF22" s="67"/>
      <c r="AI22" s="67">
        <v>39</v>
      </c>
    </row>
    <row r="23" spans="1:35" x14ac:dyDescent="0.25">
      <c r="A23">
        <v>21</v>
      </c>
      <c r="E23" t="s">
        <v>421</v>
      </c>
      <c r="K23" s="317">
        <f t="shared" si="0"/>
        <v>44039</v>
      </c>
      <c r="S23" s="7">
        <f t="shared" si="1"/>
        <v>42608</v>
      </c>
      <c r="V23">
        <v>11.5</v>
      </c>
      <c r="AE23" s="67" t="str">
        <f>IF(Capacity!B37="","",ROW(A21)&amp;". "&amp;Capacity!B37)</f>
        <v/>
      </c>
      <c r="AF23" s="67"/>
      <c r="AI23" s="67">
        <v>40</v>
      </c>
    </row>
    <row r="24" spans="1:35" x14ac:dyDescent="0.25">
      <c r="A24">
        <v>22</v>
      </c>
      <c r="H24" t="s">
        <v>249</v>
      </c>
      <c r="K24" s="317">
        <f t="shared" si="0"/>
        <v>44046</v>
      </c>
      <c r="S24" s="7">
        <f t="shared" si="1"/>
        <v>42615</v>
      </c>
      <c r="V24">
        <v>12</v>
      </c>
      <c r="AE24" s="67" t="str">
        <f>IF(Capacity!B38="","",ROW(A22)&amp;". "&amp;Capacity!B38)</f>
        <v/>
      </c>
      <c r="AF24" s="67"/>
      <c r="AI24" s="67">
        <v>41</v>
      </c>
    </row>
    <row r="25" spans="1:35" x14ac:dyDescent="0.25">
      <c r="A25">
        <v>23</v>
      </c>
      <c r="E25" t="s">
        <v>480</v>
      </c>
      <c r="H25" t="s">
        <v>1229</v>
      </c>
      <c r="K25" s="317">
        <f t="shared" si="0"/>
        <v>44053</v>
      </c>
      <c r="S25" s="7">
        <f t="shared" si="1"/>
        <v>42622</v>
      </c>
      <c r="AE25" s="67" t="str">
        <f>IF(Capacity!B39="","",ROW(A23)&amp;". "&amp;Capacity!B39)</f>
        <v/>
      </c>
      <c r="AF25" s="67"/>
      <c r="AI25" s="67">
        <v>42</v>
      </c>
    </row>
    <row r="26" spans="1:35" x14ac:dyDescent="0.25">
      <c r="A26">
        <v>24</v>
      </c>
      <c r="E26" t="s">
        <v>481</v>
      </c>
      <c r="K26" s="317">
        <f t="shared" si="0"/>
        <v>44060</v>
      </c>
      <c r="S26" s="7">
        <f t="shared" si="1"/>
        <v>42629</v>
      </c>
      <c r="AE26" s="67" t="str">
        <f>IF(Capacity!B40="","",ROW(A24)&amp;". "&amp;Capacity!B40)</f>
        <v/>
      </c>
      <c r="AF26" s="67"/>
      <c r="AI26" s="67">
        <v>43</v>
      </c>
    </row>
    <row r="27" spans="1:35" x14ac:dyDescent="0.25">
      <c r="A27">
        <v>25</v>
      </c>
      <c r="K27" s="317">
        <f t="shared" si="0"/>
        <v>44067</v>
      </c>
      <c r="S27" s="7">
        <f t="shared" si="1"/>
        <v>42636</v>
      </c>
      <c r="AE27" s="67" t="str">
        <f>IF(Capacity!B41="","",ROW(A25)&amp;". "&amp;Capacity!B41)</f>
        <v/>
      </c>
      <c r="AF27" s="67"/>
      <c r="AI27" s="67">
        <v>44</v>
      </c>
    </row>
    <row r="28" spans="1:35" x14ac:dyDescent="0.25">
      <c r="A28">
        <v>26</v>
      </c>
      <c r="K28" s="317">
        <f t="shared" si="0"/>
        <v>44074</v>
      </c>
      <c r="S28" s="7">
        <f t="shared" si="1"/>
        <v>42643</v>
      </c>
      <c r="AE28" s="67" t="str">
        <f>IF(Capacity!B42="","",ROW(A26)&amp;". "&amp;Capacity!B42)</f>
        <v/>
      </c>
      <c r="AF28" s="67"/>
      <c r="AI28" s="67">
        <v>45</v>
      </c>
    </row>
    <row r="29" spans="1:35" x14ac:dyDescent="0.25">
      <c r="A29">
        <v>27</v>
      </c>
      <c r="C29" t="s">
        <v>194</v>
      </c>
      <c r="E29" t="s">
        <v>482</v>
      </c>
      <c r="K29" s="317">
        <f t="shared" si="0"/>
        <v>44081</v>
      </c>
      <c r="S29" s="7">
        <f t="shared" si="1"/>
        <v>42650</v>
      </c>
      <c r="AE29" s="67" t="str">
        <f>IF(Capacity!B43="","",ROW(A27)&amp;". "&amp;Capacity!B43)</f>
        <v/>
      </c>
      <c r="AF29" s="67"/>
      <c r="AI29" s="67">
        <v>46</v>
      </c>
    </row>
    <row r="30" spans="1:35" x14ac:dyDescent="0.25">
      <c r="A30">
        <v>28</v>
      </c>
      <c r="C30" t="s">
        <v>192</v>
      </c>
      <c r="K30" s="317">
        <f t="shared" si="0"/>
        <v>44088</v>
      </c>
      <c r="S30" s="7">
        <f t="shared" si="1"/>
        <v>42657</v>
      </c>
      <c r="AE30" s="67" t="str">
        <f>IF(Capacity!B44="","",ROW(A28)&amp;". "&amp;Capacity!B44)</f>
        <v/>
      </c>
      <c r="AF30" s="67"/>
      <c r="AI30" s="67">
        <v>47</v>
      </c>
    </row>
    <row r="31" spans="1:35" x14ac:dyDescent="0.25">
      <c r="A31">
        <v>29</v>
      </c>
      <c r="C31" t="s">
        <v>193</v>
      </c>
      <c r="K31" s="317">
        <f t="shared" si="0"/>
        <v>44095</v>
      </c>
      <c r="S31" s="7">
        <f t="shared" si="1"/>
        <v>42664</v>
      </c>
      <c r="AE31" s="67" t="str">
        <f>IF(Capacity!B45="","",ROW(A29)&amp;". "&amp;Capacity!B45)</f>
        <v/>
      </c>
      <c r="AF31" s="67"/>
      <c r="AI31" s="67">
        <v>48</v>
      </c>
    </row>
    <row r="32" spans="1:35" x14ac:dyDescent="0.25">
      <c r="A32">
        <v>30</v>
      </c>
      <c r="K32" s="317">
        <f t="shared" si="0"/>
        <v>44102</v>
      </c>
      <c r="S32" s="7">
        <f t="shared" si="1"/>
        <v>42671</v>
      </c>
      <c r="AE32" s="67" t="str">
        <f>IF(Capacity!B46="","",ROW(A30)&amp;". "&amp;Capacity!B46)</f>
        <v/>
      </c>
      <c r="AF32" s="67"/>
      <c r="AI32" s="67">
        <v>49</v>
      </c>
    </row>
    <row r="33" spans="1:35" x14ac:dyDescent="0.25">
      <c r="A33">
        <v>31</v>
      </c>
      <c r="K33" s="317">
        <f t="shared" si="0"/>
        <v>44109</v>
      </c>
      <c r="S33" s="7">
        <f t="shared" si="1"/>
        <v>42678</v>
      </c>
      <c r="AE33" s="67" t="str">
        <f>IF(Capacity!B47="","",ROW(A31)&amp;". "&amp;Capacity!B47)</f>
        <v/>
      </c>
      <c r="AF33" s="67"/>
      <c r="AI33" s="67">
        <v>50</v>
      </c>
    </row>
    <row r="34" spans="1:35" x14ac:dyDescent="0.25">
      <c r="A34">
        <v>32</v>
      </c>
      <c r="C34" t="s">
        <v>24</v>
      </c>
      <c r="K34" s="317">
        <f t="shared" si="0"/>
        <v>44116</v>
      </c>
      <c r="S34" s="7">
        <f t="shared" si="1"/>
        <v>42685</v>
      </c>
      <c r="AE34" s="67" t="str">
        <f>IF(Capacity!B48="","",ROW(A32)&amp;". "&amp;Capacity!B48)</f>
        <v/>
      </c>
      <c r="AF34" s="67"/>
      <c r="AI34" s="67">
        <v>51</v>
      </c>
    </row>
    <row r="35" spans="1:35" x14ac:dyDescent="0.25">
      <c r="A35">
        <v>33</v>
      </c>
      <c r="C35" t="s">
        <v>102</v>
      </c>
      <c r="K35" s="317">
        <f t="shared" si="0"/>
        <v>44123</v>
      </c>
      <c r="S35" s="7">
        <f t="shared" si="1"/>
        <v>42692</v>
      </c>
      <c r="AE35" s="67" t="str">
        <f>IF(Capacity!B49="","",ROW(A33)&amp;". "&amp;Capacity!B49)</f>
        <v/>
      </c>
      <c r="AF35" s="67"/>
      <c r="AI35" s="67">
        <v>52</v>
      </c>
    </row>
    <row r="36" spans="1:35" x14ac:dyDescent="0.25">
      <c r="A36">
        <v>34</v>
      </c>
      <c r="K36" s="317">
        <f t="shared" si="0"/>
        <v>44130</v>
      </c>
      <c r="S36" s="7">
        <f t="shared" si="1"/>
        <v>42699</v>
      </c>
      <c r="AE36" s="67" t="str">
        <f>IF(Capacity!B50="","",ROW(A34)&amp;". "&amp;Capacity!B50)</f>
        <v/>
      </c>
      <c r="AF36" s="67"/>
    </row>
    <row r="37" spans="1:35" x14ac:dyDescent="0.25">
      <c r="A37">
        <v>35</v>
      </c>
      <c r="K37" s="317">
        <f t="shared" si="0"/>
        <v>44137</v>
      </c>
      <c r="S37" s="7">
        <f t="shared" si="1"/>
        <v>42706</v>
      </c>
      <c r="AE37" s="67" t="str">
        <f>IF(Capacity!B51="","",ROW(A35)&amp;". "&amp;Capacity!B51)</f>
        <v/>
      </c>
      <c r="AF37" s="67"/>
    </row>
    <row r="38" spans="1:35" x14ac:dyDescent="0.25">
      <c r="A38">
        <v>36</v>
      </c>
      <c r="K38" s="317">
        <f t="shared" si="0"/>
        <v>44144</v>
      </c>
      <c r="S38" s="7">
        <f t="shared" si="1"/>
        <v>42713</v>
      </c>
      <c r="AE38" s="67" t="str">
        <f>IF(Capacity!B52="","",ROW(A36)&amp;". "&amp;Capacity!B52)</f>
        <v/>
      </c>
      <c r="AF38" s="67"/>
    </row>
    <row r="39" spans="1:35" x14ac:dyDescent="0.25">
      <c r="A39">
        <v>37</v>
      </c>
      <c r="K39" s="317">
        <f t="shared" si="0"/>
        <v>44151</v>
      </c>
      <c r="S39" s="7">
        <f t="shared" si="1"/>
        <v>42720</v>
      </c>
      <c r="AE39" s="67" t="str">
        <f>IF(Capacity!B53="","",ROW(A37)&amp;". "&amp;Capacity!B53)</f>
        <v/>
      </c>
      <c r="AF39" s="67"/>
    </row>
    <row r="40" spans="1:35" x14ac:dyDescent="0.25">
      <c r="A40">
        <v>38</v>
      </c>
      <c r="K40" s="317">
        <f t="shared" si="0"/>
        <v>44158</v>
      </c>
      <c r="S40" s="7">
        <f t="shared" si="1"/>
        <v>42727</v>
      </c>
      <c r="AE40" s="67" t="str">
        <f>IF(Capacity!B54="","",ROW(A38)&amp;". "&amp;Capacity!B54)</f>
        <v/>
      </c>
      <c r="AF40" s="67"/>
    </row>
    <row r="41" spans="1:35" x14ac:dyDescent="0.25">
      <c r="A41">
        <v>39</v>
      </c>
      <c r="K41" s="317">
        <f t="shared" si="0"/>
        <v>44165</v>
      </c>
      <c r="S41" s="7">
        <f t="shared" si="1"/>
        <v>42734</v>
      </c>
      <c r="AE41" s="67" t="str">
        <f>IF(Capacity!B55="","",ROW(A39)&amp;". "&amp;Capacity!B55)</f>
        <v/>
      </c>
      <c r="AF41" s="67"/>
    </row>
    <row r="42" spans="1:35" x14ac:dyDescent="0.25">
      <c r="A42">
        <v>40</v>
      </c>
      <c r="K42" s="317">
        <f t="shared" si="0"/>
        <v>44172</v>
      </c>
      <c r="S42" s="7">
        <f t="shared" si="1"/>
        <v>42741</v>
      </c>
      <c r="AE42" s="67" t="str">
        <f>IF(Capacity!B56="","",ROW(A40)&amp;". "&amp;Capacity!B56)</f>
        <v/>
      </c>
      <c r="AF42" s="67"/>
    </row>
    <row r="43" spans="1:35" x14ac:dyDescent="0.25">
      <c r="A43">
        <v>41</v>
      </c>
      <c r="K43" s="317">
        <f t="shared" si="0"/>
        <v>44179</v>
      </c>
      <c r="S43" s="7">
        <f t="shared" si="1"/>
        <v>42748</v>
      </c>
      <c r="AE43" s="67" t="str">
        <f>IF(Capacity!B57="","",ROW(A41)&amp;". "&amp;Capacity!B57)</f>
        <v/>
      </c>
      <c r="AF43" s="67"/>
    </row>
    <row r="44" spans="1:35" x14ac:dyDescent="0.25">
      <c r="A44">
        <v>42</v>
      </c>
      <c r="K44" s="317">
        <f t="shared" si="0"/>
        <v>44186</v>
      </c>
      <c r="S44" s="7">
        <f t="shared" si="1"/>
        <v>42755</v>
      </c>
      <c r="AE44" s="67" t="str">
        <f>IF(Capacity!B58="","",ROW(A42)&amp;". "&amp;Capacity!B58)</f>
        <v/>
      </c>
      <c r="AF44" s="67"/>
    </row>
    <row r="45" spans="1:35" x14ac:dyDescent="0.25">
      <c r="A45">
        <v>43</v>
      </c>
      <c r="K45" s="317">
        <f t="shared" si="0"/>
        <v>44193</v>
      </c>
      <c r="S45" s="7">
        <f t="shared" si="1"/>
        <v>42762</v>
      </c>
      <c r="AE45" s="67" t="str">
        <f>IF(Capacity!B59="","",ROW(A43)&amp;". "&amp;Capacity!B59)</f>
        <v/>
      </c>
      <c r="AF45" s="67"/>
    </row>
    <row r="46" spans="1:35" x14ac:dyDescent="0.25">
      <c r="A46">
        <v>44</v>
      </c>
      <c r="K46" s="317">
        <f t="shared" si="0"/>
        <v>44200</v>
      </c>
      <c r="S46" s="7">
        <f t="shared" si="1"/>
        <v>42769</v>
      </c>
      <c r="AE46" s="67" t="str">
        <f>IF(Capacity!B60="","",ROW(A44)&amp;". "&amp;Capacity!B60)</f>
        <v/>
      </c>
      <c r="AF46" s="67"/>
    </row>
    <row r="47" spans="1:35" x14ac:dyDescent="0.25">
      <c r="A47">
        <v>45</v>
      </c>
      <c r="K47" s="317">
        <f t="shared" si="0"/>
        <v>44207</v>
      </c>
      <c r="S47" s="7">
        <f t="shared" si="1"/>
        <v>42776</v>
      </c>
      <c r="AE47" s="67" t="str">
        <f>IF(Capacity!B61="","",ROW(A45)&amp;". "&amp;Capacity!B61)</f>
        <v/>
      </c>
      <c r="AF47" s="67"/>
    </row>
    <row r="48" spans="1:35" x14ac:dyDescent="0.25">
      <c r="A48">
        <v>46</v>
      </c>
      <c r="K48" s="317">
        <f t="shared" si="0"/>
        <v>44214</v>
      </c>
      <c r="S48" s="7">
        <f t="shared" si="1"/>
        <v>42783</v>
      </c>
      <c r="AE48" s="67" t="str">
        <f>IF(Capacity!B62="","",ROW(A46)&amp;". "&amp;Capacity!B62)</f>
        <v/>
      </c>
      <c r="AF48" s="67"/>
    </row>
    <row r="49" spans="1:32" x14ac:dyDescent="0.25">
      <c r="A49">
        <v>47</v>
      </c>
      <c r="K49" s="317">
        <f t="shared" si="0"/>
        <v>44221</v>
      </c>
      <c r="S49" s="7">
        <f t="shared" si="1"/>
        <v>42790</v>
      </c>
      <c r="AE49" s="67" t="str">
        <f>IF(Capacity!B63="","",ROW(A47)&amp;". "&amp;Capacity!B63)</f>
        <v/>
      </c>
      <c r="AF49" s="67"/>
    </row>
    <row r="50" spans="1:32" x14ac:dyDescent="0.25">
      <c r="A50">
        <v>48</v>
      </c>
      <c r="K50" s="317">
        <f t="shared" si="0"/>
        <v>44228</v>
      </c>
      <c r="S50" s="7">
        <f t="shared" si="1"/>
        <v>42797</v>
      </c>
      <c r="AE50" s="67" t="str">
        <f>IF(Capacity!B64="","",ROW(A48)&amp;". "&amp;Capacity!B64)</f>
        <v/>
      </c>
      <c r="AF50" s="67"/>
    </row>
    <row r="51" spans="1:32" x14ac:dyDescent="0.25">
      <c r="A51">
        <v>49</v>
      </c>
      <c r="K51" s="317">
        <f t="shared" si="0"/>
        <v>44235</v>
      </c>
      <c r="S51" s="7">
        <f t="shared" si="1"/>
        <v>42804</v>
      </c>
      <c r="AE51" s="67" t="str">
        <f>IF(Capacity!B65="","",ROW(A49)&amp;". "&amp;Capacity!B65)</f>
        <v/>
      </c>
      <c r="AF51" s="67"/>
    </row>
    <row r="52" spans="1:32" x14ac:dyDescent="0.25">
      <c r="A52">
        <v>50</v>
      </c>
      <c r="K52" s="317">
        <f t="shared" si="0"/>
        <v>44242</v>
      </c>
      <c r="S52" s="7">
        <f t="shared" si="1"/>
        <v>42811</v>
      </c>
      <c r="AE52" s="67" t="str">
        <f>IF(Capacity!B66="","",ROW(A50)&amp;". "&amp;Capacity!B66)</f>
        <v/>
      </c>
      <c r="AF52" s="67"/>
    </row>
    <row r="53" spans="1:32" x14ac:dyDescent="0.25">
      <c r="A53">
        <v>51</v>
      </c>
      <c r="K53" s="317">
        <f t="shared" si="0"/>
        <v>44249</v>
      </c>
      <c r="S53" s="7">
        <f t="shared" si="1"/>
        <v>42818</v>
      </c>
      <c r="AE53" s="67" t="str">
        <f>IF(Capacity!B67="","",ROW(A51)&amp;". "&amp;Capacity!B67)</f>
        <v/>
      </c>
      <c r="AF53" s="67"/>
    </row>
    <row r="54" spans="1:32" x14ac:dyDescent="0.25">
      <c r="A54">
        <v>52</v>
      </c>
      <c r="K54" s="317">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1"/>
    </row>
    <row r="6" spans="2:17" s="1" customFormat="1" x14ac:dyDescent="0.25">
      <c r="B6" s="318"/>
    </row>
    <row r="7" spans="2:17" s="1" customFormat="1" x14ac:dyDescent="0.25">
      <c r="B7" s="322"/>
    </row>
    <row r="8" spans="2:17" s="1" customFormat="1" x14ac:dyDescent="0.25">
      <c r="B8" s="318"/>
    </row>
    <row r="9" spans="2:17" s="1" customFormat="1" x14ac:dyDescent="0.25">
      <c r="B9" s="318"/>
    </row>
    <row r="10" spans="2:17" s="1" customFormat="1" x14ac:dyDescent="0.25">
      <c r="B10" s="322"/>
    </row>
    <row r="11" spans="2:17" s="1" customFormat="1" x14ac:dyDescent="0.25">
      <c r="B11" s="318"/>
    </row>
    <row r="12" spans="2:17" s="1" customFormat="1" x14ac:dyDescent="0.25">
      <c r="B12" s="318"/>
    </row>
    <row r="13" spans="2:17" s="1" customFormat="1" x14ac:dyDescent="0.25">
      <c r="B13" s="322"/>
    </row>
    <row r="14" spans="2:17" s="1" customFormat="1" x14ac:dyDescent="0.25">
      <c r="B14" s="318"/>
    </row>
    <row r="15" spans="2:17" s="1" customFormat="1" x14ac:dyDescent="0.25">
      <c r="B15" s="318"/>
    </row>
    <row r="16" spans="2:17" s="1" customFormat="1" x14ac:dyDescent="0.25">
      <c r="B16" s="318"/>
    </row>
    <row r="17" spans="2:2" s="1" customFormat="1" x14ac:dyDescent="0.25">
      <c r="B17" s="318"/>
    </row>
    <row r="18" spans="2:2" s="1" customFormat="1" x14ac:dyDescent="0.25">
      <c r="B18" s="318"/>
    </row>
    <row r="19" spans="2:2" s="1" customFormat="1" x14ac:dyDescent="0.25">
      <c r="B19" s="318"/>
    </row>
    <row r="20" spans="2:2" s="1" customFormat="1" x14ac:dyDescent="0.25">
      <c r="B20" s="318"/>
    </row>
    <row r="21" spans="2:2" s="1" customFormat="1" x14ac:dyDescent="0.25">
      <c r="B21" s="318"/>
    </row>
    <row r="22" spans="2:2" s="1" customFormat="1" x14ac:dyDescent="0.25">
      <c r="B22" s="318"/>
    </row>
    <row r="23" spans="2:2" s="1" customFormat="1" x14ac:dyDescent="0.25">
      <c r="B23" s="318"/>
    </row>
    <row r="24" spans="2:2" s="1" customFormat="1" x14ac:dyDescent="0.25">
      <c r="B24" s="318"/>
    </row>
    <row r="25" spans="2:2" s="1" customFormat="1" x14ac:dyDescent="0.25">
      <c r="B25" s="318"/>
    </row>
    <row r="26" spans="2:2" s="1" customFormat="1" x14ac:dyDescent="0.25">
      <c r="B26" s="318"/>
    </row>
    <row r="27" spans="2:2" s="1" customFormat="1" x14ac:dyDescent="0.25">
      <c r="B27" s="318"/>
    </row>
    <row r="28" spans="2:2" s="1" customFormat="1" x14ac:dyDescent="0.25">
      <c r="B28" s="318"/>
    </row>
    <row r="29" spans="2:2" s="1" customFormat="1" x14ac:dyDescent="0.25">
      <c r="B29" s="318"/>
    </row>
    <row r="30" spans="2:2" s="1" customFormat="1" x14ac:dyDescent="0.25">
      <c r="B30" s="318"/>
    </row>
    <row r="31" spans="2:2" s="1" customFormat="1" x14ac:dyDescent="0.25">
      <c r="B31" s="318"/>
    </row>
    <row r="32" spans="2:2" s="1" customFormat="1" x14ac:dyDescent="0.25">
      <c r="B32" s="318"/>
    </row>
    <row r="33" spans="2:17" s="1" customFormat="1" x14ac:dyDescent="0.25">
      <c r="B33" s="318"/>
    </row>
    <row r="34" spans="2:17" s="1" customFormat="1" x14ac:dyDescent="0.25">
      <c r="B34" s="318"/>
    </row>
    <row r="35" spans="2:17" s="1" customFormat="1" x14ac:dyDescent="0.25">
      <c r="B35" s="318"/>
    </row>
    <row r="36" spans="2:17" s="1" customFormat="1" x14ac:dyDescent="0.25">
      <c r="B36" s="318"/>
    </row>
    <row r="37" spans="2:17" s="1" customFormat="1" x14ac:dyDescent="0.25">
      <c r="B37" s="318"/>
    </row>
    <row r="38" spans="2:17" s="1" customFormat="1" x14ac:dyDescent="0.25">
      <c r="B38" s="318"/>
    </row>
    <row r="39" spans="2:17" s="1" customFormat="1" x14ac:dyDescent="0.25">
      <c r="B39" s="318"/>
    </row>
    <row r="40" spans="2:17" s="1" customFormat="1" x14ac:dyDescent="0.25">
      <c r="B40" s="318"/>
    </row>
    <row r="41" spans="2:17" s="1" customFormat="1" x14ac:dyDescent="0.25">
      <c r="B41" s="318"/>
    </row>
    <row r="42" spans="2:17" s="1" customFormat="1" x14ac:dyDescent="0.25">
      <c r="B42" s="318"/>
    </row>
    <row r="43" spans="2:17" s="1" customFormat="1" x14ac:dyDescent="0.25">
      <c r="B43" s="318"/>
    </row>
    <row r="44" spans="2:17" x14ac:dyDescent="0.25">
      <c r="B44" s="318"/>
      <c r="C44" s="67"/>
      <c r="D44" s="67"/>
      <c r="E44" s="67"/>
      <c r="F44" s="67"/>
      <c r="G44" s="67"/>
      <c r="H44" s="67"/>
      <c r="I44" s="67"/>
      <c r="J44" s="67"/>
      <c r="K44" s="67"/>
      <c r="L44" s="67"/>
      <c r="M44" s="67"/>
      <c r="N44" s="67"/>
      <c r="O44" s="67"/>
      <c r="P44" s="67"/>
      <c r="Q44" s="67"/>
    </row>
    <row r="45" spans="2:17" x14ac:dyDescent="0.25">
      <c r="B45" s="318"/>
    </row>
    <row r="46" spans="2:17" x14ac:dyDescent="0.25">
      <c r="B46" s="318"/>
    </row>
    <row r="47" spans="2:17" x14ac:dyDescent="0.25">
      <c r="B47" s="318"/>
    </row>
    <row r="48" spans="2:17" x14ac:dyDescent="0.25">
      <c r="B48" s="318"/>
    </row>
    <row r="49" spans="2:2" x14ac:dyDescent="0.25">
      <c r="B49" s="318"/>
    </row>
    <row r="50" spans="2:2" x14ac:dyDescent="0.25">
      <c r="B50" s="318"/>
    </row>
    <row r="51" spans="2:2" x14ac:dyDescent="0.25">
      <c r="B51" s="318"/>
    </row>
    <row r="52" spans="2:2" x14ac:dyDescent="0.25">
      <c r="B52" s="318"/>
    </row>
    <row r="53" spans="2:2" x14ac:dyDescent="0.25">
      <c r="B53" s="318"/>
    </row>
    <row r="54" spans="2:2" x14ac:dyDescent="0.25">
      <c r="B54" s="318"/>
    </row>
    <row r="55" spans="2:2" x14ac:dyDescent="0.25">
      <c r="B55" s="318"/>
    </row>
    <row r="56" spans="2:2" x14ac:dyDescent="0.25">
      <c r="B56" s="318"/>
    </row>
    <row r="57" spans="2:2" x14ac:dyDescent="0.25">
      <c r="B57" s="316"/>
    </row>
    <row r="58" spans="2:2" x14ac:dyDescent="0.25">
      <c r="B58" s="316"/>
    </row>
    <row r="59" spans="2:2" x14ac:dyDescent="0.25">
      <c r="B59" s="316"/>
    </row>
    <row r="60" spans="2:2" x14ac:dyDescent="0.25">
      <c r="B60" s="316"/>
    </row>
    <row r="61" spans="2:2" x14ac:dyDescent="0.25">
      <c r="B61" s="316"/>
    </row>
    <row r="62" spans="2:2" x14ac:dyDescent="0.25">
      <c r="B62" s="316"/>
    </row>
    <row r="63" spans="2:2" x14ac:dyDescent="0.25">
      <c r="B63" s="316"/>
    </row>
    <row r="64" spans="2:2" x14ac:dyDescent="0.25">
      <c r="B64" s="316"/>
    </row>
    <row r="65" spans="2:2" x14ac:dyDescent="0.25">
      <c r="B65" s="316"/>
    </row>
    <row r="66" spans="2:2" x14ac:dyDescent="0.25">
      <c r="B66" s="316"/>
    </row>
    <row r="67" spans="2:2" x14ac:dyDescent="0.25">
      <c r="B67" s="316"/>
    </row>
    <row r="68" spans="2:2" x14ac:dyDescent="0.25">
      <c r="B68" s="316"/>
    </row>
    <row r="69" spans="2:2" x14ac:dyDescent="0.25">
      <c r="B69" s="316"/>
    </row>
    <row r="70" spans="2:2" x14ac:dyDescent="0.25">
      <c r="B70" s="316"/>
    </row>
    <row r="71" spans="2:2" x14ac:dyDescent="0.25">
      <c r="B71" s="316"/>
    </row>
    <row r="72" spans="2:2" x14ac:dyDescent="0.25">
      <c r="B72" s="316"/>
    </row>
    <row r="73" spans="2:2" x14ac:dyDescent="0.25">
      <c r="B73" s="316"/>
    </row>
    <row r="74" spans="2:2" x14ac:dyDescent="0.25">
      <c r="B74" s="316"/>
    </row>
    <row r="75" spans="2:2" x14ac:dyDescent="0.25">
      <c r="B75" s="316"/>
    </row>
    <row r="76" spans="2:2" x14ac:dyDescent="0.25">
      <c r="B76" s="316"/>
    </row>
    <row r="77" spans="2:2" x14ac:dyDescent="0.25">
      <c r="B77" s="316"/>
    </row>
    <row r="78" spans="2:2" x14ac:dyDescent="0.25">
      <c r="B78" s="316"/>
    </row>
    <row r="79" spans="2:2" x14ac:dyDescent="0.25">
      <c r="B79" s="316"/>
    </row>
    <row r="80" spans="2:2" x14ac:dyDescent="0.25">
      <c r="B80" s="316"/>
    </row>
    <row r="81" spans="2:2" x14ac:dyDescent="0.25">
      <c r="B81" s="316"/>
    </row>
    <row r="82" spans="2:2" x14ac:dyDescent="0.25">
      <c r="B82" s="316"/>
    </row>
    <row r="83" spans="2:2" x14ac:dyDescent="0.25">
      <c r="B83" s="316"/>
    </row>
    <row r="84" spans="2:2" x14ac:dyDescent="0.25">
      <c r="B84" s="316"/>
    </row>
    <row r="85" spans="2:2" x14ac:dyDescent="0.25">
      <c r="B85" s="316"/>
    </row>
    <row r="86" spans="2:2" x14ac:dyDescent="0.25">
      <c r="B86" s="316"/>
    </row>
    <row r="87" spans="2:2" x14ac:dyDescent="0.25">
      <c r="B87" s="316"/>
    </row>
    <row r="88" spans="2:2" x14ac:dyDescent="0.25">
      <c r="B88" s="316"/>
    </row>
    <row r="89" spans="2:2" x14ac:dyDescent="0.25">
      <c r="B89" s="316"/>
    </row>
    <row r="90" spans="2:2" x14ac:dyDescent="0.25">
      <c r="B90" s="316"/>
    </row>
    <row r="91" spans="2:2" x14ac:dyDescent="0.25">
      <c r="B91" s="316"/>
    </row>
    <row r="92" spans="2:2" x14ac:dyDescent="0.25">
      <c r="B92" s="316"/>
    </row>
    <row r="93" spans="2:2" x14ac:dyDescent="0.25">
      <c r="B93" s="316"/>
    </row>
    <row r="94" spans="2:2" x14ac:dyDescent="0.25">
      <c r="B94" s="316"/>
    </row>
    <row r="95" spans="2:2" x14ac:dyDescent="0.25">
      <c r="B95" s="316"/>
    </row>
    <row r="96" spans="2:2" x14ac:dyDescent="0.25">
      <c r="B96" s="316"/>
    </row>
    <row r="97" spans="2:2" x14ac:dyDescent="0.25">
      <c r="B97" s="316"/>
    </row>
    <row r="98" spans="2:2" x14ac:dyDescent="0.25">
      <c r="B98" s="316"/>
    </row>
    <row r="99" spans="2:2" x14ac:dyDescent="0.25">
      <c r="B99" s="316"/>
    </row>
    <row r="100" spans="2:2" x14ac:dyDescent="0.25">
      <c r="B100" s="316"/>
    </row>
    <row r="101" spans="2:2" x14ac:dyDescent="0.25">
      <c r="B101" s="316"/>
    </row>
    <row r="102" spans="2:2" x14ac:dyDescent="0.25">
      <c r="B102" s="316"/>
    </row>
    <row r="103" spans="2:2" x14ac:dyDescent="0.25">
      <c r="B103" s="316"/>
    </row>
    <row r="104" spans="2:2" x14ac:dyDescent="0.25">
      <c r="B104" s="316"/>
    </row>
    <row r="105" spans="2:2" x14ac:dyDescent="0.25">
      <c r="B105" s="316"/>
    </row>
    <row r="106" spans="2:2" x14ac:dyDescent="0.25">
      <c r="B106" s="316"/>
    </row>
    <row r="107" spans="2:2" x14ac:dyDescent="0.25">
      <c r="B107" s="316"/>
    </row>
    <row r="108" spans="2:2" x14ac:dyDescent="0.25">
      <c r="B108" s="316"/>
    </row>
    <row r="109" spans="2:2" x14ac:dyDescent="0.25">
      <c r="B109" s="319"/>
    </row>
    <row r="110" spans="2:2" x14ac:dyDescent="0.25">
      <c r="B110" s="319"/>
    </row>
    <row r="111" spans="2:2" x14ac:dyDescent="0.25">
      <c r="B111" s="319"/>
    </row>
    <row r="112" spans="2:2" x14ac:dyDescent="0.25">
      <c r="B112" s="319"/>
    </row>
    <row r="113" spans="2:2" x14ac:dyDescent="0.25">
      <c r="B113" s="319"/>
    </row>
    <row r="114" spans="2:2" x14ac:dyDescent="0.25">
      <c r="B114" s="319"/>
    </row>
    <row r="115" spans="2:2" x14ac:dyDescent="0.25">
      <c r="B115" s="319"/>
    </row>
    <row r="116" spans="2:2" x14ac:dyDescent="0.25">
      <c r="B116" s="319"/>
    </row>
    <row r="117" spans="2:2" x14ac:dyDescent="0.25">
      <c r="B117" s="319"/>
    </row>
    <row r="118" spans="2:2" x14ac:dyDescent="0.25">
      <c r="B118" s="319"/>
    </row>
    <row r="119" spans="2:2" x14ac:dyDescent="0.25">
      <c r="B119" s="319"/>
    </row>
    <row r="120" spans="2:2" x14ac:dyDescent="0.25">
      <c r="B120" s="319"/>
    </row>
    <row r="121" spans="2:2" x14ac:dyDescent="0.25">
      <c r="B121" s="319"/>
    </row>
    <row r="122" spans="2:2" x14ac:dyDescent="0.25">
      <c r="B122" s="319"/>
    </row>
    <row r="123" spans="2:2" x14ac:dyDescent="0.25">
      <c r="B123" s="319"/>
    </row>
    <row r="124" spans="2:2" x14ac:dyDescent="0.25">
      <c r="B124" s="319"/>
    </row>
    <row r="125" spans="2:2" x14ac:dyDescent="0.25">
      <c r="B125" s="319"/>
    </row>
    <row r="126" spans="2:2" x14ac:dyDescent="0.25">
      <c r="B126" s="319"/>
    </row>
    <row r="127" spans="2:2" x14ac:dyDescent="0.25">
      <c r="B127" s="319"/>
    </row>
    <row r="128" spans="2:2" x14ac:dyDescent="0.25">
      <c r="B128" s="319"/>
    </row>
    <row r="129" spans="2:2" x14ac:dyDescent="0.25">
      <c r="B129" s="319"/>
    </row>
    <row r="130" spans="2:2" x14ac:dyDescent="0.25">
      <c r="B130" s="319"/>
    </row>
    <row r="131" spans="2:2" x14ac:dyDescent="0.25">
      <c r="B131" s="319"/>
    </row>
    <row r="132" spans="2:2" x14ac:dyDescent="0.25">
      <c r="B132" s="319"/>
    </row>
    <row r="133" spans="2:2" x14ac:dyDescent="0.25">
      <c r="B133" s="319"/>
    </row>
    <row r="134" spans="2:2" x14ac:dyDescent="0.25">
      <c r="B134" s="319"/>
    </row>
    <row r="135" spans="2:2" x14ac:dyDescent="0.25">
      <c r="B135" s="319"/>
    </row>
    <row r="136" spans="2:2" x14ac:dyDescent="0.25">
      <c r="B136" s="319"/>
    </row>
    <row r="137" spans="2:2" x14ac:dyDescent="0.25">
      <c r="B137" s="319"/>
    </row>
    <row r="138" spans="2:2" x14ac:dyDescent="0.25">
      <c r="B138" s="319"/>
    </row>
    <row r="139" spans="2:2" x14ac:dyDescent="0.25">
      <c r="B139" s="319"/>
    </row>
    <row r="140" spans="2:2" x14ac:dyDescent="0.25">
      <c r="B140" s="319"/>
    </row>
    <row r="141" spans="2:2" x14ac:dyDescent="0.25">
      <c r="B141" s="319"/>
    </row>
    <row r="142" spans="2:2" x14ac:dyDescent="0.25">
      <c r="B142" s="319"/>
    </row>
    <row r="143" spans="2:2" x14ac:dyDescent="0.25">
      <c r="B143" s="319"/>
    </row>
    <row r="144" spans="2:2" x14ac:dyDescent="0.25">
      <c r="B144" s="319"/>
    </row>
    <row r="145" spans="2:2" x14ac:dyDescent="0.25">
      <c r="B145" s="319"/>
    </row>
    <row r="146" spans="2:2" x14ac:dyDescent="0.25">
      <c r="B146" s="319"/>
    </row>
    <row r="147" spans="2:2" x14ac:dyDescent="0.25">
      <c r="B147" s="319"/>
    </row>
    <row r="148" spans="2:2" x14ac:dyDescent="0.25">
      <c r="B148" s="319"/>
    </row>
    <row r="149" spans="2:2" x14ac:dyDescent="0.25">
      <c r="B149" s="319"/>
    </row>
    <row r="150" spans="2:2" x14ac:dyDescent="0.25">
      <c r="B150" s="319"/>
    </row>
    <row r="151" spans="2:2" x14ac:dyDescent="0.25">
      <c r="B151" s="319"/>
    </row>
    <row r="152" spans="2:2" x14ac:dyDescent="0.25">
      <c r="B152" s="319"/>
    </row>
    <row r="153" spans="2:2" x14ac:dyDescent="0.25">
      <c r="B153" s="319"/>
    </row>
    <row r="154" spans="2:2" x14ac:dyDescent="0.25">
      <c r="B154" s="319"/>
    </row>
    <row r="155" spans="2:2" x14ac:dyDescent="0.25">
      <c r="B155" s="319"/>
    </row>
    <row r="156" spans="2:2" x14ac:dyDescent="0.25">
      <c r="B156" s="319"/>
    </row>
    <row r="157" spans="2:2" x14ac:dyDescent="0.25">
      <c r="B157" s="319"/>
    </row>
    <row r="158" spans="2:2" x14ac:dyDescent="0.25">
      <c r="B158" s="319"/>
    </row>
    <row r="159" spans="2:2" x14ac:dyDescent="0.25">
      <c r="B159" s="319"/>
    </row>
    <row r="160" spans="2:2" x14ac:dyDescent="0.25">
      <c r="B160" s="319"/>
    </row>
    <row r="161" spans="2:2" x14ac:dyDescent="0.25">
      <c r="B161" s="319"/>
    </row>
    <row r="162" spans="2:2" x14ac:dyDescent="0.25">
      <c r="B162" s="319"/>
    </row>
    <row r="163" spans="2:2" x14ac:dyDescent="0.25">
      <c r="B163" s="319"/>
    </row>
    <row r="164" spans="2:2" x14ac:dyDescent="0.25">
      <c r="B164" s="319"/>
    </row>
    <row r="165" spans="2:2" x14ac:dyDescent="0.25">
      <c r="B165" s="319"/>
    </row>
    <row r="166" spans="2:2" x14ac:dyDescent="0.25">
      <c r="B166" s="319"/>
    </row>
    <row r="167" spans="2:2" x14ac:dyDescent="0.25">
      <c r="B167" s="319"/>
    </row>
    <row r="168" spans="2:2" x14ac:dyDescent="0.25">
      <c r="B168" s="319"/>
    </row>
    <row r="169" spans="2:2" x14ac:dyDescent="0.25">
      <c r="B169" s="319"/>
    </row>
    <row r="170" spans="2:2" x14ac:dyDescent="0.25">
      <c r="B170" s="319"/>
    </row>
    <row r="171" spans="2:2" x14ac:dyDescent="0.25">
      <c r="B171" s="319"/>
    </row>
    <row r="172" spans="2:2" x14ac:dyDescent="0.25">
      <c r="B172" s="319"/>
    </row>
    <row r="173" spans="2:2" x14ac:dyDescent="0.25">
      <c r="B173" s="319"/>
    </row>
    <row r="174" spans="2:2" x14ac:dyDescent="0.25">
      <c r="B174" s="319"/>
    </row>
    <row r="175" spans="2:2" x14ac:dyDescent="0.25">
      <c r="B175" s="319"/>
    </row>
    <row r="176" spans="2:2" x14ac:dyDescent="0.25">
      <c r="B176" s="319"/>
    </row>
    <row r="177" spans="2:2" x14ac:dyDescent="0.25">
      <c r="B177" s="319"/>
    </row>
    <row r="178" spans="2:2" x14ac:dyDescent="0.25">
      <c r="B178" s="319"/>
    </row>
    <row r="179" spans="2:2" x14ac:dyDescent="0.25">
      <c r="B179" s="319"/>
    </row>
    <row r="180" spans="2:2" x14ac:dyDescent="0.25">
      <c r="B180" s="319"/>
    </row>
    <row r="181" spans="2:2" x14ac:dyDescent="0.25">
      <c r="B181" s="319"/>
    </row>
    <row r="182" spans="2:2" x14ac:dyDescent="0.25">
      <c r="B182" s="319"/>
    </row>
    <row r="183" spans="2:2" x14ac:dyDescent="0.25">
      <c r="B183" s="319"/>
    </row>
    <row r="184" spans="2:2" x14ac:dyDescent="0.25">
      <c r="B184" s="319"/>
    </row>
    <row r="185" spans="2:2" x14ac:dyDescent="0.25">
      <c r="B185" s="319"/>
    </row>
    <row r="186" spans="2:2" x14ac:dyDescent="0.25">
      <c r="B186" s="319"/>
    </row>
    <row r="187" spans="2:2" x14ac:dyDescent="0.25">
      <c r="B187" s="319"/>
    </row>
    <row r="188" spans="2:2" x14ac:dyDescent="0.25">
      <c r="B188" s="319"/>
    </row>
    <row r="189" spans="2:2" x14ac:dyDescent="0.25">
      <c r="B189" s="319"/>
    </row>
    <row r="190" spans="2:2" x14ac:dyDescent="0.25">
      <c r="B190" s="319"/>
    </row>
    <row r="191" spans="2:2" x14ac:dyDescent="0.25">
      <c r="B191" s="319"/>
    </row>
    <row r="192" spans="2:2" x14ac:dyDescent="0.25">
      <c r="B192" s="319"/>
    </row>
    <row r="193" spans="2:2" x14ac:dyDescent="0.25">
      <c r="B193" s="319"/>
    </row>
    <row r="194" spans="2:2" x14ac:dyDescent="0.25">
      <c r="B194" s="319"/>
    </row>
    <row r="195" spans="2:2" x14ac:dyDescent="0.25">
      <c r="B195" s="319"/>
    </row>
    <row r="196" spans="2:2" x14ac:dyDescent="0.25">
      <c r="B196" s="319"/>
    </row>
    <row r="197" spans="2:2" x14ac:dyDescent="0.25">
      <c r="B197" s="319"/>
    </row>
    <row r="198" spans="2:2" x14ac:dyDescent="0.25">
      <c r="B198" s="319"/>
    </row>
    <row r="199" spans="2:2" x14ac:dyDescent="0.25">
      <c r="B199" s="319"/>
    </row>
    <row r="200" spans="2:2" x14ac:dyDescent="0.25">
      <c r="B200" s="319"/>
    </row>
    <row r="201" spans="2:2" x14ac:dyDescent="0.25">
      <c r="B201" s="319"/>
    </row>
    <row r="202" spans="2:2" x14ac:dyDescent="0.25">
      <c r="B202" s="319"/>
    </row>
    <row r="203" spans="2:2" x14ac:dyDescent="0.25">
      <c r="B203" s="319"/>
    </row>
    <row r="204" spans="2:2" x14ac:dyDescent="0.25">
      <c r="B204" s="319"/>
    </row>
    <row r="205" spans="2:2" x14ac:dyDescent="0.25">
      <c r="B205" s="319"/>
    </row>
    <row r="206" spans="2:2" x14ac:dyDescent="0.25">
      <c r="B206" s="319"/>
    </row>
    <row r="207" spans="2:2" x14ac:dyDescent="0.25">
      <c r="B207" s="319"/>
    </row>
    <row r="208" spans="2:2" x14ac:dyDescent="0.25">
      <c r="B208" s="319"/>
    </row>
    <row r="209" spans="2:2" x14ac:dyDescent="0.25">
      <c r="B209" s="319"/>
    </row>
    <row r="210" spans="2:2" x14ac:dyDescent="0.25">
      <c r="B210" s="319"/>
    </row>
    <row r="211" spans="2:2" x14ac:dyDescent="0.25">
      <c r="B211" s="319"/>
    </row>
    <row r="212" spans="2:2" x14ac:dyDescent="0.25">
      <c r="B212" s="319"/>
    </row>
    <row r="213" spans="2:2" x14ac:dyDescent="0.25">
      <c r="B213" s="319"/>
    </row>
    <row r="214" spans="2:2" x14ac:dyDescent="0.25">
      <c r="B214" s="319"/>
    </row>
    <row r="215" spans="2:2" x14ac:dyDescent="0.25">
      <c r="B215" s="319"/>
    </row>
    <row r="216" spans="2:2" x14ac:dyDescent="0.25">
      <c r="B216" s="319"/>
    </row>
    <row r="217" spans="2:2" x14ac:dyDescent="0.25">
      <c r="B217" s="319"/>
    </row>
    <row r="218" spans="2:2" x14ac:dyDescent="0.25">
      <c r="B218" s="319"/>
    </row>
    <row r="219" spans="2:2" x14ac:dyDescent="0.25">
      <c r="B219" s="319"/>
    </row>
    <row r="220" spans="2:2" x14ac:dyDescent="0.25">
      <c r="B220" s="319"/>
    </row>
    <row r="221" spans="2:2" x14ac:dyDescent="0.25">
      <c r="B221" s="319"/>
    </row>
    <row r="222" spans="2:2" x14ac:dyDescent="0.25">
      <c r="B222" s="319"/>
    </row>
    <row r="223" spans="2:2" x14ac:dyDescent="0.25">
      <c r="B223" s="319"/>
    </row>
    <row r="224" spans="2:2" x14ac:dyDescent="0.25">
      <c r="B224" s="319"/>
    </row>
    <row r="225" spans="2:2" x14ac:dyDescent="0.25">
      <c r="B225" s="319"/>
    </row>
    <row r="226" spans="2:2" x14ac:dyDescent="0.25">
      <c r="B226" s="319"/>
    </row>
    <row r="227" spans="2:2" x14ac:dyDescent="0.25">
      <c r="B227" s="319"/>
    </row>
    <row r="228" spans="2:2" x14ac:dyDescent="0.25">
      <c r="B228" s="319"/>
    </row>
    <row r="229" spans="2:2" x14ac:dyDescent="0.25">
      <c r="B229" s="319"/>
    </row>
    <row r="230" spans="2:2" x14ac:dyDescent="0.25">
      <c r="B230" s="319"/>
    </row>
    <row r="231" spans="2:2" x14ac:dyDescent="0.25">
      <c r="B231" s="319"/>
    </row>
    <row r="232" spans="2:2" x14ac:dyDescent="0.25">
      <c r="B232" s="319"/>
    </row>
    <row r="233" spans="2:2" x14ac:dyDescent="0.25">
      <c r="B233" s="319"/>
    </row>
    <row r="234" spans="2:2" x14ac:dyDescent="0.25">
      <c r="B234" s="319"/>
    </row>
    <row r="235" spans="2:2" x14ac:dyDescent="0.25">
      <c r="B235" s="319"/>
    </row>
    <row r="236" spans="2:2" x14ac:dyDescent="0.25">
      <c r="B236" s="319"/>
    </row>
    <row r="237" spans="2:2" x14ac:dyDescent="0.25">
      <c r="B237" s="319"/>
    </row>
    <row r="238" spans="2:2" x14ac:dyDescent="0.25">
      <c r="B238" s="319"/>
    </row>
    <row r="239" spans="2:2" x14ac:dyDescent="0.25">
      <c r="B239" s="319"/>
    </row>
    <row r="240" spans="2:2" x14ac:dyDescent="0.25">
      <c r="B240" s="319"/>
    </row>
    <row r="241" spans="2:2" x14ac:dyDescent="0.25">
      <c r="B241" s="319"/>
    </row>
    <row r="242" spans="2:2" x14ac:dyDescent="0.25">
      <c r="B242" s="319"/>
    </row>
    <row r="243" spans="2:2" x14ac:dyDescent="0.25">
      <c r="B243" s="319"/>
    </row>
    <row r="244" spans="2:2" x14ac:dyDescent="0.25">
      <c r="B244" s="319"/>
    </row>
    <row r="245" spans="2:2" x14ac:dyDescent="0.25">
      <c r="B245" s="319"/>
    </row>
    <row r="246" spans="2:2" x14ac:dyDescent="0.25">
      <c r="B246" s="319"/>
    </row>
    <row r="247" spans="2:2" x14ac:dyDescent="0.25">
      <c r="B247" s="319"/>
    </row>
    <row r="248" spans="2:2" x14ac:dyDescent="0.25">
      <c r="B248" s="319"/>
    </row>
    <row r="249" spans="2:2" x14ac:dyDescent="0.25">
      <c r="B249" s="319"/>
    </row>
    <row r="250" spans="2:2" x14ac:dyDescent="0.25">
      <c r="B250" s="319"/>
    </row>
    <row r="251" spans="2:2" x14ac:dyDescent="0.25">
      <c r="B251" s="319"/>
    </row>
    <row r="252" spans="2:2" x14ac:dyDescent="0.25">
      <c r="B252" s="319"/>
    </row>
    <row r="253" spans="2:2" x14ac:dyDescent="0.25">
      <c r="B253" s="319"/>
    </row>
    <row r="254" spans="2:2" x14ac:dyDescent="0.25">
      <c r="B254" s="319"/>
    </row>
    <row r="255" spans="2:2" x14ac:dyDescent="0.25">
      <c r="B255" s="319"/>
    </row>
    <row r="256" spans="2:2" x14ac:dyDescent="0.25">
      <c r="B256" s="319"/>
    </row>
    <row r="257" spans="2:2" x14ac:dyDescent="0.25">
      <c r="B257" s="319"/>
    </row>
    <row r="258" spans="2:2" x14ac:dyDescent="0.25">
      <c r="B258" s="319"/>
    </row>
    <row r="259" spans="2:2" x14ac:dyDescent="0.25">
      <c r="B259" s="319"/>
    </row>
    <row r="260" spans="2:2" x14ac:dyDescent="0.25">
      <c r="B260" s="319"/>
    </row>
    <row r="261" spans="2:2" x14ac:dyDescent="0.25">
      <c r="B261" s="319"/>
    </row>
    <row r="262" spans="2:2" x14ac:dyDescent="0.25">
      <c r="B262" s="319"/>
    </row>
    <row r="263" spans="2:2" x14ac:dyDescent="0.25">
      <c r="B263" s="319"/>
    </row>
    <row r="264" spans="2:2" x14ac:dyDescent="0.25">
      <c r="B264" s="319"/>
    </row>
    <row r="265" spans="2:2" x14ac:dyDescent="0.25">
      <c r="B265" s="319"/>
    </row>
    <row r="266" spans="2:2" x14ac:dyDescent="0.25">
      <c r="B266" s="319"/>
    </row>
    <row r="267" spans="2:2" x14ac:dyDescent="0.25">
      <c r="B267" s="319"/>
    </row>
    <row r="268" spans="2:2" x14ac:dyDescent="0.25">
      <c r="B268" s="319"/>
    </row>
    <row r="269" spans="2:2" x14ac:dyDescent="0.25">
      <c r="B269" s="319"/>
    </row>
    <row r="270" spans="2:2" x14ac:dyDescent="0.25">
      <c r="B270" s="319"/>
    </row>
    <row r="271" spans="2:2" x14ac:dyDescent="0.25">
      <c r="B271" s="319"/>
    </row>
    <row r="272" spans="2:2" x14ac:dyDescent="0.25">
      <c r="B272" s="319"/>
    </row>
    <row r="273" spans="2:2" x14ac:dyDescent="0.25">
      <c r="B273" s="319"/>
    </row>
    <row r="274" spans="2:2" x14ac:dyDescent="0.25">
      <c r="B274" s="319"/>
    </row>
    <row r="275" spans="2:2" x14ac:dyDescent="0.25">
      <c r="B275" s="319"/>
    </row>
    <row r="276" spans="2:2" x14ac:dyDescent="0.25">
      <c r="B276" s="319"/>
    </row>
    <row r="277" spans="2:2" x14ac:dyDescent="0.25">
      <c r="B277" s="319"/>
    </row>
    <row r="278" spans="2:2" x14ac:dyDescent="0.25">
      <c r="B278" s="319"/>
    </row>
    <row r="279" spans="2:2" x14ac:dyDescent="0.25">
      <c r="B279" s="319"/>
    </row>
    <row r="280" spans="2:2" x14ac:dyDescent="0.25">
      <c r="B280" s="319"/>
    </row>
    <row r="281" spans="2:2" x14ac:dyDescent="0.25">
      <c r="B281" s="319"/>
    </row>
    <row r="282" spans="2:2" x14ac:dyDescent="0.25">
      <c r="B282" s="319"/>
    </row>
    <row r="283" spans="2:2" x14ac:dyDescent="0.25">
      <c r="B283" s="319"/>
    </row>
    <row r="284" spans="2:2" x14ac:dyDescent="0.25">
      <c r="B284" s="319"/>
    </row>
    <row r="285" spans="2:2" x14ac:dyDescent="0.25">
      <c r="B285" s="319"/>
    </row>
    <row r="286" spans="2:2" x14ac:dyDescent="0.25">
      <c r="B286" s="319"/>
    </row>
    <row r="287" spans="2:2" x14ac:dyDescent="0.25">
      <c r="B287" s="319"/>
    </row>
    <row r="288" spans="2:2" x14ac:dyDescent="0.25">
      <c r="B288" s="319"/>
    </row>
    <row r="289" spans="2:2" x14ac:dyDescent="0.25">
      <c r="B289" s="319"/>
    </row>
    <row r="290" spans="2:2" x14ac:dyDescent="0.25">
      <c r="B290" s="319"/>
    </row>
    <row r="291" spans="2:2" x14ac:dyDescent="0.25">
      <c r="B291" s="319"/>
    </row>
    <row r="292" spans="2:2" x14ac:dyDescent="0.25">
      <c r="B292" s="319"/>
    </row>
    <row r="293" spans="2:2" x14ac:dyDescent="0.25">
      <c r="B293" s="319"/>
    </row>
    <row r="294" spans="2:2" x14ac:dyDescent="0.25">
      <c r="B294" s="319"/>
    </row>
    <row r="295" spans="2:2" x14ac:dyDescent="0.25">
      <c r="B295" s="319"/>
    </row>
    <row r="296" spans="2:2" x14ac:dyDescent="0.25">
      <c r="B296" s="319"/>
    </row>
    <row r="297" spans="2:2" x14ac:dyDescent="0.25">
      <c r="B297" s="319"/>
    </row>
    <row r="298" spans="2:2" x14ac:dyDescent="0.25">
      <c r="B298" s="319"/>
    </row>
    <row r="299" spans="2:2" x14ac:dyDescent="0.25">
      <c r="B299" s="319"/>
    </row>
    <row r="300" spans="2:2" x14ac:dyDescent="0.25">
      <c r="B300" s="319"/>
    </row>
    <row r="301" spans="2:2" x14ac:dyDescent="0.25">
      <c r="B301" s="319"/>
    </row>
    <row r="302" spans="2:2" x14ac:dyDescent="0.25">
      <c r="B302" s="319"/>
    </row>
    <row r="303" spans="2:2" x14ac:dyDescent="0.25">
      <c r="B303" s="319"/>
    </row>
    <row r="304" spans="2:2" x14ac:dyDescent="0.25">
      <c r="B304" s="319"/>
    </row>
    <row r="305" spans="2:2" x14ac:dyDescent="0.25">
      <c r="B305" s="319"/>
    </row>
    <row r="306" spans="2:2" x14ac:dyDescent="0.25">
      <c r="B306" s="319"/>
    </row>
    <row r="307" spans="2:2" x14ac:dyDescent="0.25">
      <c r="B307" s="319"/>
    </row>
    <row r="308" spans="2:2" x14ac:dyDescent="0.25">
      <c r="B308" s="319"/>
    </row>
    <row r="309" spans="2:2" x14ac:dyDescent="0.25">
      <c r="B309" s="319"/>
    </row>
    <row r="310" spans="2:2" x14ac:dyDescent="0.25">
      <c r="B310" s="319"/>
    </row>
    <row r="311" spans="2:2" x14ac:dyDescent="0.25">
      <c r="B311" s="319"/>
    </row>
    <row r="312" spans="2:2" x14ac:dyDescent="0.25">
      <c r="B312" s="319"/>
    </row>
    <row r="313" spans="2:2" x14ac:dyDescent="0.25">
      <c r="B313" s="319"/>
    </row>
    <row r="314" spans="2:2" x14ac:dyDescent="0.25">
      <c r="B314" s="319"/>
    </row>
    <row r="315" spans="2:2" x14ac:dyDescent="0.25">
      <c r="B315" s="319"/>
    </row>
    <row r="316" spans="2:2" x14ac:dyDescent="0.25">
      <c r="B316" s="319"/>
    </row>
    <row r="317" spans="2:2" x14ac:dyDescent="0.25">
      <c r="B317" s="319"/>
    </row>
    <row r="318" spans="2:2" x14ac:dyDescent="0.25">
      <c r="B318" s="319"/>
    </row>
    <row r="319" spans="2:2" x14ac:dyDescent="0.25">
      <c r="B319" s="319"/>
    </row>
    <row r="320" spans="2:2" x14ac:dyDescent="0.25">
      <c r="B320" s="319"/>
    </row>
    <row r="321" spans="2:2" x14ac:dyDescent="0.25">
      <c r="B321" s="319"/>
    </row>
    <row r="322" spans="2:2" x14ac:dyDescent="0.25">
      <c r="B322" s="319"/>
    </row>
    <row r="323" spans="2:2" x14ac:dyDescent="0.25">
      <c r="B323" s="319"/>
    </row>
    <row r="324" spans="2:2" x14ac:dyDescent="0.25">
      <c r="B324" s="319"/>
    </row>
    <row r="325" spans="2:2" x14ac:dyDescent="0.25">
      <c r="B325" s="319"/>
    </row>
    <row r="326" spans="2:2" x14ac:dyDescent="0.25">
      <c r="B326" s="319"/>
    </row>
    <row r="327" spans="2:2" x14ac:dyDescent="0.25">
      <c r="B327" s="319"/>
    </row>
    <row r="328" spans="2:2" x14ac:dyDescent="0.25">
      <c r="B328" s="319"/>
    </row>
    <row r="329" spans="2:2" x14ac:dyDescent="0.25">
      <c r="B329" s="319"/>
    </row>
    <row r="330" spans="2:2" x14ac:dyDescent="0.25">
      <c r="B330" s="319"/>
    </row>
    <row r="331" spans="2:2" x14ac:dyDescent="0.25">
      <c r="B331" s="319"/>
    </row>
    <row r="332" spans="2:2" x14ac:dyDescent="0.25">
      <c r="B332" s="319"/>
    </row>
    <row r="333" spans="2:2" x14ac:dyDescent="0.25">
      <c r="B333" s="319"/>
    </row>
    <row r="334" spans="2:2" x14ac:dyDescent="0.25">
      <c r="B334" s="319"/>
    </row>
    <row r="335" spans="2:2" x14ac:dyDescent="0.25">
      <c r="B335" s="319"/>
    </row>
    <row r="336" spans="2:2" x14ac:dyDescent="0.25">
      <c r="B336" s="319"/>
    </row>
    <row r="337" spans="2:2" x14ac:dyDescent="0.25">
      <c r="B337" s="319"/>
    </row>
    <row r="338" spans="2:2" x14ac:dyDescent="0.25">
      <c r="B338" s="319"/>
    </row>
    <row r="339" spans="2:2" x14ac:dyDescent="0.25">
      <c r="B339" s="319"/>
    </row>
    <row r="340" spans="2:2" x14ac:dyDescent="0.25">
      <c r="B340" s="319"/>
    </row>
    <row r="341" spans="2:2" x14ac:dyDescent="0.25">
      <c r="B341" s="319"/>
    </row>
    <row r="342" spans="2:2" x14ac:dyDescent="0.25">
      <c r="B342" s="319"/>
    </row>
    <row r="343" spans="2:2" x14ac:dyDescent="0.25">
      <c r="B343" s="319"/>
    </row>
    <row r="344" spans="2:2" x14ac:dyDescent="0.25">
      <c r="B344" s="319"/>
    </row>
    <row r="345" spans="2:2" x14ac:dyDescent="0.25">
      <c r="B345" s="319"/>
    </row>
    <row r="346" spans="2:2" x14ac:dyDescent="0.25">
      <c r="B346" s="319"/>
    </row>
    <row r="347" spans="2:2" x14ac:dyDescent="0.25">
      <c r="B347" s="319"/>
    </row>
    <row r="348" spans="2:2" x14ac:dyDescent="0.25">
      <c r="B348" s="319"/>
    </row>
    <row r="349" spans="2:2" x14ac:dyDescent="0.25">
      <c r="B349" s="319"/>
    </row>
    <row r="350" spans="2:2" x14ac:dyDescent="0.25">
      <c r="B350" s="319"/>
    </row>
    <row r="351" spans="2:2" x14ac:dyDescent="0.25">
      <c r="B351" s="319"/>
    </row>
    <row r="352" spans="2:2" x14ac:dyDescent="0.25">
      <c r="B352" s="319"/>
    </row>
    <row r="353" spans="2:2" x14ac:dyDescent="0.25">
      <c r="B353" s="319"/>
    </row>
    <row r="354" spans="2:2" x14ac:dyDescent="0.25">
      <c r="B354" s="319"/>
    </row>
    <row r="355" spans="2:2" x14ac:dyDescent="0.25">
      <c r="B355" s="319"/>
    </row>
    <row r="356" spans="2:2" x14ac:dyDescent="0.25">
      <c r="B356" s="319"/>
    </row>
    <row r="357" spans="2:2" x14ac:dyDescent="0.25">
      <c r="B357" s="319"/>
    </row>
    <row r="358" spans="2:2" x14ac:dyDescent="0.25">
      <c r="B358" s="319"/>
    </row>
    <row r="359" spans="2:2" x14ac:dyDescent="0.25">
      <c r="B359" s="319"/>
    </row>
    <row r="360" spans="2:2" x14ac:dyDescent="0.25">
      <c r="B360" s="319"/>
    </row>
    <row r="361" spans="2:2" x14ac:dyDescent="0.25">
      <c r="B361" s="319"/>
    </row>
    <row r="362" spans="2:2" x14ac:dyDescent="0.25">
      <c r="B362" s="319"/>
    </row>
    <row r="363" spans="2:2" x14ac:dyDescent="0.25">
      <c r="B363" s="319"/>
    </row>
    <row r="364" spans="2:2" x14ac:dyDescent="0.25">
      <c r="B364" s="319"/>
    </row>
    <row r="365" spans="2:2" x14ac:dyDescent="0.25">
      <c r="B365" s="319"/>
    </row>
    <row r="366" spans="2:2" x14ac:dyDescent="0.25">
      <c r="B366" s="319"/>
    </row>
    <row r="367" spans="2:2" x14ac:dyDescent="0.25">
      <c r="B367" s="319"/>
    </row>
    <row r="368" spans="2:2" x14ac:dyDescent="0.25">
      <c r="B368" s="319"/>
    </row>
    <row r="369" spans="2:2" x14ac:dyDescent="0.25">
      <c r="B369" s="319"/>
    </row>
    <row r="370" spans="2:2" x14ac:dyDescent="0.25">
      <c r="B370" s="319"/>
    </row>
    <row r="371" spans="2:2" x14ac:dyDescent="0.25">
      <c r="B371" s="319"/>
    </row>
    <row r="372" spans="2:2" x14ac:dyDescent="0.25">
      <c r="B372" s="319"/>
    </row>
    <row r="373" spans="2:2" x14ac:dyDescent="0.25">
      <c r="B373" s="319"/>
    </row>
    <row r="374" spans="2:2" x14ac:dyDescent="0.25">
      <c r="B374" s="319"/>
    </row>
    <row r="375" spans="2:2" x14ac:dyDescent="0.25">
      <c r="B375" s="319"/>
    </row>
    <row r="376" spans="2:2" x14ac:dyDescent="0.25">
      <c r="B376" s="319"/>
    </row>
    <row r="377" spans="2:2" x14ac:dyDescent="0.25">
      <c r="B377" s="319"/>
    </row>
    <row r="378" spans="2:2" x14ac:dyDescent="0.25">
      <c r="B378" s="319"/>
    </row>
    <row r="379" spans="2:2" x14ac:dyDescent="0.25">
      <c r="B379" s="319"/>
    </row>
    <row r="380" spans="2:2" x14ac:dyDescent="0.25">
      <c r="B380" s="319"/>
    </row>
    <row r="381" spans="2:2" x14ac:dyDescent="0.25">
      <c r="B381" s="319"/>
    </row>
    <row r="382" spans="2:2" x14ac:dyDescent="0.25">
      <c r="B382" s="319"/>
    </row>
    <row r="383" spans="2:2" x14ac:dyDescent="0.25">
      <c r="B383" s="319"/>
    </row>
    <row r="384" spans="2:2" x14ac:dyDescent="0.25">
      <c r="B384" s="319"/>
    </row>
    <row r="385" spans="2:2" x14ac:dyDescent="0.25">
      <c r="B385" s="319"/>
    </row>
    <row r="386" spans="2:2" x14ac:dyDescent="0.25">
      <c r="B386" s="319"/>
    </row>
    <row r="387" spans="2:2" x14ac:dyDescent="0.25">
      <c r="B387" s="319"/>
    </row>
    <row r="388" spans="2:2" x14ac:dyDescent="0.25">
      <c r="B388" s="319"/>
    </row>
    <row r="389" spans="2:2" x14ac:dyDescent="0.25">
      <c r="B389" s="319"/>
    </row>
    <row r="390" spans="2:2" x14ac:dyDescent="0.25">
      <c r="B390" s="319"/>
    </row>
    <row r="391" spans="2:2" x14ac:dyDescent="0.25">
      <c r="B391" s="319"/>
    </row>
    <row r="392" spans="2:2" x14ac:dyDescent="0.25">
      <c r="B392" s="319"/>
    </row>
    <row r="393" spans="2:2" x14ac:dyDescent="0.25">
      <c r="B393" s="319"/>
    </row>
    <row r="394" spans="2:2" x14ac:dyDescent="0.25">
      <c r="B394" s="319"/>
    </row>
    <row r="395" spans="2:2" x14ac:dyDescent="0.25">
      <c r="B395" s="319"/>
    </row>
    <row r="396" spans="2:2" x14ac:dyDescent="0.25">
      <c r="B396" s="319"/>
    </row>
    <row r="397" spans="2:2" x14ac:dyDescent="0.25">
      <c r="B397" s="319"/>
    </row>
    <row r="398" spans="2:2" x14ac:dyDescent="0.25">
      <c r="B398" s="319"/>
    </row>
    <row r="399" spans="2:2" x14ac:dyDescent="0.25">
      <c r="B399" s="319"/>
    </row>
    <row r="400" spans="2:2" x14ac:dyDescent="0.25">
      <c r="B400" s="319"/>
    </row>
    <row r="401" spans="2:2" x14ac:dyDescent="0.25">
      <c r="B401" s="319"/>
    </row>
    <row r="402" spans="2:2" x14ac:dyDescent="0.25">
      <c r="B402" s="319"/>
    </row>
    <row r="403" spans="2:2" x14ac:dyDescent="0.25">
      <c r="B403" s="319"/>
    </row>
    <row r="404" spans="2:2" x14ac:dyDescent="0.25">
      <c r="B404" s="319"/>
    </row>
    <row r="405" spans="2:2" x14ac:dyDescent="0.25">
      <c r="B405" s="319"/>
    </row>
    <row r="406" spans="2:2" x14ac:dyDescent="0.25">
      <c r="B406" s="319"/>
    </row>
    <row r="407" spans="2:2" x14ac:dyDescent="0.25">
      <c r="B407" s="319"/>
    </row>
    <row r="408" spans="2:2" x14ac:dyDescent="0.25">
      <c r="B408" s="319"/>
    </row>
    <row r="409" spans="2:2" x14ac:dyDescent="0.25">
      <c r="B409" s="319"/>
    </row>
    <row r="410" spans="2:2" x14ac:dyDescent="0.25">
      <c r="B410" s="319"/>
    </row>
    <row r="411" spans="2:2" x14ac:dyDescent="0.25">
      <c r="B411" s="319"/>
    </row>
    <row r="412" spans="2:2" x14ac:dyDescent="0.25">
      <c r="B412" s="319"/>
    </row>
    <row r="413" spans="2:2" x14ac:dyDescent="0.25">
      <c r="B413" s="319"/>
    </row>
    <row r="414" spans="2:2" x14ac:dyDescent="0.25">
      <c r="B414" s="319"/>
    </row>
    <row r="415" spans="2:2" x14ac:dyDescent="0.25">
      <c r="B415" s="319"/>
    </row>
    <row r="416" spans="2:2" x14ac:dyDescent="0.25">
      <c r="B416" s="319"/>
    </row>
    <row r="417" spans="2:2" x14ac:dyDescent="0.25">
      <c r="B417" s="319"/>
    </row>
    <row r="418" spans="2:2" x14ac:dyDescent="0.25">
      <c r="B418" s="319"/>
    </row>
    <row r="419" spans="2:2" x14ac:dyDescent="0.25">
      <c r="B419" s="319"/>
    </row>
    <row r="420" spans="2:2" x14ac:dyDescent="0.25">
      <c r="B420" s="319"/>
    </row>
    <row r="421" spans="2:2" x14ac:dyDescent="0.25">
      <c r="B421" s="319"/>
    </row>
    <row r="422" spans="2:2" x14ac:dyDescent="0.25">
      <c r="B422" s="319"/>
    </row>
    <row r="423" spans="2:2" x14ac:dyDescent="0.25">
      <c r="B423" s="319"/>
    </row>
    <row r="424" spans="2:2" x14ac:dyDescent="0.25">
      <c r="B424" s="319"/>
    </row>
    <row r="425" spans="2:2" x14ac:dyDescent="0.25">
      <c r="B425" s="319"/>
    </row>
    <row r="426" spans="2:2" x14ac:dyDescent="0.25">
      <c r="B426" s="319"/>
    </row>
    <row r="427" spans="2:2" x14ac:dyDescent="0.25">
      <c r="B427" s="319"/>
    </row>
    <row r="428" spans="2:2" x14ac:dyDescent="0.25">
      <c r="B428" s="319"/>
    </row>
    <row r="429" spans="2:2" x14ac:dyDescent="0.25">
      <c r="B429" s="319"/>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F44" sqref="F4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411" t="s">
        <v>872</v>
      </c>
      <c r="D5" s="412"/>
      <c r="E5" s="412"/>
      <c r="F5" s="412"/>
      <c r="G5" s="413"/>
    </row>
    <row r="7" spans="1:9" x14ac:dyDescent="0.25">
      <c r="A7" s="2" t="s">
        <v>28</v>
      </c>
      <c r="C7" s="411" t="s">
        <v>898</v>
      </c>
      <c r="D7" s="412"/>
      <c r="E7" s="412"/>
      <c r="F7" s="412"/>
      <c r="G7" s="41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3" t="s">
        <v>925</v>
      </c>
      <c r="B11" s="403"/>
      <c r="C11" s="403"/>
      <c r="D11" s="403"/>
      <c r="E11" s="403"/>
      <c r="F11" s="403"/>
      <c r="G11" s="403"/>
      <c r="H11" s="404"/>
      <c r="I11" s="209">
        <v>2</v>
      </c>
    </row>
    <row r="12" spans="1:9" x14ac:dyDescent="0.25">
      <c r="I12" s="4"/>
    </row>
    <row r="13" spans="1:9" x14ac:dyDescent="0.25">
      <c r="A13" s="403" t="s">
        <v>424</v>
      </c>
      <c r="B13" s="403"/>
      <c r="C13" s="403"/>
      <c r="D13" s="403"/>
      <c r="E13" s="403"/>
      <c r="F13" s="403"/>
      <c r="G13" s="403"/>
      <c r="H13" s="404"/>
      <c r="I13" s="209" t="s">
        <v>22</v>
      </c>
    </row>
    <row r="14" spans="1:9" x14ac:dyDescent="0.25">
      <c r="I14" s="4"/>
    </row>
    <row r="15" spans="1:9" x14ac:dyDescent="0.25">
      <c r="A15" s="403" t="s">
        <v>425</v>
      </c>
      <c r="B15" s="403"/>
      <c r="C15" s="403"/>
      <c r="D15" s="403"/>
      <c r="E15" s="403"/>
      <c r="F15" s="403"/>
      <c r="G15" s="403"/>
      <c r="H15" s="404"/>
      <c r="I15" s="209" t="s">
        <v>22</v>
      </c>
    </row>
    <row r="16" spans="1:9" x14ac:dyDescent="0.25">
      <c r="I16" s="4"/>
    </row>
    <row r="17" spans="1:9" x14ac:dyDescent="0.25">
      <c r="A17" s="403" t="s">
        <v>29</v>
      </c>
      <c r="B17" s="403"/>
      <c r="C17" s="403"/>
      <c r="D17" s="403"/>
      <c r="E17" s="403"/>
      <c r="F17" s="403"/>
      <c r="G17" s="403"/>
      <c r="H17" s="404"/>
      <c r="I17" s="209" t="s">
        <v>21</v>
      </c>
    </row>
    <row r="18" spans="1:9" x14ac:dyDescent="0.25">
      <c r="I18" s="4"/>
    </row>
    <row r="19" spans="1:9" x14ac:dyDescent="0.25">
      <c r="A19" s="403" t="s">
        <v>30</v>
      </c>
      <c r="B19" s="403"/>
      <c r="C19" s="403"/>
      <c r="D19" s="403"/>
      <c r="E19" s="403"/>
      <c r="F19" s="403"/>
      <c r="G19" s="403"/>
      <c r="H19" s="404"/>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5" t="s">
        <v>926</v>
      </c>
      <c r="H26" s="406"/>
      <c r="I26" s="407"/>
    </row>
    <row r="27" spans="1:9" ht="19.5" customHeight="1" x14ac:dyDescent="0.25">
      <c r="A27" s="398" t="s">
        <v>31</v>
      </c>
      <c r="B27" s="399"/>
      <c r="C27" s="400" t="s">
        <v>1278</v>
      </c>
      <c r="D27" s="401"/>
      <c r="E27" s="401"/>
      <c r="F27" s="402"/>
      <c r="G27" s="408">
        <v>30</v>
      </c>
      <c r="H27" s="409"/>
      <c r="I27" s="410"/>
    </row>
    <row r="28" spans="1:9" ht="19.5" customHeight="1" x14ac:dyDescent="0.25">
      <c r="A28" s="398" t="s">
        <v>33</v>
      </c>
      <c r="B28" s="399"/>
      <c r="C28" s="400" t="s">
        <v>1279</v>
      </c>
      <c r="D28" s="401"/>
      <c r="E28" s="401"/>
      <c r="F28" s="402"/>
      <c r="G28" s="408">
        <v>30</v>
      </c>
      <c r="H28" s="409"/>
      <c r="I28" s="410"/>
    </row>
    <row r="29" spans="1:9" ht="19.5" hidden="1" customHeight="1" x14ac:dyDescent="0.25">
      <c r="A29" s="398" t="s">
        <v>35</v>
      </c>
      <c r="B29" s="399"/>
      <c r="C29" s="400" t="s">
        <v>1280</v>
      </c>
      <c r="D29" s="401"/>
      <c r="E29" s="401"/>
      <c r="F29" s="402"/>
      <c r="G29" s="408">
        <v>20</v>
      </c>
      <c r="H29" s="409"/>
      <c r="I29" s="410"/>
    </row>
    <row r="30" spans="1:9" ht="19.5" hidden="1" customHeight="1" x14ac:dyDescent="0.25">
      <c r="A30" s="398" t="s">
        <v>37</v>
      </c>
      <c r="B30" s="399"/>
      <c r="C30" s="400" t="s">
        <v>38</v>
      </c>
      <c r="D30" s="401"/>
      <c r="E30" s="401"/>
      <c r="F30" s="402"/>
      <c r="G30" s="408">
        <v>2</v>
      </c>
      <c r="H30" s="409"/>
      <c r="I30" s="410"/>
    </row>
    <row r="31" spans="1:9" ht="19.5" hidden="1" customHeight="1" x14ac:dyDescent="0.25">
      <c r="A31" s="398" t="s">
        <v>39</v>
      </c>
      <c r="B31" s="399"/>
      <c r="C31" s="400" t="s">
        <v>40</v>
      </c>
      <c r="D31" s="401"/>
      <c r="E31" s="401"/>
      <c r="F31" s="402"/>
      <c r="G31" s="408">
        <v>4</v>
      </c>
      <c r="H31" s="409"/>
      <c r="I31" s="410"/>
    </row>
    <row r="32" spans="1:9" ht="19.5" hidden="1" customHeight="1" x14ac:dyDescent="0.25">
      <c r="A32" s="398" t="s">
        <v>41</v>
      </c>
      <c r="B32" s="399"/>
      <c r="C32" s="400" t="s">
        <v>42</v>
      </c>
      <c r="D32" s="401"/>
      <c r="E32" s="401"/>
      <c r="F32" s="402"/>
      <c r="G32" s="408">
        <v>8</v>
      </c>
      <c r="H32" s="409"/>
      <c r="I32" s="410"/>
    </row>
    <row r="33" spans="1:9" ht="19.5" hidden="1" customHeight="1" x14ac:dyDescent="0.25">
      <c r="A33" s="398" t="s">
        <v>43</v>
      </c>
      <c r="B33" s="399"/>
      <c r="C33" s="400" t="s">
        <v>44</v>
      </c>
      <c r="D33" s="401"/>
      <c r="E33" s="401"/>
      <c r="F33" s="402"/>
      <c r="G33" s="408">
        <v>16</v>
      </c>
      <c r="H33" s="409"/>
      <c r="I33" s="410"/>
    </row>
    <row r="34" spans="1:9" ht="19.5" hidden="1" customHeight="1" x14ac:dyDescent="0.25">
      <c r="A34" s="398" t="s">
        <v>45</v>
      </c>
      <c r="B34" s="399"/>
      <c r="C34" s="400" t="s">
        <v>46</v>
      </c>
      <c r="D34" s="401"/>
      <c r="E34" s="401"/>
      <c r="F34" s="402"/>
      <c r="G34" s="408">
        <v>32</v>
      </c>
      <c r="H34" s="409"/>
      <c r="I34" s="410"/>
    </row>
    <row r="35" spans="1:9" ht="19.5" hidden="1" customHeight="1" x14ac:dyDescent="0.25">
      <c r="A35" s="398" t="s">
        <v>47</v>
      </c>
      <c r="B35" s="399"/>
      <c r="C35" s="400" t="s">
        <v>48</v>
      </c>
      <c r="D35" s="401"/>
      <c r="E35" s="401"/>
      <c r="F35" s="402"/>
      <c r="G35" s="408">
        <v>64</v>
      </c>
      <c r="H35" s="409"/>
      <c r="I35" s="410"/>
    </row>
    <row r="36" spans="1:9" ht="19.5" hidden="1" customHeight="1" x14ac:dyDescent="0.25">
      <c r="A36" s="398" t="s">
        <v>49</v>
      </c>
      <c r="B36" s="399"/>
      <c r="C36" s="400" t="s">
        <v>50</v>
      </c>
      <c r="D36" s="401"/>
      <c r="E36" s="401"/>
      <c r="F36" s="402"/>
      <c r="G36" s="408">
        <v>128</v>
      </c>
      <c r="H36" s="409"/>
      <c r="I36" s="410"/>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F27" sqref="BF27"/>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7968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1">
        <v>42461</v>
      </c>
      <c r="K6" s="72"/>
    </row>
    <row r="7" spans="1:57" ht="14.25" hidden="1" customHeight="1" x14ac:dyDescent="0.25">
      <c r="B7" t="s">
        <v>1176</v>
      </c>
      <c r="C7" s="162">
        <v>4</v>
      </c>
    </row>
    <row r="8" spans="1:57" x14ac:dyDescent="0.25">
      <c r="B8" t="s">
        <v>1177</v>
      </c>
      <c r="C8" s="333" t="s">
        <v>1300</v>
      </c>
    </row>
    <row r="9" spans="1:57" x14ac:dyDescent="0.25">
      <c r="B9" s="339" t="str">
        <f>IF(LEFT(C8,1)="M","Note: SPC Chart is disabled when using your own forecast.","")</f>
        <v/>
      </c>
    </row>
    <row r="10" spans="1:57" ht="13.95" customHeight="1" x14ac:dyDescent="0.25">
      <c r="B10" s="417" t="s">
        <v>128</v>
      </c>
      <c r="C10" s="417" t="s">
        <v>56</v>
      </c>
      <c r="D10" s="414"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4" t="str">
        <f>"Total"&amp;IF(Setup!$I$17&lt;&gt;"Patients","
(Patients)","")</f>
        <v>Total
(Patients)</v>
      </c>
      <c r="BD10" s="414" t="str">
        <f>"Total
("&amp;Setup!$I$17&amp;")"</f>
        <v>Total
(Minutes)</v>
      </c>
      <c r="BE10" s="414" t="s">
        <v>111</v>
      </c>
    </row>
    <row r="11" spans="1:57" ht="14.25" customHeight="1" x14ac:dyDescent="0.25">
      <c r="B11" s="417"/>
      <c r="C11" s="417"/>
      <c r="D11" s="414"/>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4"/>
      <c r="BD11" s="414"/>
      <c r="BE11" s="414"/>
    </row>
    <row r="12" spans="1:57" ht="14.4" thickBot="1" x14ac:dyDescent="0.3">
      <c r="B12" s="417"/>
      <c r="C12" s="418"/>
      <c r="D12" s="41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5"/>
      <c r="BD12" s="415"/>
      <c r="BE12" s="415"/>
    </row>
    <row r="13" spans="1:57" x14ac:dyDescent="0.25">
      <c r="A13">
        <v>1</v>
      </c>
      <c r="B13" s="259">
        <f>IF(C6&lt;&gt;"",YEAR(D13),1)</f>
        <v>2016</v>
      </c>
      <c r="C13" s="260">
        <f>IF(C$6&lt;&gt;"",WEEKNUM($C$6, 21),1)</f>
        <v>13</v>
      </c>
      <c r="D13" s="381">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2">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82">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82">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82">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82">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82">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82">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82">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82">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82">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82">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82">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82">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82">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82">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82">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82">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82">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82">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82">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82">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82">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82">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82">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82">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82">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82">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82">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82">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82">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82">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82">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82">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82">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82">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82">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82">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82">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82">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82">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82">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82">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82">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82">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82">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82">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82">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82">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82">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82">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83">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84">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84">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84">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84">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84">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84">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84">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84">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84">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84">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84">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84">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84">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4">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84">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84">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84">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84">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84">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84">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84">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84">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84">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84">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84">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84">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84">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84">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84">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84">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84">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84">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84">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84">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84">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84">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84">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84">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84">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84">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84">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84">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84">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84">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84">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84">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84">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84">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84">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84">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84">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84">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84">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84">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84">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84">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84">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84">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84">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84">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84">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84">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84">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84">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84">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84">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84">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84">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84">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84">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84">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84">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84">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84">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84">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84">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84">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4">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84">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84">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84">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84">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84">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84">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84">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84">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84">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84">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84">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84">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84">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84">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84">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84">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84">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84">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84">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84">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84">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8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8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8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8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8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8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8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8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8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8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8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8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8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8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8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8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8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8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8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8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8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8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8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8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8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8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8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8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8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8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8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8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8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8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8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8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8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8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8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8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8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8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8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8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8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8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8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8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8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8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8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8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8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8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8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8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8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8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8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8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8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8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8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8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8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8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8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8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8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8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8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8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8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8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8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8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8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8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8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8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8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8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8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8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8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8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8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8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8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8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8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8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8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8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8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8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8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8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8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8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8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8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8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8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8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8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8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296875" bestFit="1" customWidth="1"/>
    <col min="19" max="19" width="9" customWidth="1"/>
    <col min="20" max="24" width="9.2968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296875" bestFit="1" customWidth="1"/>
    <col min="103" max="103" width="10.09765625" customWidth="1"/>
    <col min="118" max="118" width="9.796875" bestFit="1" customWidth="1"/>
    <col min="124" max="124" width="8.69921875" style="67"/>
    <col min="126" max="130" width="8.69921875" style="67"/>
    <col min="131" max="131" width="9.796875" style="67" bestFit="1" customWidth="1"/>
    <col min="132" max="132" width="8.69921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69921875" defaultRowHeight="13.8" x14ac:dyDescent="0.25"/>
  <cols>
    <col min="1" max="3" width="10.296875" style="349" customWidth="1"/>
    <col min="4" max="4" width="17.796875" style="349" customWidth="1"/>
    <col min="5" max="5" width="13.796875" style="349" customWidth="1"/>
    <col min="6" max="6" width="9.796875" style="349" bestFit="1" customWidth="1"/>
    <col min="7" max="16384" width="8.69921875" style="349"/>
  </cols>
  <sheetData>
    <row r="2" spans="1:18" x14ac:dyDescent="0.25">
      <c r="A2" s="348" t="s">
        <v>1179</v>
      </c>
      <c r="B2" s="348"/>
      <c r="C2" s="348"/>
      <c r="D2" s="348"/>
      <c r="E2" s="348"/>
      <c r="F2" s="348"/>
      <c r="G2" s="348"/>
      <c r="H2" s="348"/>
      <c r="I2" s="348"/>
      <c r="J2" s="348"/>
      <c r="K2" s="348"/>
      <c r="L2" s="348"/>
      <c r="M2" s="348"/>
      <c r="N2" s="348"/>
      <c r="O2" s="348"/>
      <c r="P2" s="348"/>
      <c r="Q2" s="348"/>
      <c r="R2" s="348"/>
    </row>
    <row r="3" spans="1:18" x14ac:dyDescent="0.25">
      <c r="A3" s="350" t="s">
        <v>1180</v>
      </c>
      <c r="B3" s="350"/>
      <c r="C3" s="350"/>
      <c r="D3" s="350"/>
      <c r="E3" s="350"/>
      <c r="F3" s="350"/>
      <c r="G3" s="350"/>
      <c r="H3" s="350"/>
      <c r="I3" s="350"/>
      <c r="J3" s="350"/>
      <c r="K3" s="350"/>
      <c r="L3" s="350"/>
      <c r="M3" s="350"/>
      <c r="N3" s="350"/>
      <c r="O3" s="350"/>
      <c r="P3" s="350"/>
      <c r="Q3" s="350"/>
      <c r="R3" s="350"/>
    </row>
    <row r="5" spans="1:18" x14ac:dyDescent="0.25">
      <c r="A5" s="349" t="s">
        <v>1210</v>
      </c>
    </row>
    <row r="6" spans="1:18" x14ac:dyDescent="0.25">
      <c r="A6" s="349" t="s">
        <v>1188</v>
      </c>
    </row>
    <row r="7" spans="1:18" x14ac:dyDescent="0.25">
      <c r="A7" s="349" t="s">
        <v>1189</v>
      </c>
    </row>
    <row r="9" spans="1:18" x14ac:dyDescent="0.25">
      <c r="A9" s="284" t="s">
        <v>1181</v>
      </c>
      <c r="F9" s="337" t="s">
        <v>22</v>
      </c>
    </row>
    <row r="10" spans="1:18" x14ac:dyDescent="0.25">
      <c r="A10" s="351" t="str">
        <f>IF(AND(F9="Yes",Demand!C6="",LEFT(Demand!C8,1)="M"),"You must enter a start date on the 'Demand' sheet, otherwise the model will show errors!","")</f>
        <v/>
      </c>
    </row>
    <row r="11" spans="1:18" x14ac:dyDescent="0.25">
      <c r="A11" s="284" t="s">
        <v>1186</v>
      </c>
    </row>
    <row r="12" spans="1:18" x14ac:dyDescent="0.25">
      <c r="A12" s="349" t="s">
        <v>1183</v>
      </c>
      <c r="F12" s="167">
        <v>43969</v>
      </c>
    </row>
    <row r="13" spans="1:18" x14ac:dyDescent="0.25">
      <c r="A13" s="349" t="str">
        <f>"Current (restricted) level of demand ("&amp;Setup!$I$17&amp;"):"</f>
        <v>Current (restricted) level of demand (Minutes):</v>
      </c>
      <c r="D13" s="219"/>
      <c r="F13" s="337">
        <v>200</v>
      </c>
    </row>
    <row r="14" spans="1:18" x14ac:dyDescent="0.25">
      <c r="D14" s="219"/>
      <c r="F14" s="219"/>
    </row>
    <row r="16" spans="1:18" x14ac:dyDescent="0.25">
      <c r="A16" s="284" t="s">
        <v>1187</v>
      </c>
    </row>
    <row r="17" spans="1:6" x14ac:dyDescent="0.25">
      <c r="A17" s="349" t="s">
        <v>1185</v>
      </c>
      <c r="F17" s="167">
        <v>44011</v>
      </c>
    </row>
    <row r="18" spans="1:6" x14ac:dyDescent="0.25">
      <c r="A18" s="349" t="s">
        <v>1236</v>
      </c>
      <c r="F18" s="337">
        <v>20</v>
      </c>
    </row>
    <row r="20" spans="1:6" x14ac:dyDescent="0.25">
      <c r="A20" s="349" t="s">
        <v>1182</v>
      </c>
      <c r="F20" s="337" t="s">
        <v>22</v>
      </c>
    </row>
    <row r="23" spans="1:6" x14ac:dyDescent="0.25">
      <c r="A23" s="284" t="s">
        <v>1212</v>
      </c>
    </row>
    <row r="24" spans="1:6" x14ac:dyDescent="0.25">
      <c r="A24" s="349" t="s">
        <v>1213</v>
      </c>
    </row>
    <row r="26" spans="1:6" x14ac:dyDescent="0.25">
      <c r="A26" s="349" t="s">
        <v>1214</v>
      </c>
    </row>
    <row r="27" spans="1:6" x14ac:dyDescent="0.25">
      <c r="A27" s="349" t="s">
        <v>1215</v>
      </c>
    </row>
    <row r="28" spans="1:6" x14ac:dyDescent="0.25">
      <c r="A28" s="352" t="s">
        <v>1220</v>
      </c>
    </row>
    <row r="31" spans="1:6" x14ac:dyDescent="0.25">
      <c r="A31" s="284" t="s">
        <v>1216</v>
      </c>
    </row>
    <row r="33" spans="1:18" ht="13.95" customHeight="1" x14ac:dyDescent="0.25">
      <c r="D33" s="421" t="str">
        <f>"Number of patients ("&amp;Setup!$I$17&amp;")"</f>
        <v>Number of patients (Minutes)</v>
      </c>
      <c r="E33" s="419" t="s">
        <v>1219</v>
      </c>
      <c r="F33" s="421"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25">
      <c r="D34" s="422"/>
      <c r="E34" s="420"/>
      <c r="F34" s="422"/>
      <c r="G34" s="356">
        <v>1</v>
      </c>
      <c r="H34" s="356">
        <v>2</v>
      </c>
      <c r="I34" s="356">
        <v>3</v>
      </c>
      <c r="J34" s="356">
        <v>4</v>
      </c>
      <c r="K34" s="356">
        <v>5</v>
      </c>
      <c r="L34" s="356">
        <v>6</v>
      </c>
      <c r="M34" s="356">
        <v>7</v>
      </c>
      <c r="N34" s="356">
        <v>8</v>
      </c>
      <c r="O34" s="356">
        <v>9</v>
      </c>
      <c r="P34" s="356">
        <v>10</v>
      </c>
      <c r="Q34" s="356">
        <v>11</v>
      </c>
      <c r="R34" s="356">
        <v>12</v>
      </c>
    </row>
    <row r="35" spans="1:18"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796875" bestFit="1" customWidth="1"/>
    <col min="2" max="2" width="11.296875" customWidth="1"/>
    <col min="4" max="4" width="3.2968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6" t="s">
        <v>186</v>
      </c>
      <c r="B7" s="379"/>
      <c r="C7" s="379"/>
    </row>
    <row r="8" spans="1:3" ht="14.25" customHeight="1" x14ac:dyDescent="0.25">
      <c r="A8" s="326" t="s">
        <v>187</v>
      </c>
      <c r="B8" s="379"/>
      <c r="C8" s="379" t="str">
        <f ca="1">IF('SPC background (hide)'!H7&lt;&gt;"",'SPC background (hide)'!H7&amp;" weeks","")</f>
        <v/>
      </c>
    </row>
    <row r="9" spans="1:3" ht="14.25" customHeight="1" x14ac:dyDescent="0.25">
      <c r="A9" s="326"/>
      <c r="B9" s="379"/>
      <c r="C9" s="379"/>
    </row>
    <row r="10" spans="1:3" ht="14.25" customHeight="1" x14ac:dyDescent="0.25">
      <c r="A10" s="326" t="s">
        <v>188</v>
      </c>
      <c r="B10" s="379"/>
      <c r="C10" s="379"/>
    </row>
    <row r="11" spans="1:3" ht="14.25" customHeight="1" x14ac:dyDescent="0.25">
      <c r="A11" s="326" t="s">
        <v>189</v>
      </c>
      <c r="B11" s="379"/>
      <c r="C11" s="379" t="str">
        <f ca="1">IF('SPC background (hide)'!H9&lt;&gt;"",'SPC background (hide)'!H9&amp;" weeks","")</f>
        <v/>
      </c>
    </row>
    <row r="12" spans="1:3" ht="14.25" customHeight="1" x14ac:dyDescent="0.25">
      <c r="A12" s="326"/>
      <c r="B12" s="379"/>
      <c r="C12" s="379"/>
    </row>
    <row r="13" spans="1:3" ht="14.25" customHeight="1" x14ac:dyDescent="0.25">
      <c r="A13" s="326" t="s">
        <v>190</v>
      </c>
      <c r="B13" s="379"/>
      <c r="C13" s="379"/>
    </row>
    <row r="14" spans="1:3" ht="14.25" customHeight="1" x14ac:dyDescent="0.25">
      <c r="A14" s="326" t="s">
        <v>191</v>
      </c>
      <c r="B14" s="379"/>
      <c r="C14" s="37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796875" hidden="1" customWidth="1"/>
    <col min="5" max="14" width="13.09765625" hidden="1" customWidth="1"/>
    <col min="15" max="15" width="18.796875" customWidth="1"/>
    <col min="17" max="18" width="9" customWidth="1"/>
    <col min="20" max="20" width="9.7968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411" t="s">
        <v>24</v>
      </c>
      <c r="D6" s="413"/>
    </row>
    <row r="8" spans="1:20" x14ac:dyDescent="0.25">
      <c r="B8" t="s">
        <v>218</v>
      </c>
      <c r="C8" s="210"/>
    </row>
    <row r="10" spans="1:20" ht="13.95" customHeight="1" x14ac:dyDescent="0.25">
      <c r="B10" s="417" t="s">
        <v>128</v>
      </c>
      <c r="C10" s="417" t="s">
        <v>56</v>
      </c>
      <c r="D10" s="417"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25">
      <c r="B11" s="417"/>
      <c r="C11" s="417"/>
      <c r="D11" s="417"/>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25">
      <c r="B12" s="417"/>
      <c r="C12" s="417"/>
      <c r="D12" s="417"/>
      <c r="E12" s="6"/>
      <c r="F12" s="6"/>
      <c r="G12" s="6"/>
      <c r="H12" s="6"/>
      <c r="I12" s="6"/>
      <c r="J12" s="6"/>
      <c r="K12" s="6"/>
      <c r="L12" s="6"/>
      <c r="M12" s="6"/>
      <c r="N12" s="6"/>
      <c r="O12" s="6"/>
      <c r="P12" s="414"/>
      <c r="Q12" s="414"/>
      <c r="R12" s="414"/>
    </row>
    <row r="13" spans="1:20" x14ac:dyDescent="0.25">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296875" bestFit="1" customWidth="1"/>
    <col min="3" max="3" width="12.5" bestFit="1" customWidth="1"/>
    <col min="5" max="5" width="13" bestFit="1" customWidth="1"/>
    <col min="6" max="7" width="13" customWidth="1"/>
    <col min="8" max="9" width="11.09765625" bestFit="1" customWidth="1"/>
    <col min="10" max="10" width="14.5" bestFit="1" customWidth="1"/>
    <col min="11" max="12" width="8.796875" bestFit="1" customWidth="1"/>
    <col min="13" max="14" width="8.796875" customWidth="1"/>
    <col min="15" max="17" width="8.796875" bestFit="1" customWidth="1"/>
    <col min="18" max="18" width="6.59765625" bestFit="1" customWidth="1"/>
    <col min="19" max="19" width="5.296875" bestFit="1" customWidth="1"/>
    <col min="21" max="21" width="15.5" bestFit="1" customWidth="1"/>
    <col min="23" max="23" width="9.796875" bestFit="1" customWidth="1"/>
    <col min="29" max="29" width="14.59765625" customWidth="1"/>
    <col min="30" max="30" width="9.7968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296875" style="52" customWidth="1"/>
    <col min="2" max="2" width="11.5" style="52" customWidth="1"/>
    <col min="3" max="19" width="9" style="52"/>
    <col min="20" max="20" width="9.7968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296875" style="52" hidden="1" customWidth="1"/>
    <col min="11" max="11" width="9.796875" style="72" hidden="1" customWidth="1"/>
    <col min="12" max="12" width="9" style="72" customWidth="1"/>
    <col min="13" max="13" width="3.19921875" style="72" customWidth="1"/>
    <col min="14" max="14" width="23.296875" customWidth="1"/>
    <col min="15" max="15" width="16.19921875" bestFit="1" customWidth="1"/>
    <col min="16" max="16" width="13" customWidth="1"/>
    <col min="17" max="17" width="6.5" customWidth="1"/>
    <col min="18" max="18" width="8.296875" customWidth="1"/>
    <col min="19" max="19" width="8.2968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389" t="s">
        <v>1299</v>
      </c>
      <c r="O2" s="72"/>
      <c r="P2" s="72"/>
      <c r="Q2" s="72"/>
      <c r="R2" s="72"/>
      <c r="S2" s="72"/>
      <c r="T2" s="72"/>
      <c r="U2" s="72"/>
    </row>
    <row r="3" spans="1:23" s="52" customFormat="1" x14ac:dyDescent="0.25">
      <c r="B3" s="72" t="s">
        <v>474</v>
      </c>
      <c r="C3" s="390"/>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B12" s="56" t="s">
        <v>1295</v>
      </c>
      <c r="C12" s="386" t="s">
        <v>1304</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3" t="s">
        <v>440</v>
      </c>
      <c r="C13" s="423"/>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5">
      <c r="A15" s="226"/>
      <c r="B15" s="72"/>
      <c r="C15" s="72"/>
      <c r="D15" s="72"/>
      <c r="E15" s="72"/>
      <c r="F15" s="72"/>
      <c r="G15" s="71"/>
      <c r="H15" s="225">
        <f>SUMIF(L17:L116,"x",H17:H116)</f>
        <v>678</v>
      </c>
      <c r="I15" s="225">
        <f>H15/52</f>
        <v>13.038461538461538</v>
      </c>
      <c r="J15" s="67"/>
      <c r="K15" s="67"/>
      <c r="L15" s="67"/>
      <c r="M15" s="368"/>
      <c r="N15" s="72"/>
      <c r="O15" s="72"/>
      <c r="P15" s="72"/>
      <c r="Q15" s="72"/>
      <c r="R15" s="119" t="s">
        <v>255</v>
      </c>
      <c r="S15" s="119"/>
      <c r="T15" s="224">
        <f>SUMIF(V17:V116,"x",T17:T116)</f>
        <v>110</v>
      </c>
      <c r="U15" s="224">
        <f>SUM(U17:U116)</f>
        <v>2.1153846153846154</v>
      </c>
      <c r="W15" s="72"/>
    </row>
    <row r="16" spans="1:23" ht="44.25" customHeight="1" x14ac:dyDescent="0.25">
      <c r="A16" s="293">
        <f>MAX(A17:A116)</f>
        <v>6</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5">
      <c r="A17" s="293">
        <f>IF(B17&lt;&gt;"",ROW(A1),0)</f>
        <v>1</v>
      </c>
      <c r="B17" s="163" t="s">
        <v>1282</v>
      </c>
      <c r="C17" s="163" t="s">
        <v>1283</v>
      </c>
      <c r="D17" s="163"/>
      <c r="E17" s="175">
        <v>30</v>
      </c>
      <c r="F17" s="175">
        <v>7</v>
      </c>
      <c r="G17" s="130"/>
      <c r="H17" s="222">
        <f>IF(ROW(A1)&lt;=$A$16,F17*E17,"")</f>
        <v>210</v>
      </c>
      <c r="I17" s="299">
        <f>IFERROR(H17/52,"")</f>
        <v>4.0384615384615383</v>
      </c>
      <c r="J17" s="67"/>
      <c r="K17" s="67"/>
      <c r="L17" s="361" t="s">
        <v>1238</v>
      </c>
      <c r="M17" s="294">
        <f>IF(N17&lt;&gt;"",ROW(A1),0)</f>
        <v>1</v>
      </c>
      <c r="N17" s="176" t="s">
        <v>1284</v>
      </c>
      <c r="O17" s="176"/>
      <c r="P17" s="176"/>
      <c r="Q17" s="177">
        <v>10</v>
      </c>
      <c r="R17" s="177">
        <v>5</v>
      </c>
      <c r="S17" s="131"/>
      <c r="T17" s="223">
        <f>IF(ROW(A1)&lt;=$M$16,R17*Q17,"")</f>
        <v>50</v>
      </c>
      <c r="U17" s="300">
        <f>IFERROR(T17/52,"")</f>
        <v>0.96153846153846156</v>
      </c>
      <c r="V17" s="362" t="s">
        <v>1238</v>
      </c>
      <c r="W17" s="72"/>
    </row>
    <row r="18" spans="1:23" x14ac:dyDescent="0.25">
      <c r="A18" s="293">
        <f t="shared" ref="A18:A81" si="0">IF(B18&lt;&gt;"",ROW(A2),0)</f>
        <v>2</v>
      </c>
      <c r="B18" s="163" t="s">
        <v>1285</v>
      </c>
      <c r="C18" s="163" t="s">
        <v>1283</v>
      </c>
      <c r="D18" s="163"/>
      <c r="E18" s="175">
        <v>30</v>
      </c>
      <c r="F18" s="175">
        <v>7</v>
      </c>
      <c r="G18" s="130"/>
      <c r="H18" s="222">
        <f t="shared" ref="H18:H81" si="1">IF(ROW(A2)&lt;=$A$16,F18*E18,"")</f>
        <v>210</v>
      </c>
      <c r="I18" s="299">
        <f t="shared" ref="I18:I81" si="2">IFERROR(H18/52,"")</f>
        <v>4.0384615384615383</v>
      </c>
      <c r="J18" s="67"/>
      <c r="K18" s="67"/>
      <c r="L18" s="361" t="s">
        <v>1238</v>
      </c>
      <c r="M18" s="294">
        <f t="shared" ref="M18:M81" si="3">IF(N18&lt;&gt;"",ROW(A2),0)</f>
        <v>2</v>
      </c>
      <c r="N18" s="176" t="s">
        <v>1286</v>
      </c>
      <c r="O18" s="163"/>
      <c r="P18" s="163"/>
      <c r="Q18" s="175">
        <v>12</v>
      </c>
      <c r="R18" s="175">
        <v>5</v>
      </c>
      <c r="S18" s="130"/>
      <c r="T18" s="223">
        <f t="shared" ref="T18:T81" si="4">IF(ROW(A2)&lt;=$M$16,R18*Q18,"")</f>
        <v>60</v>
      </c>
      <c r="U18" s="299">
        <f t="shared" ref="U18:U81" si="5">IFERROR(T18/52,"")</f>
        <v>1.1538461538461537</v>
      </c>
      <c r="V18" s="362" t="s">
        <v>1238</v>
      </c>
      <c r="W18" s="72"/>
    </row>
    <row r="19" spans="1:23" x14ac:dyDescent="0.25">
      <c r="A19" s="293">
        <f t="shared" si="0"/>
        <v>3</v>
      </c>
      <c r="B19" s="163" t="s">
        <v>1287</v>
      </c>
      <c r="C19" s="163" t="s">
        <v>1288</v>
      </c>
      <c r="D19" s="163"/>
      <c r="E19" s="175">
        <v>21</v>
      </c>
      <c r="F19" s="175">
        <v>4</v>
      </c>
      <c r="G19" s="130"/>
      <c r="H19" s="222">
        <f t="shared" si="1"/>
        <v>84</v>
      </c>
      <c r="I19" s="299">
        <f t="shared" si="2"/>
        <v>1.6153846153846154</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5">
      <c r="A20" s="293">
        <f t="shared" si="0"/>
        <v>4</v>
      </c>
      <c r="B20" s="163" t="s">
        <v>1289</v>
      </c>
      <c r="C20" s="163" t="s">
        <v>1290</v>
      </c>
      <c r="D20" s="163"/>
      <c r="E20" s="175">
        <v>12</v>
      </c>
      <c r="F20" s="175">
        <v>4</v>
      </c>
      <c r="G20" s="130"/>
      <c r="H20" s="222">
        <f t="shared" si="1"/>
        <v>48</v>
      </c>
      <c r="I20" s="299">
        <f t="shared" si="2"/>
        <v>0.92307692307692313</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5">
      <c r="A21" s="293">
        <f t="shared" si="0"/>
        <v>5</v>
      </c>
      <c r="B21" s="163" t="s">
        <v>1291</v>
      </c>
      <c r="C21" s="163" t="s">
        <v>1292</v>
      </c>
      <c r="D21" s="163"/>
      <c r="E21" s="175">
        <v>42</v>
      </c>
      <c r="F21" s="175">
        <v>3</v>
      </c>
      <c r="G21" s="130"/>
      <c r="H21" s="222">
        <f t="shared" si="1"/>
        <v>126</v>
      </c>
      <c r="I21" s="222">
        <f t="shared" si="2"/>
        <v>2.4230769230769229</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5">
      <c r="A22" s="293">
        <f t="shared" si="0"/>
        <v>6</v>
      </c>
      <c r="B22" s="163" t="s">
        <v>1303</v>
      </c>
      <c r="C22" s="163"/>
      <c r="D22" s="163"/>
      <c r="E22" s="175"/>
      <c r="F22" s="175"/>
      <c r="G22" s="130"/>
      <c r="H22" s="222">
        <f t="shared" si="1"/>
        <v>0</v>
      </c>
      <c r="I22" s="222">
        <f t="shared" si="2"/>
        <v>0</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5">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5">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5">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5">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5">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5">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5">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5">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5">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5">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5">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5">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5">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5">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5">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5">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5">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5">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5">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5">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5">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5">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5">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5">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5">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5">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5">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5">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5">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5">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5">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5">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5">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5">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5">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5">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5">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5">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5">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5">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5">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5">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5">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5">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5">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5">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5">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5">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5">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5">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5">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5">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5">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5">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5">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5">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5">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5">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5">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5">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5">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5">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5">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5">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5">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5">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5">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5">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5">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5">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5">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5">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5">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5">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5">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5">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5">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5">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5">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5">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5">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5">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5">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5">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5">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5">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5">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5">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5">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5">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5">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5">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5">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91440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1424940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167640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236220</xdr:colOff>
                    <xdr:row>2</xdr:row>
                    <xdr:rowOff>106680</xdr:rowOff>
                  </from>
                  <to>
                    <xdr:col>13</xdr:col>
                    <xdr:colOff>1356360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243840</xdr:colOff>
                    <xdr:row>5</xdr:row>
                    <xdr:rowOff>38100</xdr:rowOff>
                  </from>
                  <to>
                    <xdr:col>13</xdr:col>
                    <xdr:colOff>1356360</xdr:colOff>
                    <xdr:row>7</xdr:row>
                    <xdr:rowOff>99060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243840</xdr:colOff>
                    <xdr:row>7</xdr:row>
                    <xdr:rowOff>167640</xdr:rowOff>
                  </from>
                  <to>
                    <xdr:col>13</xdr:col>
                    <xdr:colOff>1348740</xdr:colOff>
                    <xdr:row>12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796875" style="81" customWidth="1"/>
    <col min="4" max="5" width="10.796875" style="72" customWidth="1"/>
    <col min="6" max="6" width="0.796875" style="81" customWidth="1"/>
    <col min="7" max="8" width="10.796875" style="72" customWidth="1"/>
    <col min="9" max="9" width="0.796875" style="81" customWidth="1"/>
    <col min="10" max="11" width="10.796875" style="72" customWidth="1"/>
    <col min="12" max="12" width="0.796875" style="81" customWidth="1"/>
    <col min="13" max="14" width="10.796875" style="72" customWidth="1"/>
    <col min="15" max="15" width="0.796875" style="81" customWidth="1"/>
    <col min="16" max="17" width="10.796875" style="72" customWidth="1"/>
    <col min="18" max="18" width="2.7968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44181</v>
      </c>
      <c r="F3" s="111"/>
    </row>
    <row r="4" spans="1:19" x14ac:dyDescent="0.25">
      <c r="B4" s="139" t="s">
        <v>437</v>
      </c>
      <c r="C4" s="139"/>
      <c r="D4" s="271">
        <f ca="1">IF(Capacity!C4="",DATE(YEAR(D3)+1,MONTH(D3),DAY(D3))-1,Capacity!C4)</f>
        <v>44545</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8" t="s">
        <v>475</v>
      </c>
      <c r="E8" s="428"/>
      <c r="F8" s="428"/>
      <c r="G8" s="428"/>
      <c r="H8" s="428"/>
      <c r="I8" s="428"/>
      <c r="J8" s="428"/>
      <c r="K8" s="428"/>
      <c r="L8" s="108"/>
      <c r="M8" s="106"/>
      <c r="N8" s="106"/>
      <c r="O8" s="108"/>
      <c r="P8" s="106"/>
      <c r="Q8" s="106"/>
      <c r="S8" s="78"/>
    </row>
    <row r="10" spans="1:19" x14ac:dyDescent="0.25">
      <c r="D10" s="426" t="s">
        <v>444</v>
      </c>
      <c r="E10" s="427"/>
      <c r="F10" s="112"/>
      <c r="G10" s="424" t="s">
        <v>445</v>
      </c>
      <c r="H10" s="425"/>
      <c r="I10" s="112"/>
      <c r="J10" s="426" t="s">
        <v>446</v>
      </c>
      <c r="K10" s="427"/>
      <c r="L10" s="112"/>
      <c r="M10" s="424" t="s">
        <v>447</v>
      </c>
      <c r="N10" s="425"/>
      <c r="O10" s="112"/>
      <c r="P10" s="426" t="s">
        <v>448</v>
      </c>
      <c r="Q10" s="427"/>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1255</v>
      </c>
      <c r="D13" s="174">
        <v>43815</v>
      </c>
      <c r="E13" s="174">
        <v>43849</v>
      </c>
      <c r="F13" s="111"/>
      <c r="G13" s="174"/>
      <c r="H13" s="174"/>
      <c r="J13" s="174"/>
      <c r="K13" s="174"/>
      <c r="M13" s="174"/>
      <c r="N13" s="174"/>
      <c r="P13" s="174"/>
      <c r="Q13" s="174"/>
    </row>
    <row r="14" spans="1:19" x14ac:dyDescent="0.25">
      <c r="A14" s="74">
        <f t="shared" si="0"/>
        <v>3</v>
      </c>
      <c r="B14" s="172" t="s">
        <v>1256</v>
      </c>
      <c r="D14" s="174">
        <v>43682</v>
      </c>
      <c r="E14" s="174">
        <v>43723</v>
      </c>
      <c r="F14" s="111"/>
      <c r="G14" s="174"/>
      <c r="H14" s="174"/>
      <c r="J14" s="174"/>
      <c r="K14" s="174"/>
      <c r="M14" s="174"/>
      <c r="N14" s="174"/>
      <c r="P14" s="174"/>
      <c r="Q14" s="174"/>
    </row>
    <row r="15" spans="1:19" x14ac:dyDescent="0.25">
      <c r="A15" s="74">
        <f t="shared" si="0"/>
        <v>4</v>
      </c>
      <c r="B15" s="172" t="s">
        <v>1257</v>
      </c>
      <c r="D15" s="174"/>
      <c r="E15" s="174"/>
      <c r="G15" s="174"/>
      <c r="H15" s="174"/>
      <c r="J15" s="174"/>
      <c r="K15" s="174"/>
      <c r="M15" s="174"/>
      <c r="N15" s="174"/>
      <c r="P15" s="174"/>
      <c r="Q15" s="174"/>
    </row>
    <row r="16" spans="1:19" x14ac:dyDescent="0.25">
      <c r="A16" s="74">
        <f t="shared" si="0"/>
        <v>5</v>
      </c>
      <c r="B16" s="172" t="s">
        <v>1258</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796875" style="72" customWidth="1"/>
    <col min="2" max="2" width="19.7968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9" t="s">
        <v>473</v>
      </c>
      <c r="C1" s="429"/>
      <c r="D1" s="429"/>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1259</v>
      </c>
      <c r="D12" s="132"/>
      <c r="E12" s="132"/>
      <c r="F12" s="215">
        <f>IF(ROW(A1)&lt;=Capacity!$A$16,Capacity!E17,"")</f>
        <v>30</v>
      </c>
      <c r="G12" s="216">
        <f ca="1">IF(ROW(A1)&lt;=Capacity!$A$16,'Capacity calculation (hide)'!BH5,"")</f>
        <v>52</v>
      </c>
      <c r="H12" s="215">
        <f>IF(ROW(A1)&lt;=Capacity!$A$16,Capacity!H17,"")</f>
        <v>210</v>
      </c>
      <c r="I12" s="217">
        <f ca="1">IF(ROW(A1)&lt;=Capacity!$A$16,'Capacity calculation (hide)'!DL5,"")</f>
        <v>210.00000000000011</v>
      </c>
      <c r="J12" s="218" t="str">
        <f ca="1">IFERROR(IF(G12-F12 &lt;0, "Under","Over"),"")</f>
        <v>Over</v>
      </c>
    </row>
    <row r="13" spans="1:11" x14ac:dyDescent="0.25">
      <c r="B13" s="218" t="str">
        <f>IF(Capacity!B18=0,"",Capacity!B18)</f>
        <v>Core Clinic 2</v>
      </c>
      <c r="C13" s="132" t="s">
        <v>1259</v>
      </c>
      <c r="D13" s="132" t="s">
        <v>1260</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25">
      <c r="B14" s="218" t="str">
        <f>IF(Capacity!B19=0,"",Capacity!B19)</f>
        <v>Core Clinic 3</v>
      </c>
      <c r="C14" s="132" t="s">
        <v>1260</v>
      </c>
      <c r="D14" s="132" t="s">
        <v>1261</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25">
      <c r="B15" s="218" t="str">
        <f>IF(Capacity!B20=0,"",Capacity!B20)</f>
        <v>Core Clinic 4</v>
      </c>
      <c r="C15" s="132" t="s">
        <v>1261</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25">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25">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1261</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25">
      <c r="B119" s="218" t="str">
        <f>IF(Capacity!N18=0,"",Capacity!N18)</f>
        <v>Ad Hoc 2</v>
      </c>
      <c r="C119" s="132" t="s">
        <v>1261</v>
      </c>
      <c r="D119" s="132" t="s">
        <v>1260</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5">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5">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5">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5">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5">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5">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5">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5">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5">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5">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5">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5">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5">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5">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5">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5">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5">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5">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5">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5">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5">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5">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5">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5">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5">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5">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5">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5">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5">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5">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5">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5">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5">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5">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5">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5">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5">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5">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5">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5">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5">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5">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5">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5">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5">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5">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5">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5">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5">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5">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5">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5">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5">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5">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5">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5">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5">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5">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5">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5">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5">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5">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5">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5">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5">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5">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5">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5">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5">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5">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5">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5">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5">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5">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5">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5">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5">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5">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5">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5">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5">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5">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5">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5">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5">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5">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5">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5">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5">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5">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5">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5">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5">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5">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5">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5">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296875" style="67" customWidth="1"/>
    <col min="18" max="19" width="2.09765625" style="67" customWidth="1"/>
    <col min="20" max="20" width="2.296875" style="67" customWidth="1"/>
    <col min="21" max="21" width="2.09765625" style="67" customWidth="1"/>
    <col min="22" max="22" width="2.296875" style="67" customWidth="1"/>
    <col min="23" max="25" width="2.09765625" style="67" customWidth="1"/>
    <col min="26" max="26" width="2.19921875" style="67" customWidth="1"/>
    <col min="27" max="27" width="2.2968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296875" style="67" customWidth="1"/>
    <col min="35" max="36" width="2.09765625" style="67" customWidth="1"/>
    <col min="37" max="37" width="2.5" style="67" customWidth="1"/>
    <col min="38" max="40" width="2.09765625" style="67" customWidth="1"/>
    <col min="41" max="41" width="2.296875" style="67" customWidth="1"/>
    <col min="42" max="44" width="2.09765625" style="67" customWidth="1"/>
    <col min="45" max="46" width="2.296875" style="67" customWidth="1"/>
    <col min="47" max="48" width="2.09765625" style="67" customWidth="1"/>
    <col min="49" max="49" width="2.19921875" style="67" customWidth="1"/>
    <col min="50" max="50" width="2.09765625" style="67" customWidth="1"/>
    <col min="51" max="51" width="2.296875" style="67" customWidth="1"/>
    <col min="52" max="52" width="2.09765625" style="67" customWidth="1"/>
    <col min="53" max="53" width="2.5" style="67" customWidth="1"/>
    <col min="54" max="57" width="2.09765625" style="67" customWidth="1"/>
    <col min="58" max="58" width="2.296875" style="67" customWidth="1"/>
    <col min="59" max="59" width="2.09765625" style="67" customWidth="1"/>
    <col min="60" max="60" width="2.7968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(hide)'!DL4</f>
        <v>691.03846153846189</v>
      </c>
      <c r="D4" s="221">
        <f ca="1">'Capacity calculation (hide)'!DL111</f>
        <v>112.11538461538454</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11" t="s">
        <v>57</v>
      </c>
      <c r="D10" s="412"/>
      <c r="E10" s="41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11" t="s">
        <v>57</v>
      </c>
      <c r="D11" s="412"/>
      <c r="E11" s="41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30" t="s">
        <v>1274</v>
      </c>
      <c r="C21" s="433" t="s">
        <v>486</v>
      </c>
      <c r="D21" s="434"/>
      <c r="E21" s="437" t="s">
        <v>483</v>
      </c>
      <c r="F21" s="43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31"/>
      <c r="C22" s="435"/>
      <c r="D22" s="436"/>
      <c r="E22" s="439"/>
      <c r="F22" s="44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2"/>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5">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5">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5">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5">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5">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5">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5">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5">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5">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5">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5">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5">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5">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5">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5">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5">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5">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5">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5">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5">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5">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5">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5">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5">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5">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5">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5">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5">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5">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5">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5">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5">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5">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5">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5">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5">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5">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5">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5">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5">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5">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5">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5">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5">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5">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5">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5">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5">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5">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5">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5">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5">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5">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5">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5">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5">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5">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5">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5">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5">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5">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5">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5">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5">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5">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5">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5">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5">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5">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5">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5">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5">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5">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5">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5">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5">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5">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5">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5">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5">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5">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5">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5">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5">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5">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5">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5">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5">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5">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5">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5">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5">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5">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5">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5">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5">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5">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5">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5">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5">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5">
      <c r="B124" s="67" t="str">
        <f>IF(Capacity!B17="","",Capacity!B17)</f>
        <v>Core Clinic 1</v>
      </c>
      <c r="C124" s="220">
        <f>IF(B124="","",Capacity!E17)</f>
        <v>30</v>
      </c>
      <c r="D124" s="309">
        <f>IF(B124="","",Capacity!F17)</f>
        <v>7</v>
      </c>
      <c r="E124" s="220">
        <f ca="1">IF(B124="","",IF(COUNTBLANK(H124:BG124)=52,SUM('Capacity calculation (hide)'!H5:BG5),52-COUNTBLANK(H124:BG124)))</f>
        <v>52</v>
      </c>
      <c r="F124" s="310">
        <f ca="1">'Capacity calculation (hide)'!BI5</f>
        <v>4.0384615384615383</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5">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5">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5">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5">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5">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5">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5">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5">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5">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5">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5">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5">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5">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5">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5">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5">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5">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5">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5">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5">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5">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5">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5">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5">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5">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5">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5">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5">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5">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5">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5">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5">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5">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5">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5">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5">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5">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5">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5">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5">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5">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5">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5">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5">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5">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5">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5">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5">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5">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5">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5">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5">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5">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5">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5">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5">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5">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5">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5">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5">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5">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5">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5">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5">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5">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5">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5">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5">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5">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5">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5">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5">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5">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5">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5">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5">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5">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5">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5">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5">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5">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5">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5">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5">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5">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5">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5">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5">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5">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5">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5">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5">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5">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5">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5">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5">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5">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5">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5">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5">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5">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5">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5">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5">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5">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5">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5">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5">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5">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5">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5">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5">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5">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5">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5">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5">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5">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5">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5">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5">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5">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5">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167640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3.8" x14ac:dyDescent="0.25"/>
  <cols>
    <col min="1" max="1" width="9.796875" style="67" bestFit="1" customWidth="1"/>
    <col min="2" max="2" width="17.796875" style="67" bestFit="1" customWidth="1"/>
    <col min="3" max="6" width="10.296875" style="67" customWidth="1"/>
    <col min="7" max="7" width="16.59765625" style="67" customWidth="1"/>
    <col min="8" max="9" width="10.296875" style="67" customWidth="1"/>
    <col min="10" max="19" width="9" style="67" customWidth="1"/>
    <col min="20" max="20" width="14.796875" style="67" customWidth="1"/>
    <col min="21" max="100" width="9" style="67" customWidth="1"/>
    <col min="101" max="101" width="9.7968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7">
        <f ca="1">B6+6</f>
        <v>44185</v>
      </c>
      <c r="B6" s="87">
        <f ca="1">IF('Critical resources'!$D$3="",TODAY()-WEEKDAY(TODAY(),3)+7,'Critical resources'!D3-WEEKDAY('Critical resources'!D3,3))</f>
        <v>44179</v>
      </c>
      <c r="C6" s="67">
        <v>1</v>
      </c>
      <c r="D6" s="67">
        <f ca="1">YEAR(B6)</f>
        <v>2020</v>
      </c>
      <c r="E6" s="67" t="str">
        <f t="shared" ref="E6:E54" ca="1" si="0">IF(TEXT(B6,"MMM")=TEXT(B5,"MMM")," ",TEXT(B6,"MMM"))</f>
        <v>Dec</v>
      </c>
      <c r="F6" s="67">
        <f ca="1">WEEKNUM(B6,21)</f>
        <v>51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7">
        <f t="shared" ref="A7:A58" ca="1" si="6">B7+6</f>
        <v>44192</v>
      </c>
      <c r="B7" s="87">
        <f ca="1">B6+7</f>
        <v>44186</v>
      </c>
      <c r="C7" s="67">
        <v>2</v>
      </c>
      <c r="D7" s="67" t="str">
        <f ca="1">IF(YEAR(B7)=YEAR(B6),"",YEAR(B7))</f>
        <v/>
      </c>
      <c r="E7" s="67" t="str">
        <f t="shared" ca="1" si="0"/>
        <v xml:space="preserve"> </v>
      </c>
      <c r="F7" s="67">
        <f t="shared" ref="F7:F58" ca="1" si="7">WEEKNUM(B7,21)</f>
        <v>52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7">
        <f t="shared" ca="1" si="6"/>
        <v>44199</v>
      </c>
      <c r="B8" s="87">
        <f t="shared" ref="B8:B58" ca="1" si="9">B7+7</f>
        <v>44193</v>
      </c>
      <c r="C8" s="67">
        <v>3</v>
      </c>
      <c r="D8" s="67" t="str">
        <f t="shared" ref="D8:D57" ca="1" si="10">IF(YEAR(B8)=YEAR(B7),"",YEAR(B8))</f>
        <v/>
      </c>
      <c r="E8" s="67" t="str">
        <f t="shared" ca="1" si="0"/>
        <v xml:space="preserve"> </v>
      </c>
      <c r="F8" s="67">
        <f t="shared" ca="1" si="7"/>
        <v>53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7">
        <f t="shared" ca="1" si="6"/>
        <v>44206</v>
      </c>
      <c r="B9" s="87">
        <f t="shared" ca="1" si="9"/>
        <v>44200</v>
      </c>
      <c r="C9" s="67">
        <v>4</v>
      </c>
      <c r="D9" s="67">
        <f t="shared" ca="1" si="10"/>
        <v>2021</v>
      </c>
      <c r="E9" s="67" t="str">
        <f t="shared" ca="1" si="0"/>
        <v>Jan</v>
      </c>
      <c r="F9" s="67">
        <f t="shared" ca="1" si="7"/>
        <v>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7">
        <f t="shared" ca="1" si="6"/>
        <v>44213</v>
      </c>
      <c r="B10" s="87">
        <f t="shared" ca="1" si="9"/>
        <v>44207</v>
      </c>
      <c r="C10" s="67">
        <v>5</v>
      </c>
      <c r="D10" s="67" t="str">
        <f t="shared" ca="1" si="10"/>
        <v/>
      </c>
      <c r="E10" s="67" t="str">
        <f t="shared" ca="1" si="0"/>
        <v xml:space="preserve"> </v>
      </c>
      <c r="F10" s="67">
        <f t="shared" ca="1" si="7"/>
        <v>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7">
        <f t="shared" ca="1" si="6"/>
        <v>44220</v>
      </c>
      <c r="B11" s="87">
        <f t="shared" ca="1" si="9"/>
        <v>44214</v>
      </c>
      <c r="C11" s="67">
        <v>6</v>
      </c>
      <c r="D11" s="67" t="str">
        <f t="shared" ca="1" si="10"/>
        <v/>
      </c>
      <c r="E11" s="67" t="str">
        <f t="shared" ca="1" si="0"/>
        <v xml:space="preserve"> </v>
      </c>
      <c r="F11" s="67">
        <f t="shared" ca="1" si="7"/>
        <v>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7">
        <f t="shared" ca="1" si="6"/>
        <v>44227</v>
      </c>
      <c r="B12" s="87">
        <f t="shared" ca="1" si="9"/>
        <v>44221</v>
      </c>
      <c r="C12" s="67">
        <v>7</v>
      </c>
      <c r="D12" s="67" t="str">
        <f t="shared" ca="1" si="10"/>
        <v/>
      </c>
      <c r="E12" s="67" t="str">
        <f t="shared" ca="1" si="0"/>
        <v xml:space="preserve"> </v>
      </c>
      <c r="F12" s="67">
        <f t="shared" ca="1" si="7"/>
        <v>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7">
        <f t="shared" ca="1" si="6"/>
        <v>44234</v>
      </c>
      <c r="B13" s="87">
        <f t="shared" ca="1" si="9"/>
        <v>44228</v>
      </c>
      <c r="C13" s="67">
        <v>8</v>
      </c>
      <c r="D13" s="67" t="str">
        <f t="shared" ca="1" si="10"/>
        <v/>
      </c>
      <c r="E13" s="67" t="str">
        <f t="shared" ca="1" si="0"/>
        <v>Feb</v>
      </c>
      <c r="F13" s="67">
        <f t="shared" ca="1" si="7"/>
        <v>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7">
        <f t="shared" ca="1" si="6"/>
        <v>44241</v>
      </c>
      <c r="B14" s="87">
        <f t="shared" ca="1" si="9"/>
        <v>44235</v>
      </c>
      <c r="C14" s="67">
        <v>9</v>
      </c>
      <c r="D14" s="67" t="str">
        <f t="shared" ca="1" si="10"/>
        <v/>
      </c>
      <c r="E14" s="67" t="str">
        <f t="shared" ca="1" si="0"/>
        <v xml:space="preserve"> </v>
      </c>
      <c r="F14" s="67">
        <f t="shared" ca="1" si="7"/>
        <v>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7">
        <f t="shared" ca="1" si="6"/>
        <v>44248</v>
      </c>
      <c r="B15" s="87">
        <f t="shared" ca="1" si="9"/>
        <v>44242</v>
      </c>
      <c r="C15" s="67">
        <v>10</v>
      </c>
      <c r="D15" s="67" t="str">
        <f t="shared" ca="1" si="10"/>
        <v/>
      </c>
      <c r="E15" s="67" t="str">
        <f t="shared" ca="1" si="0"/>
        <v xml:space="preserve"> </v>
      </c>
      <c r="F15" s="67">
        <f t="shared" ca="1" si="7"/>
        <v>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7">
        <f t="shared" ca="1" si="6"/>
        <v>44255</v>
      </c>
      <c r="B16" s="87">
        <f t="shared" ca="1" si="9"/>
        <v>44249</v>
      </c>
      <c r="C16" s="67">
        <v>11</v>
      </c>
      <c r="D16" s="67" t="str">
        <f t="shared" ca="1" si="10"/>
        <v/>
      </c>
      <c r="E16" s="67" t="str">
        <f t="shared" ca="1" si="0"/>
        <v xml:space="preserve"> </v>
      </c>
      <c r="F16" s="67">
        <f t="shared" ca="1" si="7"/>
        <v>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7">
        <f t="shared" ca="1" si="6"/>
        <v>44262</v>
      </c>
      <c r="B17" s="87">
        <f t="shared" ca="1" si="9"/>
        <v>44256</v>
      </c>
      <c r="C17" s="67">
        <v>12</v>
      </c>
      <c r="D17" s="67" t="str">
        <f t="shared" ca="1" si="10"/>
        <v/>
      </c>
      <c r="E17" s="67" t="str">
        <f t="shared" ca="1" si="0"/>
        <v>Mar</v>
      </c>
      <c r="F17" s="67">
        <f t="shared" ca="1" si="7"/>
        <v>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7">
        <f t="shared" ca="1" si="6"/>
        <v>44269</v>
      </c>
      <c r="B18" s="87">
        <f t="shared" ca="1" si="9"/>
        <v>44263</v>
      </c>
      <c r="C18" s="67">
        <v>13</v>
      </c>
      <c r="D18" s="67" t="str">
        <f t="shared" ca="1" si="10"/>
        <v/>
      </c>
      <c r="E18" s="67" t="str">
        <f t="shared" ca="1" si="0"/>
        <v xml:space="preserve"> </v>
      </c>
      <c r="F18" s="67">
        <f t="shared" ca="1" si="7"/>
        <v>10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7">
        <f t="shared" ca="1" si="6"/>
        <v>44276</v>
      </c>
      <c r="B19" s="87">
        <f t="shared" ca="1" si="9"/>
        <v>44270</v>
      </c>
      <c r="C19" s="67">
        <v>14</v>
      </c>
      <c r="D19" s="67" t="str">
        <f t="shared" ca="1" si="10"/>
        <v/>
      </c>
      <c r="E19" s="67" t="str">
        <f t="shared" ca="1" si="0"/>
        <v xml:space="preserve"> </v>
      </c>
      <c r="F19" s="67">
        <f t="shared" ca="1" si="7"/>
        <v>11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7">
        <f t="shared" ca="1" si="6"/>
        <v>44283</v>
      </c>
      <c r="B20" s="87">
        <f t="shared" ca="1" si="9"/>
        <v>44277</v>
      </c>
      <c r="C20" s="67">
        <v>15</v>
      </c>
      <c r="D20" s="67" t="str">
        <f t="shared" ca="1" si="10"/>
        <v/>
      </c>
      <c r="E20" s="67" t="str">
        <f t="shared" ca="1" si="0"/>
        <v xml:space="preserve"> </v>
      </c>
      <c r="F20" s="67">
        <f t="shared" ca="1" si="7"/>
        <v>12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7">
        <f t="shared" ca="1" si="6"/>
        <v>44290</v>
      </c>
      <c r="B21" s="87">
        <f t="shared" ca="1" si="9"/>
        <v>44284</v>
      </c>
      <c r="C21" s="67">
        <v>16</v>
      </c>
      <c r="D21" s="67" t="str">
        <f t="shared" ca="1" si="10"/>
        <v/>
      </c>
      <c r="E21" s="67" t="str">
        <f t="shared" ca="1" si="0"/>
        <v xml:space="preserve"> </v>
      </c>
      <c r="F21" s="67">
        <f t="shared" ca="1" si="7"/>
        <v>13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7">
        <f t="shared" ca="1" si="6"/>
        <v>44297</v>
      </c>
      <c r="B22" s="87">
        <f t="shared" ca="1" si="9"/>
        <v>44291</v>
      </c>
      <c r="C22" s="67">
        <v>17</v>
      </c>
      <c r="D22" s="67" t="str">
        <f t="shared" ca="1" si="10"/>
        <v/>
      </c>
      <c r="E22" s="67" t="str">
        <f t="shared" ca="1" si="0"/>
        <v>Apr</v>
      </c>
      <c r="F22" s="67">
        <f t="shared" ca="1" si="7"/>
        <v>14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7">
        <f t="shared" ca="1" si="6"/>
        <v>44304</v>
      </c>
      <c r="B23" s="87">
        <f t="shared" ca="1" si="9"/>
        <v>44298</v>
      </c>
      <c r="C23" s="67">
        <v>18</v>
      </c>
      <c r="D23" s="67" t="str">
        <f t="shared" ca="1" si="10"/>
        <v/>
      </c>
      <c r="E23" s="67" t="str">
        <f t="shared" ca="1" si="0"/>
        <v xml:space="preserve"> </v>
      </c>
      <c r="F23" s="67">
        <f t="shared" ca="1" si="7"/>
        <v>15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7">
        <f t="shared" ca="1" si="6"/>
        <v>44311</v>
      </c>
      <c r="B24" s="87">
        <f t="shared" ca="1" si="9"/>
        <v>44305</v>
      </c>
      <c r="C24" s="67">
        <v>19</v>
      </c>
      <c r="D24" s="67" t="str">
        <f t="shared" ca="1" si="10"/>
        <v/>
      </c>
      <c r="E24" s="67" t="str">
        <f t="shared" ca="1" si="0"/>
        <v xml:space="preserve"> </v>
      </c>
      <c r="F24" s="67">
        <f t="shared" ca="1" si="7"/>
        <v>16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7">
        <f t="shared" ca="1" si="6"/>
        <v>44318</v>
      </c>
      <c r="B25" s="87">
        <f t="shared" ca="1" si="9"/>
        <v>44312</v>
      </c>
      <c r="C25" s="67">
        <v>20</v>
      </c>
      <c r="D25" s="67" t="str">
        <f t="shared" ca="1" si="10"/>
        <v/>
      </c>
      <c r="E25" s="67" t="str">
        <f t="shared" ca="1" si="0"/>
        <v xml:space="preserve"> </v>
      </c>
      <c r="F25" s="67">
        <f t="shared" ca="1" si="7"/>
        <v>17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7">
        <f t="shared" ca="1" si="6"/>
        <v>44325</v>
      </c>
      <c r="B26" s="87">
        <f t="shared" ca="1" si="9"/>
        <v>44319</v>
      </c>
      <c r="C26" s="67">
        <v>21</v>
      </c>
      <c r="D26" s="67" t="str">
        <f t="shared" ca="1" si="10"/>
        <v/>
      </c>
      <c r="E26" s="67" t="str">
        <f t="shared" ca="1" si="0"/>
        <v>May</v>
      </c>
      <c r="F26" s="67">
        <f t="shared" ca="1" si="7"/>
        <v>18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7">
        <f t="shared" ca="1" si="6"/>
        <v>44332</v>
      </c>
      <c r="B27" s="87">
        <f t="shared" ca="1" si="9"/>
        <v>44326</v>
      </c>
      <c r="C27" s="67">
        <v>22</v>
      </c>
      <c r="D27" s="67" t="str">
        <f t="shared" ca="1" si="10"/>
        <v/>
      </c>
      <c r="E27" s="67" t="str">
        <f t="shared" ca="1" si="0"/>
        <v xml:space="preserve"> </v>
      </c>
      <c r="F27" s="67">
        <f t="shared" ca="1" si="7"/>
        <v>19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7">
        <f t="shared" ca="1" si="6"/>
        <v>44339</v>
      </c>
      <c r="B28" s="87">
        <f t="shared" ca="1" si="9"/>
        <v>44333</v>
      </c>
      <c r="C28" s="67">
        <v>23</v>
      </c>
      <c r="D28" s="67" t="str">
        <f t="shared" ca="1" si="10"/>
        <v/>
      </c>
      <c r="E28" s="67" t="str">
        <f t="shared" ca="1" si="0"/>
        <v xml:space="preserve"> </v>
      </c>
      <c r="F28" s="67">
        <f t="shared" ca="1" si="7"/>
        <v>20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7">
        <f t="shared" ca="1" si="6"/>
        <v>44346</v>
      </c>
      <c r="B29" s="87">
        <f t="shared" ca="1" si="9"/>
        <v>44340</v>
      </c>
      <c r="C29" s="67">
        <v>24</v>
      </c>
      <c r="D29" s="67" t="str">
        <f t="shared" ca="1" si="10"/>
        <v/>
      </c>
      <c r="E29" s="67" t="str">
        <f t="shared" ca="1" si="0"/>
        <v xml:space="preserve"> </v>
      </c>
      <c r="F29" s="67">
        <f t="shared" ca="1" si="7"/>
        <v>21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7">
        <f t="shared" ca="1" si="6"/>
        <v>44353</v>
      </c>
      <c r="B30" s="87">
        <f t="shared" ca="1" si="9"/>
        <v>44347</v>
      </c>
      <c r="C30" s="67">
        <v>25</v>
      </c>
      <c r="D30" s="67" t="str">
        <f t="shared" ca="1" si="10"/>
        <v/>
      </c>
      <c r="E30" s="67" t="str">
        <f t="shared" ca="1" si="0"/>
        <v xml:space="preserve"> </v>
      </c>
      <c r="F30" s="67">
        <f t="shared" ca="1" si="7"/>
        <v>22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7">
        <f t="shared" ca="1" si="6"/>
        <v>44360</v>
      </c>
      <c r="B31" s="87">
        <f t="shared" ca="1" si="9"/>
        <v>44354</v>
      </c>
      <c r="C31" s="67">
        <v>26</v>
      </c>
      <c r="D31" s="67" t="str">
        <f t="shared" ca="1" si="10"/>
        <v/>
      </c>
      <c r="E31" s="67" t="str">
        <f t="shared" ca="1" si="0"/>
        <v>Jun</v>
      </c>
      <c r="F31" s="67">
        <f t="shared" ca="1" si="7"/>
        <v>23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7">
        <f t="shared" ca="1" si="6"/>
        <v>44367</v>
      </c>
      <c r="B32" s="87">
        <f t="shared" ca="1" si="9"/>
        <v>44361</v>
      </c>
      <c r="C32" s="67">
        <v>27</v>
      </c>
      <c r="D32" s="67" t="str">
        <f t="shared" ca="1" si="10"/>
        <v/>
      </c>
      <c r="E32" s="67" t="str">
        <f t="shared" ca="1" si="0"/>
        <v xml:space="preserve"> </v>
      </c>
      <c r="F32" s="67">
        <f t="shared" ca="1" si="7"/>
        <v>24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7">
        <f t="shared" ca="1" si="6"/>
        <v>44374</v>
      </c>
      <c r="B33" s="87">
        <f t="shared" ca="1" si="9"/>
        <v>44368</v>
      </c>
      <c r="C33" s="67">
        <v>28</v>
      </c>
      <c r="D33" s="67" t="str">
        <f t="shared" ca="1" si="10"/>
        <v/>
      </c>
      <c r="E33" s="67" t="str">
        <f t="shared" ca="1" si="0"/>
        <v xml:space="preserve"> </v>
      </c>
      <c r="F33" s="67">
        <f t="shared" ca="1" si="7"/>
        <v>25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7">
        <f t="shared" ca="1" si="6"/>
        <v>44381</v>
      </c>
      <c r="B34" s="87">
        <f t="shared" ca="1" si="9"/>
        <v>44375</v>
      </c>
      <c r="C34" s="67">
        <v>29</v>
      </c>
      <c r="D34" s="67" t="str">
        <f t="shared" ca="1" si="10"/>
        <v/>
      </c>
      <c r="E34" s="67" t="str">
        <f t="shared" ca="1" si="0"/>
        <v xml:space="preserve"> </v>
      </c>
      <c r="F34" s="67">
        <f t="shared" ca="1" si="7"/>
        <v>26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7">
        <f t="shared" ca="1" si="6"/>
        <v>44388</v>
      </c>
      <c r="B35" s="87">
        <f t="shared" ca="1" si="9"/>
        <v>44382</v>
      </c>
      <c r="C35" s="67">
        <v>30</v>
      </c>
      <c r="D35" s="67" t="str">
        <f t="shared" ca="1" si="10"/>
        <v/>
      </c>
      <c r="E35" s="67" t="str">
        <f t="shared" ca="1" si="0"/>
        <v>Jul</v>
      </c>
      <c r="F35" s="67">
        <f t="shared" ca="1" si="7"/>
        <v>27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7">
        <f t="shared" ca="1" si="6"/>
        <v>44395</v>
      </c>
      <c r="B36" s="87">
        <f t="shared" ca="1" si="9"/>
        <v>44389</v>
      </c>
      <c r="C36" s="67">
        <v>31</v>
      </c>
      <c r="D36" s="67" t="str">
        <f t="shared" ca="1" si="10"/>
        <v/>
      </c>
      <c r="E36" s="67" t="str">
        <f t="shared" ca="1" si="0"/>
        <v xml:space="preserve"> </v>
      </c>
      <c r="F36" s="67">
        <f t="shared" ca="1" si="7"/>
        <v>28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7">
        <f t="shared" ca="1" si="6"/>
        <v>44402</v>
      </c>
      <c r="B37" s="87">
        <f t="shared" ca="1" si="9"/>
        <v>44396</v>
      </c>
      <c r="C37" s="67">
        <v>32</v>
      </c>
      <c r="D37" s="67" t="str">
        <f t="shared" ca="1" si="10"/>
        <v/>
      </c>
      <c r="E37" s="67" t="str">
        <f t="shared" ca="1" si="0"/>
        <v xml:space="preserve"> </v>
      </c>
      <c r="F37" s="67">
        <f t="shared" ca="1" si="7"/>
        <v>29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7">
        <f t="shared" ca="1" si="6"/>
        <v>44409</v>
      </c>
      <c r="B38" s="87">
        <f t="shared" ca="1" si="9"/>
        <v>44403</v>
      </c>
      <c r="C38" s="67">
        <v>33</v>
      </c>
      <c r="D38" s="67" t="str">
        <f t="shared" ca="1" si="10"/>
        <v/>
      </c>
      <c r="E38" s="67" t="str">
        <f t="shared" ca="1" si="0"/>
        <v xml:space="preserve"> </v>
      </c>
      <c r="F38" s="67">
        <f t="shared" ca="1" si="7"/>
        <v>30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7">
        <f t="shared" ca="1" si="6"/>
        <v>44416</v>
      </c>
      <c r="B39" s="87">
        <f t="shared" ca="1" si="9"/>
        <v>44410</v>
      </c>
      <c r="C39" s="67">
        <v>34</v>
      </c>
      <c r="D39" s="67" t="str">
        <f t="shared" ca="1" si="10"/>
        <v/>
      </c>
      <c r="E39" s="67" t="str">
        <f t="shared" ca="1" si="0"/>
        <v>Aug</v>
      </c>
      <c r="F39" s="67">
        <f t="shared" ca="1" si="7"/>
        <v>31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7">
        <f t="shared" ca="1" si="6"/>
        <v>44423</v>
      </c>
      <c r="B40" s="87">
        <f t="shared" ca="1" si="9"/>
        <v>44417</v>
      </c>
      <c r="C40" s="67">
        <v>35</v>
      </c>
      <c r="D40" s="67" t="str">
        <f t="shared" ca="1" si="10"/>
        <v/>
      </c>
      <c r="E40" s="67" t="str">
        <f t="shared" ca="1" si="0"/>
        <v xml:space="preserve"> </v>
      </c>
      <c r="F40" s="67">
        <f t="shared" ca="1" si="7"/>
        <v>32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7">
        <f t="shared" ca="1" si="6"/>
        <v>44430</v>
      </c>
      <c r="B41" s="87">
        <f t="shared" ca="1" si="9"/>
        <v>44424</v>
      </c>
      <c r="C41" s="67">
        <v>36</v>
      </c>
      <c r="D41" s="67" t="str">
        <f t="shared" ca="1" si="10"/>
        <v/>
      </c>
      <c r="E41" s="67" t="str">
        <f t="shared" ca="1" si="0"/>
        <v xml:space="preserve"> </v>
      </c>
      <c r="F41" s="67">
        <f t="shared" ca="1" si="7"/>
        <v>33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7">
        <f t="shared" ca="1" si="6"/>
        <v>44437</v>
      </c>
      <c r="B42" s="87">
        <f t="shared" ca="1" si="9"/>
        <v>44431</v>
      </c>
      <c r="C42" s="67">
        <v>37</v>
      </c>
      <c r="D42" s="67" t="str">
        <f t="shared" ca="1" si="10"/>
        <v/>
      </c>
      <c r="E42" s="67" t="str">
        <f t="shared" ca="1" si="0"/>
        <v xml:space="preserve"> </v>
      </c>
      <c r="F42" s="67">
        <f t="shared" ca="1" si="7"/>
        <v>34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7">
        <f t="shared" ca="1" si="6"/>
        <v>44444</v>
      </c>
      <c r="B43" s="87">
        <f t="shared" ca="1" si="9"/>
        <v>44438</v>
      </c>
      <c r="C43" s="67">
        <v>38</v>
      </c>
      <c r="D43" s="67" t="str">
        <f t="shared" ca="1" si="10"/>
        <v/>
      </c>
      <c r="E43" s="67" t="str">
        <f t="shared" ca="1" si="0"/>
        <v xml:space="preserve"> </v>
      </c>
      <c r="F43" s="67">
        <f t="shared" ca="1" si="7"/>
        <v>35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7">
        <f t="shared" ca="1" si="6"/>
        <v>44451</v>
      </c>
      <c r="B44" s="87">
        <f t="shared" ca="1" si="9"/>
        <v>44445</v>
      </c>
      <c r="C44" s="67">
        <v>39</v>
      </c>
      <c r="D44" s="67" t="str">
        <f t="shared" ca="1" si="10"/>
        <v/>
      </c>
      <c r="E44" s="67" t="str">
        <f t="shared" ca="1" si="0"/>
        <v>Sep</v>
      </c>
      <c r="F44" s="67">
        <f t="shared" ca="1" si="7"/>
        <v>36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7">
        <f t="shared" ca="1" si="6"/>
        <v>44458</v>
      </c>
      <c r="B45" s="87">
        <f t="shared" ca="1" si="9"/>
        <v>44452</v>
      </c>
      <c r="C45" s="67">
        <v>40</v>
      </c>
      <c r="D45" s="67" t="str">
        <f t="shared" ca="1" si="10"/>
        <v/>
      </c>
      <c r="E45" s="67" t="str">
        <f t="shared" ca="1" si="0"/>
        <v xml:space="preserve"> </v>
      </c>
      <c r="F45" s="67">
        <f t="shared" ca="1" si="7"/>
        <v>37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7">
        <f t="shared" ca="1" si="6"/>
        <v>44465</v>
      </c>
      <c r="B46" s="87">
        <f t="shared" ca="1" si="9"/>
        <v>44459</v>
      </c>
      <c r="C46" s="67">
        <v>41</v>
      </c>
      <c r="D46" s="67" t="str">
        <f t="shared" ca="1" si="10"/>
        <v/>
      </c>
      <c r="E46" s="67" t="str">
        <f t="shared" ca="1" si="0"/>
        <v xml:space="preserve"> </v>
      </c>
      <c r="F46" s="67">
        <f t="shared" ca="1" si="7"/>
        <v>38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7">
        <f t="shared" ca="1" si="6"/>
        <v>44472</v>
      </c>
      <c r="B47" s="87">
        <f t="shared" ca="1" si="9"/>
        <v>44466</v>
      </c>
      <c r="C47" s="67">
        <v>42</v>
      </c>
      <c r="D47" s="67" t="str">
        <f t="shared" ca="1" si="10"/>
        <v/>
      </c>
      <c r="E47" s="67" t="str">
        <f t="shared" ca="1" si="0"/>
        <v xml:space="preserve"> </v>
      </c>
      <c r="F47" s="67">
        <f t="shared" ca="1" si="7"/>
        <v>39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7">
        <f t="shared" ca="1" si="6"/>
        <v>44479</v>
      </c>
      <c r="B48" s="87">
        <f t="shared" ca="1" si="9"/>
        <v>44473</v>
      </c>
      <c r="C48" s="67">
        <v>43</v>
      </c>
      <c r="D48" s="67" t="str">
        <f t="shared" ca="1" si="10"/>
        <v/>
      </c>
      <c r="E48" s="67" t="str">
        <f t="shared" ca="1" si="0"/>
        <v>Oct</v>
      </c>
      <c r="F48" s="67">
        <f t="shared" ca="1" si="7"/>
        <v>40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7">
        <f t="shared" ca="1" si="6"/>
        <v>44486</v>
      </c>
      <c r="B49" s="87">
        <f t="shared" ca="1" si="9"/>
        <v>44480</v>
      </c>
      <c r="C49" s="67">
        <v>44</v>
      </c>
      <c r="D49" s="67" t="str">
        <f t="shared" ca="1" si="10"/>
        <v/>
      </c>
      <c r="E49" s="67" t="str">
        <f t="shared" ca="1" si="0"/>
        <v xml:space="preserve"> </v>
      </c>
      <c r="F49" s="67">
        <f t="shared" ca="1" si="7"/>
        <v>41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7">
        <f t="shared" ca="1" si="6"/>
        <v>44493</v>
      </c>
      <c r="B50" s="87">
        <f t="shared" ca="1" si="9"/>
        <v>44487</v>
      </c>
      <c r="C50" s="67">
        <v>45</v>
      </c>
      <c r="D50" s="67" t="str">
        <f t="shared" ca="1" si="10"/>
        <v/>
      </c>
      <c r="E50" s="67" t="str">
        <f t="shared" ca="1" si="0"/>
        <v xml:space="preserve"> </v>
      </c>
      <c r="F50" s="67">
        <f t="shared" ca="1" si="7"/>
        <v>42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7">
        <f t="shared" ca="1" si="6"/>
        <v>44500</v>
      </c>
      <c r="B51" s="87">
        <f t="shared" ca="1" si="9"/>
        <v>44494</v>
      </c>
      <c r="C51" s="67">
        <v>46</v>
      </c>
      <c r="D51" s="67" t="str">
        <f t="shared" ca="1" si="10"/>
        <v/>
      </c>
      <c r="E51" s="67" t="str">
        <f t="shared" ca="1" si="0"/>
        <v xml:space="preserve"> </v>
      </c>
      <c r="F51" s="67">
        <f t="shared" ca="1" si="7"/>
        <v>43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7">
        <f t="shared" ca="1" si="6"/>
        <v>44507</v>
      </c>
      <c r="B52" s="87">
        <f t="shared" ca="1" si="9"/>
        <v>44501</v>
      </c>
      <c r="C52" s="67">
        <v>47</v>
      </c>
      <c r="D52" s="67" t="str">
        <f t="shared" ca="1" si="10"/>
        <v/>
      </c>
      <c r="E52" s="67" t="str">
        <f t="shared" ca="1" si="0"/>
        <v>Nov</v>
      </c>
      <c r="F52" s="67">
        <f t="shared" ca="1" si="7"/>
        <v>44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7">
        <f t="shared" ca="1" si="6"/>
        <v>44514</v>
      </c>
      <c r="B53" s="87">
        <f t="shared" ca="1" si="9"/>
        <v>44508</v>
      </c>
      <c r="C53" s="67">
        <v>48</v>
      </c>
      <c r="D53" s="67" t="str">
        <f t="shared" ca="1" si="10"/>
        <v/>
      </c>
      <c r="E53" s="67" t="str">
        <f t="shared" ca="1" si="0"/>
        <v xml:space="preserve"> </v>
      </c>
      <c r="F53" s="67">
        <f t="shared" ca="1" si="7"/>
        <v>45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7">
        <f t="shared" ca="1" si="6"/>
        <v>44521</v>
      </c>
      <c r="B54" s="87">
        <f t="shared" ca="1" si="9"/>
        <v>44515</v>
      </c>
      <c r="C54" s="67">
        <v>49</v>
      </c>
      <c r="D54" s="67" t="str">
        <f t="shared" ca="1" si="10"/>
        <v/>
      </c>
      <c r="E54" s="67" t="str">
        <f t="shared" ca="1" si="0"/>
        <v xml:space="preserve"> </v>
      </c>
      <c r="F54" s="67">
        <f t="shared" ca="1" si="7"/>
        <v>46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7">
        <f t="shared" ca="1" si="6"/>
        <v>44528</v>
      </c>
      <c r="B55" s="87">
        <f t="shared" ca="1" si="9"/>
        <v>44522</v>
      </c>
      <c r="C55" s="67">
        <v>50</v>
      </c>
      <c r="D55" s="67" t="str">
        <f t="shared" ca="1" si="10"/>
        <v/>
      </c>
      <c r="E55" s="67" t="str">
        <f ca="1">IF(TEXT(B55,"MMM")=TEXT(B54,"MMM")," ",TEXT(B55,"MMM"))</f>
        <v xml:space="preserve"> </v>
      </c>
      <c r="F55" s="67">
        <f t="shared" ca="1" si="7"/>
        <v>47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7">
        <f t="shared" ca="1" si="6"/>
        <v>44535</v>
      </c>
      <c r="B56" s="87">
        <f t="shared" ca="1" si="9"/>
        <v>44529</v>
      </c>
      <c r="C56" s="67">
        <v>51</v>
      </c>
      <c r="D56" s="67" t="str">
        <f t="shared" ca="1" si="10"/>
        <v/>
      </c>
      <c r="E56" s="67" t="str">
        <f t="shared" ref="E56:E58" ca="1" si="25">IF(TEXT(B56,"MMM")=TEXT(B55,"MMM")," ",TEXT(B56,"MMM"))</f>
        <v xml:space="preserve"> </v>
      </c>
      <c r="F56" s="67">
        <f t="shared" ca="1" si="7"/>
        <v>48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7">
        <f t="shared" ca="1" si="6"/>
        <v>44542</v>
      </c>
      <c r="B57" s="87">
        <f t="shared" ca="1" si="9"/>
        <v>44536</v>
      </c>
      <c r="C57" s="67">
        <v>52</v>
      </c>
      <c r="D57" s="67" t="str">
        <f t="shared" ca="1" si="10"/>
        <v/>
      </c>
      <c r="E57" s="67" t="str">
        <f t="shared" ca="1" si="25"/>
        <v>Dec</v>
      </c>
      <c r="F57" s="67">
        <f t="shared" ca="1" si="7"/>
        <v>49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A58" s="317">
        <f t="shared" ca="1" si="6"/>
        <v>44549</v>
      </c>
      <c r="B58" s="317">
        <f t="shared" ca="1" si="9"/>
        <v>44543</v>
      </c>
      <c r="C58" s="67">
        <v>53</v>
      </c>
      <c r="E58" s="67" t="str">
        <f t="shared" ca="1" si="25"/>
        <v xml:space="preserve"> </v>
      </c>
      <c r="F58" s="67">
        <f t="shared" ca="1" si="7"/>
        <v>50</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3.8" x14ac:dyDescent="0.25"/>
  <cols>
    <col min="1" max="1" width="9" style="67"/>
    <col min="2" max="2" width="12.09765625" customWidth="1"/>
    <col min="3" max="3" width="22.296875" style="67" bestFit="1" customWidth="1"/>
    <col min="4" max="4" width="11.09765625" customWidth="1"/>
    <col min="60" max="61" width="9.59765625" customWidth="1"/>
    <col min="62" max="62" width="9.59765625" style="67" customWidth="1"/>
    <col min="63" max="114" width="9.796875" bestFit="1" customWidth="1"/>
    <col min="115" max="115" width="9.796875" style="67" bestFit="1" customWidth="1"/>
  </cols>
  <sheetData>
    <row r="1" spans="1:121"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44179</v>
      </c>
      <c r="BL1" s="317">
        <f ca="1">INDEX('Critical resources (hide)'!$B$6:$F$58,MATCH('Capacity calculation (hide)'!BL$3,'Critical resources (hide)'!$F$6:$F$58,0),1)</f>
        <v>44186</v>
      </c>
      <c r="BM1" s="317">
        <f ca="1">INDEX('Critical resources (hide)'!$B$6:$F$58,MATCH('Capacity calculation (hide)'!BM$3,'Critical resources (hide)'!$F$6:$F$58,0),1)</f>
        <v>44193</v>
      </c>
      <c r="BN1" s="317">
        <f ca="1">INDEX('Critical resources (hide)'!$B$6:$F$58,MATCH('Capacity calculation (hide)'!BN$3,'Critical resources (hide)'!$F$6:$F$58,0),1)</f>
        <v>44200</v>
      </c>
      <c r="BO1" s="317">
        <f ca="1">INDEX('Critical resources (hide)'!$B$6:$F$58,MATCH('Capacity calculation (hide)'!BO$3,'Critical resources (hide)'!$F$6:$F$58,0),1)</f>
        <v>44207</v>
      </c>
      <c r="BP1" s="317">
        <f ca="1">INDEX('Critical resources (hide)'!$B$6:$F$58,MATCH('Capacity calculation (hide)'!BP$3,'Critical resources (hide)'!$F$6:$F$58,0),1)</f>
        <v>44214</v>
      </c>
      <c r="BQ1" s="317">
        <f ca="1">INDEX('Critical resources (hide)'!$B$6:$F$58,MATCH('Capacity calculation (hide)'!BQ$3,'Critical resources (hide)'!$F$6:$F$58,0),1)</f>
        <v>44221</v>
      </c>
      <c r="BR1" s="317">
        <f ca="1">INDEX('Critical resources (hide)'!$B$6:$F$58,MATCH('Capacity calculation (hide)'!BR$3,'Critical resources (hide)'!$F$6:$F$58,0),1)</f>
        <v>44228</v>
      </c>
      <c r="BS1" s="317">
        <f ca="1">INDEX('Critical resources (hide)'!$B$6:$F$58,MATCH('Capacity calculation (hide)'!BS$3,'Critical resources (hide)'!$F$6:$F$58,0),1)</f>
        <v>44235</v>
      </c>
      <c r="BT1" s="317">
        <f ca="1">INDEX('Critical resources (hide)'!$B$6:$F$58,MATCH('Capacity calculation (hide)'!BT$3,'Critical resources (hide)'!$F$6:$F$58,0),1)</f>
        <v>44242</v>
      </c>
      <c r="BU1" s="317">
        <f ca="1">INDEX('Critical resources (hide)'!$B$6:$F$58,MATCH('Capacity calculation (hide)'!BU$3,'Critical resources (hide)'!$F$6:$F$58,0),1)</f>
        <v>44249</v>
      </c>
      <c r="BV1" s="317">
        <f ca="1">INDEX('Critical resources (hide)'!$B$6:$F$58,MATCH('Capacity calculation (hide)'!BV$3,'Critical resources (hide)'!$F$6:$F$58,0),1)</f>
        <v>44256</v>
      </c>
      <c r="BW1" s="317">
        <f ca="1">INDEX('Critical resources (hide)'!$B$6:$F$58,MATCH('Capacity calculation (hide)'!BW$3,'Critical resources (hide)'!$F$6:$F$58,0),1)</f>
        <v>44263</v>
      </c>
      <c r="BX1" s="317">
        <f ca="1">INDEX('Critical resources (hide)'!$B$6:$F$58,MATCH('Capacity calculation (hide)'!BX$3,'Critical resources (hide)'!$F$6:$F$58,0),1)</f>
        <v>44270</v>
      </c>
      <c r="BY1" s="317">
        <f ca="1">INDEX('Critical resources (hide)'!$B$6:$F$58,MATCH('Capacity calculation (hide)'!BY$3,'Critical resources (hide)'!$F$6:$F$58,0),1)</f>
        <v>44277</v>
      </c>
      <c r="BZ1" s="317">
        <f ca="1">INDEX('Critical resources (hide)'!$B$6:$F$58,MATCH('Capacity calculation (hide)'!BZ$3,'Critical resources (hide)'!$F$6:$F$58,0),1)</f>
        <v>44284</v>
      </c>
      <c r="CA1" s="317">
        <f ca="1">INDEX('Critical resources (hide)'!$B$6:$F$58,MATCH('Capacity calculation (hide)'!CA$3,'Critical resources (hide)'!$F$6:$F$58,0),1)</f>
        <v>44291</v>
      </c>
      <c r="CB1" s="317">
        <f ca="1">INDEX('Critical resources (hide)'!$B$6:$F$58,MATCH('Capacity calculation (hide)'!CB$3,'Critical resources (hide)'!$F$6:$F$58,0),1)</f>
        <v>44298</v>
      </c>
      <c r="CC1" s="317">
        <f ca="1">INDEX('Critical resources (hide)'!$B$6:$F$58,MATCH('Capacity calculation (hide)'!CC$3,'Critical resources (hide)'!$F$6:$F$58,0),1)</f>
        <v>44305</v>
      </c>
      <c r="CD1" s="317">
        <f ca="1">INDEX('Critical resources (hide)'!$B$6:$F$58,MATCH('Capacity calculation (hide)'!CD$3,'Critical resources (hide)'!$F$6:$F$58,0),1)</f>
        <v>44312</v>
      </c>
      <c r="CE1" s="317">
        <f ca="1">INDEX('Critical resources (hide)'!$B$6:$F$58,MATCH('Capacity calculation (hide)'!CE$3,'Critical resources (hide)'!$F$6:$F$58,0),1)</f>
        <v>44319</v>
      </c>
      <c r="CF1" s="317">
        <f ca="1">INDEX('Critical resources (hide)'!$B$6:$F$58,MATCH('Capacity calculation (hide)'!CF$3,'Critical resources (hide)'!$F$6:$F$58,0),1)</f>
        <v>44326</v>
      </c>
      <c r="CG1" s="317">
        <f ca="1">INDEX('Critical resources (hide)'!$B$6:$F$58,MATCH('Capacity calculation (hide)'!CG$3,'Critical resources (hide)'!$F$6:$F$58,0),1)</f>
        <v>44333</v>
      </c>
      <c r="CH1" s="317">
        <f ca="1">INDEX('Critical resources (hide)'!$B$6:$F$58,MATCH('Capacity calculation (hide)'!CH$3,'Critical resources (hide)'!$F$6:$F$58,0),1)</f>
        <v>44340</v>
      </c>
      <c r="CI1" s="317">
        <f ca="1">INDEX('Critical resources (hide)'!$B$6:$F$58,MATCH('Capacity calculation (hide)'!CI$3,'Critical resources (hide)'!$F$6:$F$58,0),1)</f>
        <v>44347</v>
      </c>
      <c r="CJ1" s="317">
        <f ca="1">INDEX('Critical resources (hide)'!$B$6:$F$58,MATCH('Capacity calculation (hide)'!CJ$3,'Critical resources (hide)'!$F$6:$F$58,0),1)</f>
        <v>44354</v>
      </c>
      <c r="CK1" s="317">
        <f ca="1">INDEX('Critical resources (hide)'!$B$6:$F$58,MATCH('Capacity calculation (hide)'!CK$3,'Critical resources (hide)'!$F$6:$F$58,0),1)</f>
        <v>44361</v>
      </c>
      <c r="CL1" s="317">
        <f ca="1">INDEX('Critical resources (hide)'!$B$6:$F$58,MATCH('Capacity calculation (hide)'!CL$3,'Critical resources (hide)'!$F$6:$F$58,0),1)</f>
        <v>44368</v>
      </c>
      <c r="CM1" s="317">
        <f ca="1">INDEX('Critical resources (hide)'!$B$6:$F$58,MATCH('Capacity calculation (hide)'!CM$3,'Critical resources (hide)'!$F$6:$F$58,0),1)</f>
        <v>44375</v>
      </c>
      <c r="CN1" s="317">
        <f ca="1">INDEX('Critical resources (hide)'!$B$6:$F$58,MATCH('Capacity calculation (hide)'!CN$3,'Critical resources (hide)'!$F$6:$F$58,0),1)</f>
        <v>44382</v>
      </c>
      <c r="CO1" s="317">
        <f ca="1">INDEX('Critical resources (hide)'!$B$6:$F$58,MATCH('Capacity calculation (hide)'!CO$3,'Critical resources (hide)'!$F$6:$F$58,0),1)</f>
        <v>44389</v>
      </c>
      <c r="CP1" s="317">
        <f ca="1">INDEX('Critical resources (hide)'!$B$6:$F$58,MATCH('Capacity calculation (hide)'!CP$3,'Critical resources (hide)'!$F$6:$F$58,0),1)</f>
        <v>44396</v>
      </c>
      <c r="CQ1" s="317">
        <f ca="1">INDEX('Critical resources (hide)'!$B$6:$F$58,MATCH('Capacity calculation (hide)'!CQ$3,'Critical resources (hide)'!$F$6:$F$58,0),1)</f>
        <v>44403</v>
      </c>
      <c r="CR1" s="317">
        <f ca="1">INDEX('Critical resources (hide)'!$B$6:$F$58,MATCH('Capacity calculation (hide)'!CR$3,'Critical resources (hide)'!$F$6:$F$58,0),1)</f>
        <v>44410</v>
      </c>
      <c r="CS1" s="317">
        <f ca="1">INDEX('Critical resources (hide)'!$B$6:$F$58,MATCH('Capacity calculation (hide)'!CS$3,'Critical resources (hide)'!$F$6:$F$58,0),1)</f>
        <v>44417</v>
      </c>
      <c r="CT1" s="317">
        <f ca="1">INDEX('Critical resources (hide)'!$B$6:$F$58,MATCH('Capacity calculation (hide)'!CT$3,'Critical resources (hide)'!$F$6:$F$58,0),1)</f>
        <v>44424</v>
      </c>
      <c r="CU1" s="317">
        <f ca="1">INDEX('Critical resources (hide)'!$B$6:$F$58,MATCH('Capacity calculation (hide)'!CU$3,'Critical resources (hide)'!$F$6:$F$58,0),1)</f>
        <v>44431</v>
      </c>
      <c r="CV1" s="317">
        <f ca="1">INDEX('Critical resources (hide)'!$B$6:$F$58,MATCH('Capacity calculation (hide)'!CV$3,'Critical resources (hide)'!$F$6:$F$58,0),1)</f>
        <v>44438</v>
      </c>
      <c r="CW1" s="317">
        <f ca="1">INDEX('Critical resources (hide)'!$B$6:$F$58,MATCH('Capacity calculation (hide)'!CW$3,'Critical resources (hide)'!$F$6:$F$58,0),1)</f>
        <v>44445</v>
      </c>
      <c r="CX1" s="317">
        <f ca="1">INDEX('Critical resources (hide)'!$B$6:$F$58,MATCH('Capacity calculation (hide)'!CX$3,'Critical resources (hide)'!$F$6:$F$58,0),1)</f>
        <v>44452</v>
      </c>
      <c r="CY1" s="317">
        <f ca="1">INDEX('Critical resources (hide)'!$B$6:$F$58,MATCH('Capacity calculation (hide)'!CY$3,'Critical resources (hide)'!$F$6:$F$58,0),1)</f>
        <v>44459</v>
      </c>
      <c r="CZ1" s="317">
        <f ca="1">INDEX('Critical resources (hide)'!$B$6:$F$58,MATCH('Capacity calculation (hide)'!CZ$3,'Critical resources (hide)'!$F$6:$F$58,0),1)</f>
        <v>44466</v>
      </c>
      <c r="DA1" s="317">
        <f ca="1">INDEX('Critical resources (hide)'!$B$6:$F$58,MATCH('Capacity calculation (hide)'!DA$3,'Critical resources (hide)'!$F$6:$F$58,0),1)</f>
        <v>44473</v>
      </c>
      <c r="DB1" s="317">
        <f ca="1">INDEX('Critical resources (hide)'!$B$6:$F$58,MATCH('Capacity calculation (hide)'!DB$3,'Critical resources (hide)'!$F$6:$F$58,0),1)</f>
        <v>44480</v>
      </c>
      <c r="DC1" s="317">
        <f ca="1">INDEX('Critical resources (hide)'!$B$6:$F$58,MATCH('Capacity calculation (hide)'!DC$3,'Critical resources (hide)'!$F$6:$F$58,0),1)</f>
        <v>44487</v>
      </c>
      <c r="DD1" s="317">
        <f ca="1">INDEX('Critical resources (hide)'!$B$6:$F$58,MATCH('Capacity calculation (hide)'!DD$3,'Critical resources (hide)'!$F$6:$F$58,0),1)</f>
        <v>44494</v>
      </c>
      <c r="DE1" s="317">
        <f ca="1">INDEX('Critical resources (hide)'!$B$6:$F$58,MATCH('Capacity calculation (hide)'!DE$3,'Critical resources (hide)'!$F$6:$F$58,0),1)</f>
        <v>44501</v>
      </c>
      <c r="DF1" s="317">
        <f ca="1">INDEX('Critical resources (hide)'!$B$6:$F$58,MATCH('Capacity calculation (hide)'!DF$3,'Critical resources (hide)'!$F$6:$F$58,0),1)</f>
        <v>44508</v>
      </c>
      <c r="DG1" s="317">
        <f ca="1">INDEX('Critical resources (hide)'!$B$6:$F$58,MATCH('Capacity calculation (hide)'!DG$3,'Critical resources (hide)'!$F$6:$F$58,0),1)</f>
        <v>44515</v>
      </c>
      <c r="DH1" s="317">
        <f ca="1">INDEX('Critical resources (hide)'!$B$6:$F$58,MATCH('Capacity calculation (hide)'!DH$3,'Critical resources (hide)'!$F$6:$F$58,0),1)</f>
        <v>44522</v>
      </c>
      <c r="DI1" s="317">
        <f ca="1">INDEX('Critical resources (hide)'!$B$6:$F$58,MATCH('Capacity calculation (hide)'!DI$3,'Critical resources (hide)'!$F$6:$F$58,0),1)</f>
        <v>44529</v>
      </c>
      <c r="DJ1" s="317">
        <f ca="1">INDEX('Critical resources (hide)'!$B$6:$F$58,MATCH('Capacity calculation (hide)'!DJ$3,'Critical resources (hide)'!$F$6:$F$58,0),1)</f>
        <v>44536</v>
      </c>
      <c r="DK1" s="317">
        <f ca="1">INDEX('Critical resources (hide)'!$B$6:$F$58,MATCH('Capacity calculation (hide)'!DK$3,'Critical resources (hide)'!$F$6:$F$58,0),1)</f>
        <v>44543</v>
      </c>
    </row>
    <row r="2" spans="1:121"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4">
        <v>53</v>
      </c>
    </row>
    <row r="3" spans="1:121"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51</v>
      </c>
      <c r="BL3" s="59">
        <f ca="1">OFFSET('Critical resources (hide)'!$F$6,COLUMN(B1)-1,0,1,1)</f>
        <v>52</v>
      </c>
      <c r="BM3" s="59">
        <f ca="1">OFFSET('Critical resources (hide)'!$F$6,COLUMN(C1)-1,0,1,1)</f>
        <v>53</v>
      </c>
      <c r="BN3" s="59">
        <f ca="1">OFFSET('Critical resources (hide)'!$F$6,COLUMN(D1)-1,0,1,1)</f>
        <v>1</v>
      </c>
      <c r="BO3" s="59">
        <f ca="1">OFFSET('Critical resources (hide)'!$F$6,COLUMN(E1)-1,0,1,1)</f>
        <v>2</v>
      </c>
      <c r="BP3" s="59">
        <f ca="1">OFFSET('Critical resources (hide)'!$F$6,COLUMN(F1)-1,0,1,1)</f>
        <v>3</v>
      </c>
      <c r="BQ3" s="59">
        <f ca="1">OFFSET('Critical resources (hide)'!$F$6,COLUMN(G1)-1,0,1,1)</f>
        <v>4</v>
      </c>
      <c r="BR3" s="59">
        <f ca="1">OFFSET('Critical resources (hide)'!$F$6,COLUMN(H1)-1,0,1,1)</f>
        <v>5</v>
      </c>
      <c r="BS3" s="59">
        <f ca="1">OFFSET('Critical resources (hide)'!$F$6,COLUMN(I1)-1,0,1,1)</f>
        <v>6</v>
      </c>
      <c r="BT3" s="59">
        <f ca="1">OFFSET('Critical resources (hide)'!$F$6,COLUMN(J1)-1,0,1,1)</f>
        <v>7</v>
      </c>
      <c r="BU3" s="59">
        <f ca="1">OFFSET('Critical resources (hide)'!$F$6,COLUMN(K1)-1,0,1,1)</f>
        <v>8</v>
      </c>
      <c r="BV3" s="59">
        <f ca="1">OFFSET('Critical resources (hide)'!$F$6,COLUMN(L1)-1,0,1,1)</f>
        <v>9</v>
      </c>
      <c r="BW3" s="59">
        <f ca="1">OFFSET('Critical resources (hide)'!$F$6,COLUMN(M1)-1,0,1,1)</f>
        <v>10</v>
      </c>
      <c r="BX3" s="59">
        <f ca="1">OFFSET('Critical resources (hide)'!$F$6,COLUMN(N1)-1,0,1,1)</f>
        <v>11</v>
      </c>
      <c r="BY3" s="59">
        <f ca="1">OFFSET('Critical resources (hide)'!$F$6,COLUMN(O1)-1,0,1,1)</f>
        <v>12</v>
      </c>
      <c r="BZ3" s="59">
        <f ca="1">OFFSET('Critical resources (hide)'!$F$6,COLUMN(P1)-1,0,1,1)</f>
        <v>13</v>
      </c>
      <c r="CA3" s="59">
        <f ca="1">OFFSET('Critical resources (hide)'!$F$6,COLUMN(Q1)-1,0,1,1)</f>
        <v>14</v>
      </c>
      <c r="CB3" s="59">
        <f ca="1">OFFSET('Critical resources (hide)'!$F$6,COLUMN(R1)-1,0,1,1)</f>
        <v>15</v>
      </c>
      <c r="CC3" s="59">
        <f ca="1">OFFSET('Critical resources (hide)'!$F$6,COLUMN(S1)-1,0,1,1)</f>
        <v>16</v>
      </c>
      <c r="CD3" s="59">
        <f ca="1">OFFSET('Critical resources (hide)'!$F$6,COLUMN(T1)-1,0,1,1)</f>
        <v>17</v>
      </c>
      <c r="CE3" s="59">
        <f ca="1">OFFSET('Critical resources (hide)'!$F$6,COLUMN(U1)-1,0,1,1)</f>
        <v>18</v>
      </c>
      <c r="CF3" s="59">
        <f ca="1">OFFSET('Critical resources (hide)'!$F$6,COLUMN(V1)-1,0,1,1)</f>
        <v>19</v>
      </c>
      <c r="CG3" s="59">
        <f ca="1">OFFSET('Critical resources (hide)'!$F$6,COLUMN(W1)-1,0,1,1)</f>
        <v>20</v>
      </c>
      <c r="CH3" s="59">
        <f ca="1">OFFSET('Critical resources (hide)'!$F$6,COLUMN(X1)-1,0,1,1)</f>
        <v>21</v>
      </c>
      <c r="CI3" s="59">
        <f ca="1">OFFSET('Critical resources (hide)'!$F$6,COLUMN(Y1)-1,0,1,1)</f>
        <v>22</v>
      </c>
      <c r="CJ3" s="59">
        <f ca="1">OFFSET('Critical resources (hide)'!$F$6,COLUMN(Z1)-1,0,1,1)</f>
        <v>23</v>
      </c>
      <c r="CK3" s="59">
        <f ca="1">OFFSET('Critical resources (hide)'!$F$6,COLUMN(AA1)-1,0,1,1)</f>
        <v>24</v>
      </c>
      <c r="CL3" s="59">
        <f ca="1">OFFSET('Critical resources (hide)'!$F$6,COLUMN(AB1)-1,0,1,1)</f>
        <v>25</v>
      </c>
      <c r="CM3" s="59">
        <f ca="1">OFFSET('Critical resources (hide)'!$F$6,COLUMN(AC1)-1,0,1,1)</f>
        <v>26</v>
      </c>
      <c r="CN3" s="59">
        <f ca="1">OFFSET('Critical resources (hide)'!$F$6,COLUMN(AD1)-1,0,1,1)</f>
        <v>27</v>
      </c>
      <c r="CO3" s="59">
        <f ca="1">OFFSET('Critical resources (hide)'!$F$6,COLUMN(AE1)-1,0,1,1)</f>
        <v>28</v>
      </c>
      <c r="CP3" s="59">
        <f ca="1">OFFSET('Critical resources (hide)'!$F$6,COLUMN(AF1)-1,0,1,1)</f>
        <v>29</v>
      </c>
      <c r="CQ3" s="59">
        <f ca="1">OFFSET('Critical resources (hide)'!$F$6,COLUMN(AG1)-1,0,1,1)</f>
        <v>30</v>
      </c>
      <c r="CR3" s="59">
        <f ca="1">OFFSET('Critical resources (hide)'!$F$6,COLUMN(AH1)-1,0,1,1)</f>
        <v>31</v>
      </c>
      <c r="CS3" s="59">
        <f ca="1">OFFSET('Critical resources (hide)'!$F$6,COLUMN(AI1)-1,0,1,1)</f>
        <v>32</v>
      </c>
      <c r="CT3" s="59">
        <f ca="1">OFFSET('Critical resources (hide)'!$F$6,COLUMN(AJ1)-1,0,1,1)</f>
        <v>33</v>
      </c>
      <c r="CU3" s="59">
        <f ca="1">OFFSET('Critical resources (hide)'!$F$6,COLUMN(AK1)-1,0,1,1)</f>
        <v>34</v>
      </c>
      <c r="CV3" s="59">
        <f ca="1">OFFSET('Critical resources (hide)'!$F$6,COLUMN(AL1)-1,0,1,1)</f>
        <v>35</v>
      </c>
      <c r="CW3" s="59">
        <f ca="1">OFFSET('Critical resources (hide)'!$F$6,COLUMN(AM1)-1,0,1,1)</f>
        <v>36</v>
      </c>
      <c r="CX3" s="59">
        <f ca="1">OFFSET('Critical resources (hide)'!$F$6,COLUMN(AN1)-1,0,1,1)</f>
        <v>37</v>
      </c>
      <c r="CY3" s="59">
        <f ca="1">OFFSET('Critical resources (hide)'!$F$6,COLUMN(AO1)-1,0,1,1)</f>
        <v>38</v>
      </c>
      <c r="CZ3" s="59">
        <f ca="1">OFFSET('Critical resources (hide)'!$F$6,COLUMN(AP1)-1,0,1,1)</f>
        <v>39</v>
      </c>
      <c r="DA3" s="59">
        <f ca="1">OFFSET('Critical resources (hide)'!$F$6,COLUMN(AQ1)-1,0,1,1)</f>
        <v>40</v>
      </c>
      <c r="DB3" s="59">
        <f ca="1">OFFSET('Critical resources (hide)'!$F$6,COLUMN(AR1)-1,0,1,1)</f>
        <v>41</v>
      </c>
      <c r="DC3" s="59">
        <f ca="1">OFFSET('Critical resources (hide)'!$F$6,COLUMN(AS1)-1,0,1,1)</f>
        <v>42</v>
      </c>
      <c r="DD3" s="59">
        <f ca="1">OFFSET('Critical resources (hide)'!$F$6,COLUMN(AT1)-1,0,1,1)</f>
        <v>43</v>
      </c>
      <c r="DE3" s="59">
        <f ca="1">OFFSET('Critical resources (hide)'!$F$6,COLUMN(AU1)-1,0,1,1)</f>
        <v>44</v>
      </c>
      <c r="DF3" s="59">
        <f ca="1">OFFSET('Critical resources (hide)'!$F$6,COLUMN(AV1)-1,0,1,1)</f>
        <v>45</v>
      </c>
      <c r="DG3" s="59">
        <f ca="1">OFFSET('Critical resources (hide)'!$F$6,COLUMN(AW1)-1,0,1,1)</f>
        <v>46</v>
      </c>
      <c r="DH3" s="59">
        <f ca="1">OFFSET('Critical resources (hide)'!$F$6,COLUMN(AX1)-1,0,1,1)</f>
        <v>47</v>
      </c>
      <c r="DI3" s="59">
        <f ca="1">OFFSET('Critical resources (hide)'!$F$6,COLUMN(AY1)-1,0,1,1)</f>
        <v>48</v>
      </c>
      <c r="DJ3" s="59">
        <f ca="1">OFFSET('Critical resources (hide)'!$F$6,COLUMN(AZ1)-1,0,1,1)</f>
        <v>49</v>
      </c>
      <c r="DK3" s="375">
        <f ca="1">DJ3+1</f>
        <v>50</v>
      </c>
      <c r="DL3" s="2" t="s">
        <v>462</v>
      </c>
      <c r="DM3" t="s">
        <v>463</v>
      </c>
    </row>
    <row r="4" spans="1:121"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13.038461538461538</v>
      </c>
      <c r="BL4" s="311">
        <f t="shared" ca="1" si="0"/>
        <v>13.038461538461538</v>
      </c>
      <c r="BM4" s="311">
        <f t="shared" ca="1" si="0"/>
        <v>13.038461538461538</v>
      </c>
      <c r="BN4" s="311">
        <f t="shared" ca="1" si="0"/>
        <v>13.038461538461538</v>
      </c>
      <c r="BO4" s="311">
        <f t="shared" ca="1" si="0"/>
        <v>13.038461538461538</v>
      </c>
      <c r="BP4" s="311">
        <f t="shared" ca="1" si="0"/>
        <v>13.038461538461538</v>
      </c>
      <c r="BQ4" s="311">
        <f t="shared" ca="1" si="0"/>
        <v>13.038461538461538</v>
      </c>
      <c r="BR4" s="311">
        <f t="shared" ca="1" si="0"/>
        <v>13.038461538461538</v>
      </c>
      <c r="BS4" s="311">
        <f t="shared" ca="1" si="0"/>
        <v>13.038461538461538</v>
      </c>
      <c r="BT4" s="311">
        <f t="shared" ca="1" si="0"/>
        <v>13.038461538461538</v>
      </c>
      <c r="BU4" s="311">
        <f t="shared" ca="1" si="0"/>
        <v>13.038461538461538</v>
      </c>
      <c r="BV4" s="311">
        <f t="shared" ca="1" si="0"/>
        <v>13.038461538461538</v>
      </c>
      <c r="BW4" s="311">
        <f t="shared" ca="1" si="0"/>
        <v>13.038461538461538</v>
      </c>
      <c r="BX4" s="311">
        <f t="shared" ca="1" si="0"/>
        <v>13.038461538461538</v>
      </c>
      <c r="BY4" s="311">
        <f t="shared" ca="1" si="0"/>
        <v>13.038461538461538</v>
      </c>
      <c r="BZ4" s="311">
        <f t="shared" ca="1" si="0"/>
        <v>13.038461538461538</v>
      </c>
      <c r="CA4" s="311">
        <f t="shared" ca="1" si="0"/>
        <v>13.038461538461538</v>
      </c>
      <c r="CB4" s="311">
        <f t="shared" ca="1" si="0"/>
        <v>13.038461538461538</v>
      </c>
      <c r="CC4" s="311">
        <f t="shared" ca="1" si="0"/>
        <v>13.038461538461538</v>
      </c>
      <c r="CD4" s="311">
        <f t="shared" ca="1" si="0"/>
        <v>13.038461538461538</v>
      </c>
      <c r="CE4" s="311">
        <f t="shared" ca="1" si="0"/>
        <v>13.038461538461538</v>
      </c>
      <c r="CF4" s="311">
        <f t="shared" ca="1" si="0"/>
        <v>13.038461538461538</v>
      </c>
      <c r="CG4" s="311">
        <f t="shared" ca="1" si="0"/>
        <v>13.038461538461538</v>
      </c>
      <c r="CH4" s="311">
        <f t="shared" ca="1" si="0"/>
        <v>13.038461538461538</v>
      </c>
      <c r="CI4" s="311">
        <f t="shared" ca="1" si="0"/>
        <v>13.038461538461538</v>
      </c>
      <c r="CJ4" s="311">
        <f t="shared" ca="1" si="0"/>
        <v>13.038461538461538</v>
      </c>
      <c r="CK4" s="311">
        <f t="shared" ca="1" si="0"/>
        <v>13.038461538461538</v>
      </c>
      <c r="CL4" s="311">
        <f t="shared" ca="1" si="0"/>
        <v>13.038461538461538</v>
      </c>
      <c r="CM4" s="311">
        <f t="shared" ca="1" si="0"/>
        <v>13.038461538461538</v>
      </c>
      <c r="CN4" s="311">
        <f t="shared" ca="1" si="0"/>
        <v>13.038461538461538</v>
      </c>
      <c r="CO4" s="311">
        <f t="shared" ca="1" si="0"/>
        <v>13.038461538461538</v>
      </c>
      <c r="CP4" s="311">
        <f t="shared" ca="1" si="0"/>
        <v>13.038461538461538</v>
      </c>
      <c r="CQ4" s="311">
        <f t="shared" ref="CQ4:DJ4" ca="1" si="1">SUM(CQ5:CQ104)</f>
        <v>13.038461538461538</v>
      </c>
      <c r="CR4" s="311">
        <f t="shared" ca="1" si="1"/>
        <v>13.038461538461538</v>
      </c>
      <c r="CS4" s="311">
        <f t="shared" ca="1" si="1"/>
        <v>13.038461538461538</v>
      </c>
      <c r="CT4" s="311">
        <f t="shared" ca="1" si="1"/>
        <v>13.038461538461538</v>
      </c>
      <c r="CU4" s="311">
        <f t="shared" ca="1" si="1"/>
        <v>13.038461538461538</v>
      </c>
      <c r="CV4" s="311">
        <f t="shared" ca="1" si="1"/>
        <v>13.038461538461538</v>
      </c>
      <c r="CW4" s="311">
        <f t="shared" ca="1" si="1"/>
        <v>13.038461538461538</v>
      </c>
      <c r="CX4" s="311">
        <f t="shared" ca="1" si="1"/>
        <v>13.038461538461538</v>
      </c>
      <c r="CY4" s="311">
        <f t="shared" ca="1" si="1"/>
        <v>13.038461538461538</v>
      </c>
      <c r="CZ4" s="311">
        <f t="shared" ca="1" si="1"/>
        <v>13.038461538461538</v>
      </c>
      <c r="DA4" s="311">
        <f t="shared" ca="1" si="1"/>
        <v>13.038461538461538</v>
      </c>
      <c r="DB4" s="311">
        <f t="shared" ca="1" si="1"/>
        <v>13.038461538461538</v>
      </c>
      <c r="DC4" s="311">
        <f t="shared" ca="1" si="1"/>
        <v>13.038461538461538</v>
      </c>
      <c r="DD4" s="311">
        <f t="shared" ca="1" si="1"/>
        <v>13.038461538461538</v>
      </c>
      <c r="DE4" s="311">
        <f t="shared" ca="1" si="1"/>
        <v>13.038461538461538</v>
      </c>
      <c r="DF4" s="311">
        <f t="shared" ca="1" si="1"/>
        <v>13.038461538461538</v>
      </c>
      <c r="DG4" s="311">
        <f t="shared" ca="1" si="1"/>
        <v>13.038461538461538</v>
      </c>
      <c r="DH4" s="311">
        <f t="shared" ca="1" si="1"/>
        <v>13.038461538461538</v>
      </c>
      <c r="DI4" s="311">
        <f t="shared" ca="1" si="1"/>
        <v>13.038461538461538</v>
      </c>
      <c r="DJ4" s="311">
        <f t="shared" ca="1" si="1"/>
        <v>13.038461538461538</v>
      </c>
      <c r="DK4" s="395">
        <f ca="1">DJ4</f>
        <v>13.038461538461538</v>
      </c>
      <c r="DL4" s="136">
        <f ca="1">SUM(BK4:DK4)</f>
        <v>691.03846153846189</v>
      </c>
      <c r="DM4" s="5">
        <f>SUM(DM5:DM104)</f>
        <v>678</v>
      </c>
    </row>
    <row r="5" spans="1:121"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4.0384615384615383</v>
      </c>
      <c r="BK5" s="311">
        <f ca="1">IF($BI5&lt;&gt;"",IF('Capacity summary'!$D$14="Yes",IF(COUNTBLANK('Capacity summary'!$H124:$BG124)&lt;52,IF('Capacity summary'!H124&lt;&gt;"",IF(LOWER('Capacity summary'!H124)="x",$BI5*H5,VALUE('Capacity summary'!H124)),0),H5*$BI5),H5*$BI5),0)</f>
        <v>4.0384615384615383</v>
      </c>
      <c r="BL5" s="311">
        <f ca="1">IF($BI5&lt;&gt;"",IF('Capacity summary'!$D$14="Yes",IF(COUNTBLANK('Capacity summary'!$H124:$BG124)&lt;52,IF('Capacity summary'!I124&lt;&gt;"",IF(LOWER('Capacity summary'!I124)="x",$BI5*I5,VALUE('Capacity summary'!I124)),0),I5*$BI5),I5*$BI5),0)</f>
        <v>4.0384615384615383</v>
      </c>
      <c r="BM5" s="311">
        <f ca="1">IF($BI5&lt;&gt;"",IF('Capacity summary'!$D$14="Yes",IF(COUNTBLANK('Capacity summary'!$H124:$BG124)&lt;52,IF('Capacity summary'!J124&lt;&gt;"",IF(LOWER('Capacity summary'!J124)="x",$BI5*J5,VALUE('Capacity summary'!J124)),0),J5*$BI5),J5*$BI5),0)</f>
        <v>4.0384615384615383</v>
      </c>
      <c r="BN5" s="311">
        <f ca="1">IF($BI5&lt;&gt;"",IF('Capacity summary'!$D$14="Yes",IF(COUNTBLANK('Capacity summary'!$H124:$BG124)&lt;52,IF('Capacity summary'!K124&lt;&gt;"",IF(LOWER('Capacity summary'!K124)="x",$BI5*K5,VALUE('Capacity summary'!K124)),0),K5*$BI5),K5*$BI5),0)</f>
        <v>4.0384615384615383</v>
      </c>
      <c r="BO5" s="311">
        <f ca="1">IF($BI5&lt;&gt;"",IF('Capacity summary'!$D$14="Yes",IF(COUNTBLANK('Capacity summary'!$H124:$BG124)&lt;52,IF('Capacity summary'!L124&lt;&gt;"",IF(LOWER('Capacity summary'!L124)="x",$BI5*L5,VALUE('Capacity summary'!L124)),0),L5*$BI5),L5*$BI5),0)</f>
        <v>4.0384615384615383</v>
      </c>
      <c r="BP5" s="311">
        <f ca="1">IF($BI5&lt;&gt;"",IF('Capacity summary'!$D$14="Yes",IF(COUNTBLANK('Capacity summary'!$H124:$BG124)&lt;52,IF('Capacity summary'!M124&lt;&gt;"",IF(LOWER('Capacity summary'!M124)="x",$BI5*M5,VALUE('Capacity summary'!M124)),0),M5*$BI5),M5*$BI5),0)</f>
        <v>4.0384615384615383</v>
      </c>
      <c r="BQ5" s="311">
        <f ca="1">IF($BI5&lt;&gt;"",IF('Capacity summary'!$D$14="Yes",IF(COUNTBLANK('Capacity summary'!$H124:$BG124)&lt;52,IF('Capacity summary'!N124&lt;&gt;"",IF(LOWER('Capacity summary'!N124)="x",$BI5*N5,VALUE('Capacity summary'!N124)),0),N5*$BI5),N5*$BI5),0)</f>
        <v>4.0384615384615383</v>
      </c>
      <c r="BR5" s="311">
        <f ca="1">IF($BI5&lt;&gt;"",IF('Capacity summary'!$D$14="Yes",IF(COUNTBLANK('Capacity summary'!$H124:$BG124)&lt;52,IF('Capacity summary'!O124&lt;&gt;"",IF(LOWER('Capacity summary'!O124)="x",$BI5*O5,VALUE('Capacity summary'!O124)),0),O5*$BI5),O5*$BI5),0)</f>
        <v>4.0384615384615383</v>
      </c>
      <c r="BS5" s="311">
        <f ca="1">IF($BI5&lt;&gt;"",IF('Capacity summary'!$D$14="Yes",IF(COUNTBLANK('Capacity summary'!$H124:$BG124)&lt;52,IF('Capacity summary'!P124&lt;&gt;"",IF(LOWER('Capacity summary'!P124)="x",$BI5*P5,VALUE('Capacity summary'!P124)),0),P5*$BI5),P5*$BI5),0)</f>
        <v>4.0384615384615383</v>
      </c>
      <c r="BT5" s="311">
        <f ca="1">IF($BI5&lt;&gt;"",IF('Capacity summary'!$D$14="Yes",IF(COUNTBLANK('Capacity summary'!$H124:$BG124)&lt;52,IF('Capacity summary'!Q124&lt;&gt;"",IF(LOWER('Capacity summary'!Q124)="x",$BI5*Q5,VALUE('Capacity summary'!Q124)),0),Q5*$BI5),Q5*$BI5),0)</f>
        <v>4.0384615384615383</v>
      </c>
      <c r="BU5" s="311">
        <f ca="1">IF($BI5&lt;&gt;"",IF('Capacity summary'!$D$14="Yes",IF(COUNTBLANK('Capacity summary'!$H124:$BG124)&lt;52,IF('Capacity summary'!R124&lt;&gt;"",IF(LOWER('Capacity summary'!R124)="x",$BI5*R5,VALUE('Capacity summary'!R124)),0),R5*$BI5),R5*$BI5),0)</f>
        <v>4.0384615384615383</v>
      </c>
      <c r="BV5" s="311">
        <f ca="1">IF($BI5&lt;&gt;"",IF('Capacity summary'!$D$14="Yes",IF(COUNTBLANK('Capacity summary'!$H124:$BG124)&lt;52,IF('Capacity summary'!S124&lt;&gt;"",IF(LOWER('Capacity summary'!S124)="x",$BI5*S5,VALUE('Capacity summary'!S124)),0),S5*$BI5),S5*$BI5),0)</f>
        <v>4.0384615384615383</v>
      </c>
      <c r="BW5" s="311">
        <f ca="1">IF($BI5&lt;&gt;"",IF('Capacity summary'!$D$14="Yes",IF(COUNTBLANK('Capacity summary'!$H124:$BG124)&lt;52,IF('Capacity summary'!T124&lt;&gt;"",IF(LOWER('Capacity summary'!T124)="x",$BI5*T5,VALUE('Capacity summary'!T124)),0),T5*$BI5),T5*$BI5),0)</f>
        <v>4.0384615384615383</v>
      </c>
      <c r="BX5" s="311">
        <f ca="1">IF($BI5&lt;&gt;"",IF('Capacity summary'!$D$14="Yes",IF(COUNTBLANK('Capacity summary'!$H124:$BG124)&lt;52,IF('Capacity summary'!U124&lt;&gt;"",IF(LOWER('Capacity summary'!U124)="x",$BI5*U5,VALUE('Capacity summary'!U124)),0),U5*$BI5),U5*$BI5),0)</f>
        <v>4.0384615384615383</v>
      </c>
      <c r="BY5" s="311">
        <f ca="1">IF($BI5&lt;&gt;"",IF('Capacity summary'!$D$14="Yes",IF(COUNTBLANK('Capacity summary'!$H124:$BG124)&lt;52,IF('Capacity summary'!V124&lt;&gt;"",IF(LOWER('Capacity summary'!V124)="x",$BI5*V5,VALUE('Capacity summary'!V124)),0),V5*$BI5),V5*$BI5),0)</f>
        <v>4.0384615384615383</v>
      </c>
      <c r="BZ5" s="311">
        <f ca="1">IF($BI5&lt;&gt;"",IF('Capacity summary'!$D$14="Yes",IF(COUNTBLANK('Capacity summary'!$H124:$BG124)&lt;52,IF('Capacity summary'!W124&lt;&gt;"",IF(LOWER('Capacity summary'!W124)="x",$BI5*W5,VALUE('Capacity summary'!W124)),0),W5*$BI5),W5*$BI5),0)</f>
        <v>4.0384615384615383</v>
      </c>
      <c r="CA5" s="311">
        <f ca="1">IF($BI5&lt;&gt;"",IF('Capacity summary'!$D$14="Yes",IF(COUNTBLANK('Capacity summary'!$H124:$BG124)&lt;52,IF('Capacity summary'!X124&lt;&gt;"",IF(LOWER('Capacity summary'!X124)="x",$BI5*X5,VALUE('Capacity summary'!X124)),0),X5*$BI5),X5*$BI5),0)</f>
        <v>4.0384615384615383</v>
      </c>
      <c r="CB5" s="311">
        <f ca="1">IF($BI5&lt;&gt;"",IF('Capacity summary'!$D$14="Yes",IF(COUNTBLANK('Capacity summary'!$H124:$BG124)&lt;52,IF('Capacity summary'!Y124&lt;&gt;"",IF(LOWER('Capacity summary'!Y124)="x",$BI5*Y5,VALUE('Capacity summary'!Y124)),0),Y5*$BI5),Y5*$BI5),0)</f>
        <v>4.0384615384615383</v>
      </c>
      <c r="CC5" s="311">
        <f ca="1">IF($BI5&lt;&gt;"",IF('Capacity summary'!$D$14="Yes",IF(COUNTBLANK('Capacity summary'!$H124:$BG124)&lt;52,IF('Capacity summary'!Z124&lt;&gt;"",IF(LOWER('Capacity summary'!Z124)="x",$BI5*Z5,VALUE('Capacity summary'!Z124)),0),Z5*$BI5),Z5*$BI5),0)</f>
        <v>4.0384615384615383</v>
      </c>
      <c r="CD5" s="311">
        <f ca="1">IF($BI5&lt;&gt;"",IF('Capacity summary'!$D$14="Yes",IF(COUNTBLANK('Capacity summary'!$H124:$BG124)&lt;52,IF('Capacity summary'!AA124&lt;&gt;"",IF(LOWER('Capacity summary'!AA124)="x",$BI5*AA5,VALUE('Capacity summary'!AA124)),0),AA5*$BI5),AA5*$BI5),0)</f>
        <v>4.0384615384615383</v>
      </c>
      <c r="CE5" s="311">
        <f ca="1">IF($BI5&lt;&gt;"",IF('Capacity summary'!$D$14="Yes",IF(COUNTBLANK('Capacity summary'!$H124:$BG124)&lt;52,IF('Capacity summary'!AB124&lt;&gt;"",IF(LOWER('Capacity summary'!AB124)="x",$BI5*AB5,VALUE('Capacity summary'!AB124)),0),AB5*$BI5),AB5*$BI5),0)</f>
        <v>4.0384615384615383</v>
      </c>
      <c r="CF5" s="311">
        <f ca="1">IF($BI5&lt;&gt;"",IF('Capacity summary'!$D$14="Yes",IF(COUNTBLANK('Capacity summary'!$H124:$BG124)&lt;52,IF('Capacity summary'!AC124&lt;&gt;"",IF(LOWER('Capacity summary'!AC124)="x",$BI5*AC5,VALUE('Capacity summary'!AC124)),0),AC5*$BI5),AC5*$BI5),0)</f>
        <v>4.0384615384615383</v>
      </c>
      <c r="CG5" s="311">
        <f ca="1">IF($BI5&lt;&gt;"",IF('Capacity summary'!$D$14="Yes",IF(COUNTBLANK('Capacity summary'!$H124:$BG124)&lt;52,IF('Capacity summary'!AD124&lt;&gt;"",IF(LOWER('Capacity summary'!AD124)="x",$BI5*AD5,VALUE('Capacity summary'!AD124)),0),AD5*$BI5),AD5*$BI5),0)</f>
        <v>4.0384615384615383</v>
      </c>
      <c r="CH5" s="311">
        <f ca="1">IF($BI5&lt;&gt;"",IF('Capacity summary'!$D$14="Yes",IF(COUNTBLANK('Capacity summary'!$H124:$BG124)&lt;52,IF('Capacity summary'!AE124&lt;&gt;"",IF(LOWER('Capacity summary'!AE124)="x",$BI5*AE5,VALUE('Capacity summary'!AE124)),0),AE5*$BI5),AE5*$BI5),0)</f>
        <v>4.0384615384615383</v>
      </c>
      <c r="CI5" s="311">
        <f ca="1">IF($BI5&lt;&gt;"",IF('Capacity summary'!$D$14="Yes",IF(COUNTBLANK('Capacity summary'!$H124:$BG124)&lt;52,IF('Capacity summary'!AF124&lt;&gt;"",IF(LOWER('Capacity summary'!AF124)="x",$BI5*AF5,VALUE('Capacity summary'!AF124)),0),AF5*$BI5),AF5*$BI5),0)</f>
        <v>4.0384615384615383</v>
      </c>
      <c r="CJ5" s="311">
        <f ca="1">IF($BI5&lt;&gt;"",IF('Capacity summary'!$D$14="Yes",IF(COUNTBLANK('Capacity summary'!$H124:$BG124)&lt;52,IF('Capacity summary'!AG124&lt;&gt;"",IF(LOWER('Capacity summary'!AG124)="x",$BI5*AG5,VALUE('Capacity summary'!AG124)),0),AG5*$BI5),AG5*$BI5),0)</f>
        <v>4.0384615384615383</v>
      </c>
      <c r="CK5" s="311">
        <f ca="1">IF($BI5&lt;&gt;"",IF('Capacity summary'!$D$14="Yes",IF(COUNTBLANK('Capacity summary'!$H124:$BG124)&lt;52,IF('Capacity summary'!AH124&lt;&gt;"",IF(LOWER('Capacity summary'!AH124)="x",$BI5*AH5,VALUE('Capacity summary'!AH124)),0),AH5*$BI5),AH5*$BI5),0)</f>
        <v>4.0384615384615383</v>
      </c>
      <c r="CL5" s="311">
        <f ca="1">IF($BI5&lt;&gt;"",IF('Capacity summary'!$D$14="Yes",IF(COUNTBLANK('Capacity summary'!$H124:$BG124)&lt;52,IF('Capacity summary'!AI124&lt;&gt;"",IF(LOWER('Capacity summary'!AI124)="x",$BI5*AI5,VALUE('Capacity summary'!AI124)),0),AI5*$BI5),AI5*$BI5),0)</f>
        <v>4.0384615384615383</v>
      </c>
      <c r="CM5" s="311">
        <f ca="1">IF($BI5&lt;&gt;"",IF('Capacity summary'!$D$14="Yes",IF(COUNTBLANK('Capacity summary'!$H124:$BG124)&lt;52,IF('Capacity summary'!AJ124&lt;&gt;"",IF(LOWER('Capacity summary'!AJ124)="x",$BI5*AJ5,VALUE('Capacity summary'!AJ124)),0),AJ5*$BI5),AJ5*$BI5),0)</f>
        <v>4.0384615384615383</v>
      </c>
      <c r="CN5" s="311">
        <f ca="1">IF($BI5&lt;&gt;"",IF('Capacity summary'!$D$14="Yes",IF(COUNTBLANK('Capacity summary'!$H124:$BG124)&lt;52,IF('Capacity summary'!AK124&lt;&gt;"",IF(LOWER('Capacity summary'!AK124)="x",$BI5*AK5,VALUE('Capacity summary'!AK124)),0),AK5*$BI5),AK5*$BI5),0)</f>
        <v>4.0384615384615383</v>
      </c>
      <c r="CO5" s="311">
        <f ca="1">IF($BI5&lt;&gt;"",IF('Capacity summary'!$D$14="Yes",IF(COUNTBLANK('Capacity summary'!$H124:$BG124)&lt;52,IF('Capacity summary'!AL124&lt;&gt;"",IF(LOWER('Capacity summary'!AL124)="x",$BI5*AL5,VALUE('Capacity summary'!AL124)),0),AL5*$BI5),AL5*$BI5),0)</f>
        <v>4.0384615384615383</v>
      </c>
      <c r="CP5" s="311">
        <f ca="1">IF($BI5&lt;&gt;"",IF('Capacity summary'!$D$14="Yes",IF(COUNTBLANK('Capacity summary'!$H124:$BG124)&lt;52,IF('Capacity summary'!AM124&lt;&gt;"",IF(LOWER('Capacity summary'!AM124)="x",$BI5*AM5,VALUE('Capacity summary'!AM124)),0),AM5*$BI5),AM5*$BI5),0)</f>
        <v>4.0384615384615383</v>
      </c>
      <c r="CQ5" s="311">
        <f ca="1">IF($BI5&lt;&gt;"",IF('Capacity summary'!$D$14="Yes",IF(COUNTBLANK('Capacity summary'!$H124:$BG124)&lt;52,IF('Capacity summary'!AN124&lt;&gt;"",IF(LOWER('Capacity summary'!AN124)="x",$BI5*AN5,VALUE('Capacity summary'!AN124)),0),AN5*$BI5),AN5*$BI5),0)</f>
        <v>4.0384615384615383</v>
      </c>
      <c r="CR5" s="311">
        <f ca="1">IF($BI5&lt;&gt;"",IF('Capacity summary'!$D$14="Yes",IF(COUNTBLANK('Capacity summary'!$H124:$BG124)&lt;52,IF('Capacity summary'!AO124&lt;&gt;"",IF(LOWER('Capacity summary'!AO124)="x",$BI5*AO5,VALUE('Capacity summary'!AO124)),0),AO5*$BI5),AO5*$BI5),0)</f>
        <v>4.0384615384615383</v>
      </c>
      <c r="CS5" s="311">
        <f ca="1">IF($BI5&lt;&gt;"",IF('Capacity summary'!$D$14="Yes",IF(COUNTBLANK('Capacity summary'!$H124:$BG124)&lt;52,IF('Capacity summary'!AP124&lt;&gt;"",IF(LOWER('Capacity summary'!AP124)="x",$BI5*AP5,VALUE('Capacity summary'!AP124)),0),AP5*$BI5),AP5*$BI5),0)</f>
        <v>4.0384615384615383</v>
      </c>
      <c r="CT5" s="311">
        <f ca="1">IF($BI5&lt;&gt;"",IF('Capacity summary'!$D$14="Yes",IF(COUNTBLANK('Capacity summary'!$H124:$BG124)&lt;52,IF('Capacity summary'!AQ124&lt;&gt;"",IF(LOWER('Capacity summary'!AQ124)="x",$BI5*AQ5,VALUE('Capacity summary'!AQ124)),0),AQ5*$BI5),AQ5*$BI5),0)</f>
        <v>4.0384615384615383</v>
      </c>
      <c r="CU5" s="311">
        <f ca="1">IF($BI5&lt;&gt;"",IF('Capacity summary'!$D$14="Yes",IF(COUNTBLANK('Capacity summary'!$H124:$BG124)&lt;52,IF('Capacity summary'!AR124&lt;&gt;"",IF(LOWER('Capacity summary'!AR124)="x",$BI5*AR5,VALUE('Capacity summary'!AR124)),0),AR5*$BI5),AR5*$BI5),0)</f>
        <v>4.0384615384615383</v>
      </c>
      <c r="CV5" s="311">
        <f ca="1">IF($BI5&lt;&gt;"",IF('Capacity summary'!$D$14="Yes",IF(COUNTBLANK('Capacity summary'!$H124:$BG124)&lt;52,IF('Capacity summary'!AS124&lt;&gt;"",IF(LOWER('Capacity summary'!AS124)="x",$BI5*AS5,VALUE('Capacity summary'!AS124)),0),AS5*$BI5),AS5*$BI5),0)</f>
        <v>4.0384615384615383</v>
      </c>
      <c r="CW5" s="311">
        <f ca="1">IF($BI5&lt;&gt;"",IF('Capacity summary'!$D$14="Yes",IF(COUNTBLANK('Capacity summary'!$H124:$BG124)&lt;52,IF('Capacity summary'!AT124&lt;&gt;"",IF(LOWER('Capacity summary'!AT124)="x",$BI5*AT5,VALUE('Capacity summary'!AT124)),0),AT5*$BI5),AT5*$BI5),0)</f>
        <v>4.0384615384615383</v>
      </c>
      <c r="CX5" s="311">
        <f ca="1">IF($BI5&lt;&gt;"",IF('Capacity summary'!$D$14="Yes",IF(COUNTBLANK('Capacity summary'!$H124:$BG124)&lt;52,IF('Capacity summary'!AU124&lt;&gt;"",IF(LOWER('Capacity summary'!AU124)="x",$BI5*AU5,VALUE('Capacity summary'!AU124)),0),AU5*$BI5),AU5*$BI5),0)</f>
        <v>4.0384615384615383</v>
      </c>
      <c r="CY5" s="311">
        <f ca="1">IF($BI5&lt;&gt;"",IF('Capacity summary'!$D$14="Yes",IF(COUNTBLANK('Capacity summary'!$H124:$BG124)&lt;52,IF('Capacity summary'!AV124&lt;&gt;"",IF(LOWER('Capacity summary'!AV124)="x",$BI5*AV5,VALUE('Capacity summary'!AV124)),0),AV5*$BI5),AV5*$BI5),0)</f>
        <v>4.0384615384615383</v>
      </c>
      <c r="CZ5" s="311">
        <f ca="1">IF($BI5&lt;&gt;"",IF('Capacity summary'!$D$14="Yes",IF(COUNTBLANK('Capacity summary'!$H124:$BG124)&lt;52,IF('Capacity summary'!AW124&lt;&gt;"",IF(LOWER('Capacity summary'!AW124)="x",$BI5*AW5,VALUE('Capacity summary'!AW124)),0),AW5*$BI5),AW5*$BI5),0)</f>
        <v>4.0384615384615383</v>
      </c>
      <c r="DA5" s="311">
        <f ca="1">IF($BI5&lt;&gt;"",IF('Capacity summary'!$D$14="Yes",IF(COUNTBLANK('Capacity summary'!$H124:$BG124)&lt;52,IF('Capacity summary'!AX124&lt;&gt;"",IF(LOWER('Capacity summary'!AX124)="x",$BI5*AX5,VALUE('Capacity summary'!AX124)),0),AX5*$BI5),AX5*$BI5),0)</f>
        <v>4.0384615384615383</v>
      </c>
      <c r="DB5" s="311">
        <f ca="1">IF($BI5&lt;&gt;"",IF('Capacity summary'!$D$14="Yes",IF(COUNTBLANK('Capacity summary'!$H124:$BG124)&lt;52,IF('Capacity summary'!AY124&lt;&gt;"",IF(LOWER('Capacity summary'!AY124)="x",$BI5*AY5,VALUE('Capacity summary'!AY124)),0),AY5*$BI5),AY5*$BI5),0)</f>
        <v>4.0384615384615383</v>
      </c>
      <c r="DC5" s="311">
        <f ca="1">IF($BI5&lt;&gt;"",IF('Capacity summary'!$D$14="Yes",IF(COUNTBLANK('Capacity summary'!$H124:$BG124)&lt;52,IF('Capacity summary'!AZ124&lt;&gt;"",IF(LOWER('Capacity summary'!AZ124)="x",$BI5*AZ5,VALUE('Capacity summary'!AZ124)),0),AZ5*$BI5),AZ5*$BI5),0)</f>
        <v>4.0384615384615383</v>
      </c>
      <c r="DD5" s="311">
        <f ca="1">IF($BI5&lt;&gt;"",IF('Capacity summary'!$D$14="Yes",IF(COUNTBLANK('Capacity summary'!$H124:$BG124)&lt;52,IF('Capacity summary'!BA124&lt;&gt;"",IF(LOWER('Capacity summary'!BA124)="x",$BI5*BA5,VALUE('Capacity summary'!BA124)),0),BA5*$BI5),BA5*$BI5),0)</f>
        <v>4.0384615384615383</v>
      </c>
      <c r="DE5" s="311">
        <f ca="1">IF($BI5&lt;&gt;"",IF('Capacity summary'!$D$14="Yes",IF(COUNTBLANK('Capacity summary'!$H124:$BG124)&lt;52,IF('Capacity summary'!BB124&lt;&gt;"",IF(LOWER('Capacity summary'!BB124)="x",$BI5*BB5,VALUE('Capacity summary'!BB124)),0),BB5*$BI5),BB5*$BI5),0)</f>
        <v>4.0384615384615383</v>
      </c>
      <c r="DF5" s="311">
        <f ca="1">IF($BI5&lt;&gt;"",IF('Capacity summary'!$D$14="Yes",IF(COUNTBLANK('Capacity summary'!$H124:$BG124)&lt;52,IF('Capacity summary'!BC124&lt;&gt;"",IF(LOWER('Capacity summary'!BC124)="x",$BI5*BC5,VALUE('Capacity summary'!BC124)),0),BC5*$BI5),BC5*$BI5),0)</f>
        <v>4.0384615384615383</v>
      </c>
      <c r="DG5" s="311">
        <f ca="1">IF($BI5&lt;&gt;"",IF('Capacity summary'!$D$14="Yes",IF(COUNTBLANK('Capacity summary'!$H124:$BG124)&lt;52,IF('Capacity summary'!BD124&lt;&gt;"",IF(LOWER('Capacity summary'!BD124)="x",$BI5*BD5,VALUE('Capacity summary'!BD124)),0),BD5*$BI5),BD5*$BI5),0)</f>
        <v>4.0384615384615383</v>
      </c>
      <c r="DH5" s="311">
        <f ca="1">IF($BI5&lt;&gt;"",IF('Capacity summary'!$D$14="Yes",IF(COUNTBLANK('Capacity summary'!$H124:$BG124)&lt;52,IF('Capacity summary'!BE124&lt;&gt;"",IF(LOWER('Capacity summary'!BE124)="x",$BI5*BE5,VALUE('Capacity summary'!BE124)),0),BE5*$BI5),BE5*$BI5),0)</f>
        <v>4.0384615384615383</v>
      </c>
      <c r="DI5" s="311">
        <f ca="1">IF($BI5&lt;&gt;"",IF('Capacity summary'!$D$14="Yes",IF(COUNTBLANK('Capacity summary'!$H124:$BG124)&lt;52,IF('Capacity summary'!BF124&lt;&gt;"",IF(LOWER('Capacity summary'!BF124)="x",$BI5*BF5,VALUE('Capacity summary'!BF124)),0),BF5*$BI5),BF5*$BI5),0)</f>
        <v>4.0384615384615383</v>
      </c>
      <c r="DJ5" s="311">
        <f ca="1">IF($BI5&lt;&gt;"",IF('Capacity summary'!$D$14="Yes",IF(COUNTBLANK('Capacity summary'!$H124:$BG124)&lt;52,IF('Capacity summary'!BG124&lt;&gt;"",IF(LOWER('Capacity summary'!BG124)="x",$BI5*BG5,VALUE('Capacity summary'!BG124)),0),BG5*$BI5),BG5*$BI5),0)</f>
        <v>4.0384615384615383</v>
      </c>
      <c r="DK5" s="395">
        <f t="shared" ref="DK5:DK68" ca="1" si="2">DJ5</f>
        <v>4.0384615384615383</v>
      </c>
      <c r="DL5" s="136">
        <f t="shared" ref="DL5:DL68" ca="1" si="3">SUM(BK5:DJ5)</f>
        <v>210.00000000000011</v>
      </c>
      <c r="DM5" s="311">
        <f>Capacity!H17</f>
        <v>210</v>
      </c>
      <c r="DQ5" s="5"/>
    </row>
    <row r="6" spans="1:121"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5">
        <f t="shared" ca="1" si="2"/>
        <v>4.0384615384615383</v>
      </c>
      <c r="DL6" s="136">
        <f t="shared" ca="1" si="3"/>
        <v>210.00000000000011</v>
      </c>
      <c r="DM6" s="311">
        <f>Capacity!H18</f>
        <v>210</v>
      </c>
      <c r="DQ6" s="5"/>
    </row>
    <row r="7" spans="1:121"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5">
        <f t="shared" ca="1" si="2"/>
        <v>1.6153846153846154</v>
      </c>
      <c r="DL7" s="136">
        <f t="shared" ca="1" si="3"/>
        <v>83.999999999999943</v>
      </c>
      <c r="DM7" s="311">
        <f>Capacity!H19</f>
        <v>84</v>
      </c>
      <c r="DQ7" s="5"/>
    </row>
    <row r="8" spans="1:121"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5">
        <f t="shared" ca="1" si="2"/>
        <v>0.92307692307692313</v>
      </c>
      <c r="DL8" s="136">
        <f t="shared" ca="1" si="3"/>
        <v>47.99999999999995</v>
      </c>
      <c r="DM8" s="311">
        <f>Capacity!H20</f>
        <v>48</v>
      </c>
      <c r="DQ8" s="5"/>
    </row>
    <row r="9" spans="1:121"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5">
        <f t="shared" ca="1" si="2"/>
        <v>2.4230769230769229</v>
      </c>
      <c r="DL9" s="136">
        <f t="shared" ca="1" si="3"/>
        <v>125.99999999999987</v>
      </c>
      <c r="DM9" s="311">
        <f>Capacity!H21</f>
        <v>126</v>
      </c>
      <c r="DQ9" s="5"/>
    </row>
    <row r="10" spans="1:121" x14ac:dyDescent="0.25">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5">
        <f t="shared" ca="1" si="2"/>
        <v>0</v>
      </c>
      <c r="DL10" s="136">
        <f t="shared" ca="1" si="3"/>
        <v>0</v>
      </c>
      <c r="DM10" s="311">
        <f>Capacity!H22</f>
        <v>0</v>
      </c>
      <c r="DQ10" s="5"/>
    </row>
    <row r="11" spans="1:121"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5">
        <f t="shared" si="2"/>
        <v>0</v>
      </c>
      <c r="DL11" s="136">
        <f t="shared" si="3"/>
        <v>0</v>
      </c>
      <c r="DM11" s="311" t="str">
        <f>Capacity!H23</f>
        <v/>
      </c>
      <c r="DQ11" s="5"/>
    </row>
    <row r="12" spans="1:121"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5">
        <f t="shared" si="2"/>
        <v>0</v>
      </c>
      <c r="DL12" s="136">
        <f t="shared" si="3"/>
        <v>0</v>
      </c>
      <c r="DM12" s="311" t="str">
        <f>Capacity!H24</f>
        <v/>
      </c>
      <c r="DQ12" s="5"/>
    </row>
    <row r="13" spans="1:121"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5">
        <f t="shared" si="2"/>
        <v>0</v>
      </c>
      <c r="DL13" s="136">
        <f t="shared" si="3"/>
        <v>0</v>
      </c>
      <c r="DM13" s="311" t="str">
        <f>Capacity!H25</f>
        <v/>
      </c>
      <c r="DQ13" s="5"/>
    </row>
    <row r="14" spans="1:121"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5">
        <f t="shared" si="2"/>
        <v>0</v>
      </c>
      <c r="DL14" s="136">
        <f t="shared" si="3"/>
        <v>0</v>
      </c>
      <c r="DM14" s="311" t="str">
        <f>Capacity!H26</f>
        <v/>
      </c>
      <c r="DQ14" s="5"/>
    </row>
    <row r="15" spans="1:121"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5">
        <f t="shared" si="2"/>
        <v>0</v>
      </c>
      <c r="DL15" s="136">
        <f t="shared" si="3"/>
        <v>0</v>
      </c>
      <c r="DM15" s="311" t="str">
        <f>Capacity!H27</f>
        <v/>
      </c>
      <c r="DQ15" s="5"/>
    </row>
    <row r="16" spans="1:121"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5">
        <f t="shared" si="2"/>
        <v>0</v>
      </c>
      <c r="DL16" s="136">
        <f t="shared" si="3"/>
        <v>0</v>
      </c>
      <c r="DM16" s="311" t="str">
        <f>Capacity!H28</f>
        <v/>
      </c>
      <c r="DQ16" s="5"/>
    </row>
    <row r="17" spans="1:121"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5">
        <f t="shared" si="2"/>
        <v>0</v>
      </c>
      <c r="DL17" s="136">
        <f t="shared" si="3"/>
        <v>0</v>
      </c>
      <c r="DM17" s="311" t="str">
        <f>Capacity!H29</f>
        <v/>
      </c>
      <c r="DQ17" s="5"/>
    </row>
    <row r="18" spans="1:121"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5">
        <f t="shared" si="2"/>
        <v>0</v>
      </c>
      <c r="DL18" s="136">
        <f t="shared" si="3"/>
        <v>0</v>
      </c>
      <c r="DM18" s="311" t="str">
        <f>Capacity!H30</f>
        <v/>
      </c>
      <c r="DQ18" s="5"/>
    </row>
    <row r="19" spans="1:121"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5">
        <f t="shared" si="2"/>
        <v>0</v>
      </c>
      <c r="DL19" s="136">
        <f t="shared" si="3"/>
        <v>0</v>
      </c>
      <c r="DM19" s="311" t="str">
        <f>Capacity!H31</f>
        <v/>
      </c>
      <c r="DQ19" s="5"/>
    </row>
    <row r="20" spans="1:121"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5">
        <f t="shared" si="2"/>
        <v>0</v>
      </c>
      <c r="DL20" s="136">
        <f t="shared" si="3"/>
        <v>0</v>
      </c>
      <c r="DM20" s="311" t="str">
        <f>Capacity!H32</f>
        <v/>
      </c>
      <c r="DQ20" s="5"/>
    </row>
    <row r="21" spans="1:121"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5">
        <f t="shared" si="2"/>
        <v>0</v>
      </c>
      <c r="DL21" s="136">
        <f t="shared" si="3"/>
        <v>0</v>
      </c>
      <c r="DM21" s="311" t="str">
        <f>Capacity!H33</f>
        <v/>
      </c>
      <c r="DQ21" s="5"/>
    </row>
    <row r="22" spans="1:121"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5">
        <f t="shared" si="2"/>
        <v>0</v>
      </c>
      <c r="DL22" s="136">
        <f t="shared" si="3"/>
        <v>0</v>
      </c>
      <c r="DM22" s="311" t="str">
        <f>Capacity!H34</f>
        <v/>
      </c>
      <c r="DQ22" s="5"/>
    </row>
    <row r="23" spans="1:121"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5">
        <f t="shared" si="2"/>
        <v>0</v>
      </c>
      <c r="DL23" s="136">
        <f t="shared" si="3"/>
        <v>0</v>
      </c>
      <c r="DM23" s="311" t="str">
        <f>Capacity!H35</f>
        <v/>
      </c>
      <c r="DQ23" s="5"/>
    </row>
    <row r="24" spans="1:121"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5">
        <f t="shared" si="2"/>
        <v>0</v>
      </c>
      <c r="DL24" s="136">
        <f t="shared" si="3"/>
        <v>0</v>
      </c>
      <c r="DM24" s="311" t="str">
        <f>Capacity!H36</f>
        <v/>
      </c>
      <c r="DQ24" s="5"/>
    </row>
    <row r="25" spans="1:121"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5">
        <f t="shared" si="2"/>
        <v>0</v>
      </c>
      <c r="DL25" s="136">
        <f t="shared" si="3"/>
        <v>0</v>
      </c>
      <c r="DM25" s="311" t="str">
        <f>Capacity!H37</f>
        <v/>
      </c>
      <c r="DQ25" s="5"/>
    </row>
    <row r="26" spans="1:121"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5">
        <f t="shared" si="2"/>
        <v>0</v>
      </c>
      <c r="DL26" s="136">
        <f t="shared" si="3"/>
        <v>0</v>
      </c>
      <c r="DM26" s="311" t="str">
        <f>Capacity!H38</f>
        <v/>
      </c>
      <c r="DQ26" s="5"/>
    </row>
    <row r="27" spans="1:121"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5">
        <f t="shared" si="2"/>
        <v>0</v>
      </c>
      <c r="DL27" s="136">
        <f t="shared" si="3"/>
        <v>0</v>
      </c>
      <c r="DM27" s="311" t="str">
        <f>Capacity!H39</f>
        <v/>
      </c>
      <c r="DQ27" s="5"/>
    </row>
    <row r="28" spans="1:121"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5">
        <f t="shared" si="2"/>
        <v>0</v>
      </c>
      <c r="DL28" s="136">
        <f t="shared" si="3"/>
        <v>0</v>
      </c>
      <c r="DM28" s="311" t="str">
        <f>Capacity!H40</f>
        <v/>
      </c>
      <c r="DQ28" s="5"/>
    </row>
    <row r="29" spans="1:121"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5">
        <f t="shared" si="2"/>
        <v>0</v>
      </c>
      <c r="DL29" s="136">
        <f t="shared" si="3"/>
        <v>0</v>
      </c>
      <c r="DM29" s="311" t="str">
        <f>Capacity!H41</f>
        <v/>
      </c>
      <c r="DQ29" s="5"/>
    </row>
    <row r="30" spans="1:121"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5">
        <f t="shared" si="2"/>
        <v>0</v>
      </c>
      <c r="DL30" s="136">
        <f t="shared" si="3"/>
        <v>0</v>
      </c>
      <c r="DM30" s="311" t="str">
        <f>Capacity!H42</f>
        <v/>
      </c>
      <c r="DQ30" s="5"/>
    </row>
    <row r="31" spans="1:121"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5">
        <f t="shared" si="2"/>
        <v>0</v>
      </c>
      <c r="DL31" s="136">
        <f t="shared" si="3"/>
        <v>0</v>
      </c>
      <c r="DM31" s="311" t="str">
        <f>Capacity!H43</f>
        <v/>
      </c>
      <c r="DQ31" s="5"/>
    </row>
    <row r="32" spans="1:121"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5">
        <f t="shared" si="2"/>
        <v>0</v>
      </c>
      <c r="DL32" s="136">
        <f t="shared" si="3"/>
        <v>0</v>
      </c>
      <c r="DM32" s="311" t="str">
        <f>Capacity!H44</f>
        <v/>
      </c>
      <c r="DQ32" s="5"/>
    </row>
    <row r="33" spans="1:121"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5">
        <f t="shared" si="2"/>
        <v>0</v>
      </c>
      <c r="DL33" s="136">
        <f t="shared" si="3"/>
        <v>0</v>
      </c>
      <c r="DM33" s="311" t="str">
        <f>Capacity!H45</f>
        <v/>
      </c>
      <c r="DQ33" s="5"/>
    </row>
    <row r="34" spans="1:121"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5">
        <f t="shared" si="2"/>
        <v>0</v>
      </c>
      <c r="DL34" s="136">
        <f t="shared" si="3"/>
        <v>0</v>
      </c>
      <c r="DM34" s="311" t="str">
        <f>Capacity!H46</f>
        <v/>
      </c>
      <c r="DQ34" s="5"/>
    </row>
    <row r="35" spans="1:121"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5">
        <f t="shared" si="2"/>
        <v>0</v>
      </c>
      <c r="DL35" s="136">
        <f t="shared" si="3"/>
        <v>0</v>
      </c>
      <c r="DM35" s="311" t="str">
        <f>Capacity!H47</f>
        <v/>
      </c>
      <c r="DQ35" s="5"/>
    </row>
    <row r="36" spans="1:121"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5">
        <f t="shared" si="2"/>
        <v>0</v>
      </c>
      <c r="DL36" s="136">
        <f t="shared" si="3"/>
        <v>0</v>
      </c>
      <c r="DM36" s="311" t="str">
        <f>Capacity!H48</f>
        <v/>
      </c>
      <c r="DQ36" s="5"/>
    </row>
    <row r="37" spans="1:121"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5">
        <f t="shared" si="2"/>
        <v>0</v>
      </c>
      <c r="DL37" s="136">
        <f t="shared" si="3"/>
        <v>0</v>
      </c>
      <c r="DM37" s="311" t="str">
        <f>Capacity!H49</f>
        <v/>
      </c>
      <c r="DQ37" s="5"/>
    </row>
    <row r="38" spans="1:121"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5">
        <f t="shared" si="2"/>
        <v>0</v>
      </c>
      <c r="DL38" s="136">
        <f t="shared" si="3"/>
        <v>0</v>
      </c>
      <c r="DM38" s="311" t="str">
        <f>Capacity!H50</f>
        <v/>
      </c>
      <c r="DQ38" s="5"/>
    </row>
    <row r="39" spans="1:121"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5">
        <f t="shared" si="2"/>
        <v>0</v>
      </c>
      <c r="DL39" s="136">
        <f t="shared" si="3"/>
        <v>0</v>
      </c>
      <c r="DM39" s="311" t="str">
        <f>Capacity!H51</f>
        <v/>
      </c>
      <c r="DQ39" s="5"/>
    </row>
    <row r="40" spans="1:121"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5">
        <f t="shared" si="2"/>
        <v>0</v>
      </c>
      <c r="DL40" s="136">
        <f t="shared" si="3"/>
        <v>0</v>
      </c>
      <c r="DM40" s="311" t="str">
        <f>Capacity!H52</f>
        <v/>
      </c>
      <c r="DQ40" s="5"/>
    </row>
    <row r="41" spans="1:121"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5">
        <f t="shared" si="2"/>
        <v>0</v>
      </c>
      <c r="DL41" s="136">
        <f t="shared" si="3"/>
        <v>0</v>
      </c>
      <c r="DM41" s="311" t="str">
        <f>Capacity!H53</f>
        <v/>
      </c>
      <c r="DQ41" s="5"/>
    </row>
    <row r="42" spans="1:121"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5">
        <f t="shared" si="2"/>
        <v>0</v>
      </c>
      <c r="DL42" s="136">
        <f t="shared" si="3"/>
        <v>0</v>
      </c>
      <c r="DM42" s="311" t="str">
        <f>Capacity!H54</f>
        <v/>
      </c>
      <c r="DQ42" s="5"/>
    </row>
    <row r="43" spans="1:121"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5">
        <f t="shared" si="2"/>
        <v>0</v>
      </c>
      <c r="DL43" s="136">
        <f t="shared" si="3"/>
        <v>0</v>
      </c>
      <c r="DM43" s="311" t="str">
        <f>Capacity!H55</f>
        <v/>
      </c>
      <c r="DQ43" s="5"/>
    </row>
    <row r="44" spans="1:121"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5">
        <f t="shared" si="2"/>
        <v>0</v>
      </c>
      <c r="DL44" s="136">
        <f t="shared" si="3"/>
        <v>0</v>
      </c>
      <c r="DM44" s="311" t="str">
        <f>Capacity!H56</f>
        <v/>
      </c>
      <c r="DQ44" s="5"/>
    </row>
    <row r="45" spans="1:121"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5">
        <f t="shared" si="2"/>
        <v>0</v>
      </c>
      <c r="DL45" s="136">
        <f t="shared" si="3"/>
        <v>0</v>
      </c>
      <c r="DM45" s="311" t="str">
        <f>Capacity!H57</f>
        <v/>
      </c>
      <c r="DQ45" s="5"/>
    </row>
    <row r="46" spans="1:121"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5">
        <f t="shared" si="2"/>
        <v>0</v>
      </c>
      <c r="DL46" s="136">
        <f t="shared" si="3"/>
        <v>0</v>
      </c>
      <c r="DM46" s="311" t="str">
        <f>Capacity!H58</f>
        <v/>
      </c>
      <c r="DQ46" s="5"/>
    </row>
    <row r="47" spans="1:121"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5">
        <f t="shared" si="2"/>
        <v>0</v>
      </c>
      <c r="DL47" s="136">
        <f t="shared" si="3"/>
        <v>0</v>
      </c>
      <c r="DM47" s="311" t="str">
        <f>Capacity!H59</f>
        <v/>
      </c>
      <c r="DQ47" s="5"/>
    </row>
    <row r="48" spans="1:121"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5">
        <f t="shared" si="2"/>
        <v>0</v>
      </c>
      <c r="DL48" s="136">
        <f t="shared" si="3"/>
        <v>0</v>
      </c>
      <c r="DM48" s="311" t="str">
        <f>Capacity!H60</f>
        <v/>
      </c>
      <c r="DQ48" s="5"/>
    </row>
    <row r="49" spans="1:121"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5">
        <f t="shared" si="2"/>
        <v>0</v>
      </c>
      <c r="DL49" s="136">
        <f t="shared" si="3"/>
        <v>0</v>
      </c>
      <c r="DM49" s="311" t="str">
        <f>Capacity!H61</f>
        <v/>
      </c>
      <c r="DQ49" s="5"/>
    </row>
    <row r="50" spans="1:121"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5">
        <f t="shared" si="2"/>
        <v>0</v>
      </c>
      <c r="DL50" s="136">
        <f t="shared" si="3"/>
        <v>0</v>
      </c>
      <c r="DM50" s="311" t="str">
        <f>Capacity!H62</f>
        <v/>
      </c>
      <c r="DQ50" s="5"/>
    </row>
    <row r="51" spans="1:121"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5">
        <f t="shared" si="2"/>
        <v>0</v>
      </c>
      <c r="DL51" s="136">
        <f t="shared" si="3"/>
        <v>0</v>
      </c>
      <c r="DM51" s="311" t="str">
        <f>Capacity!H63</f>
        <v/>
      </c>
      <c r="DQ51" s="5"/>
    </row>
    <row r="52" spans="1:121"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5">
        <f t="shared" si="2"/>
        <v>0</v>
      </c>
      <c r="DL52" s="136">
        <f t="shared" si="3"/>
        <v>0</v>
      </c>
      <c r="DM52" s="311" t="str">
        <f>Capacity!H64</f>
        <v/>
      </c>
      <c r="DQ52" s="5"/>
    </row>
    <row r="53" spans="1:121"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5">
        <f t="shared" si="2"/>
        <v>0</v>
      </c>
      <c r="DL53" s="136">
        <f t="shared" si="3"/>
        <v>0</v>
      </c>
      <c r="DM53" s="311" t="str">
        <f>Capacity!H65</f>
        <v/>
      </c>
      <c r="DQ53" s="5"/>
    </row>
    <row r="54" spans="1:121"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5">
        <f t="shared" si="2"/>
        <v>0</v>
      </c>
      <c r="DL54" s="136">
        <f t="shared" si="3"/>
        <v>0</v>
      </c>
      <c r="DM54" s="311" t="str">
        <f>Capacity!H66</f>
        <v/>
      </c>
      <c r="DQ54" s="5"/>
    </row>
    <row r="55" spans="1:121"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5">
        <f t="shared" si="2"/>
        <v>0</v>
      </c>
      <c r="DL55" s="136">
        <f t="shared" si="3"/>
        <v>0</v>
      </c>
      <c r="DM55" s="311" t="str">
        <f>Capacity!H67</f>
        <v/>
      </c>
      <c r="DQ55" s="5"/>
    </row>
    <row r="56" spans="1:121"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5">
        <f t="shared" si="2"/>
        <v>0</v>
      </c>
      <c r="DL56" s="136">
        <f t="shared" si="3"/>
        <v>0</v>
      </c>
      <c r="DM56" s="311" t="str">
        <f>Capacity!H68</f>
        <v/>
      </c>
      <c r="DQ56" s="5"/>
    </row>
    <row r="57" spans="1:121"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5">
        <f t="shared" si="2"/>
        <v>0</v>
      </c>
      <c r="DL57" s="136">
        <f t="shared" si="3"/>
        <v>0</v>
      </c>
      <c r="DM57" s="311" t="str">
        <f>Capacity!H69</f>
        <v/>
      </c>
    </row>
    <row r="58" spans="1:121"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5">
        <f t="shared" si="2"/>
        <v>0</v>
      </c>
      <c r="DL58" s="136">
        <f t="shared" si="3"/>
        <v>0</v>
      </c>
      <c r="DM58" s="311" t="str">
        <f>Capacity!H70</f>
        <v/>
      </c>
    </row>
    <row r="59" spans="1:121"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5">
        <f t="shared" si="2"/>
        <v>0</v>
      </c>
      <c r="DL59" s="136">
        <f t="shared" si="3"/>
        <v>0</v>
      </c>
      <c r="DM59" s="311" t="str">
        <f>Capacity!H71</f>
        <v/>
      </c>
    </row>
    <row r="60" spans="1:121"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5">
        <f t="shared" si="2"/>
        <v>0</v>
      </c>
      <c r="DL60" s="136">
        <f t="shared" si="3"/>
        <v>0</v>
      </c>
      <c r="DM60" s="311" t="str">
        <f>Capacity!H72</f>
        <v/>
      </c>
    </row>
    <row r="61" spans="1:121"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5">
        <f t="shared" si="2"/>
        <v>0</v>
      </c>
      <c r="DL61" s="136">
        <f t="shared" si="3"/>
        <v>0</v>
      </c>
      <c r="DM61" s="311" t="str">
        <f>Capacity!H73</f>
        <v/>
      </c>
    </row>
    <row r="62" spans="1:121"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5">
        <f t="shared" si="2"/>
        <v>0</v>
      </c>
      <c r="DL62" s="136">
        <f t="shared" si="3"/>
        <v>0</v>
      </c>
      <c r="DM62" s="311" t="str">
        <f>Capacity!H74</f>
        <v/>
      </c>
    </row>
    <row r="63" spans="1:121"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5">
        <f t="shared" si="2"/>
        <v>0</v>
      </c>
      <c r="DL63" s="136">
        <f t="shared" si="3"/>
        <v>0</v>
      </c>
      <c r="DM63" s="311" t="str">
        <f>Capacity!H75</f>
        <v/>
      </c>
    </row>
    <row r="64" spans="1:121"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5">
        <f t="shared" si="2"/>
        <v>0</v>
      </c>
      <c r="DL64" s="136">
        <f t="shared" si="3"/>
        <v>0</v>
      </c>
      <c r="DM64" s="311" t="str">
        <f>Capacity!H76</f>
        <v/>
      </c>
    </row>
    <row r="65" spans="1:117"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5">
        <f t="shared" si="2"/>
        <v>0</v>
      </c>
      <c r="DL65" s="136">
        <f t="shared" si="3"/>
        <v>0</v>
      </c>
      <c r="DM65" s="311" t="str">
        <f>Capacity!H77</f>
        <v/>
      </c>
    </row>
    <row r="66" spans="1:117"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5">
        <f t="shared" si="2"/>
        <v>0</v>
      </c>
      <c r="DL66" s="136">
        <f t="shared" si="3"/>
        <v>0</v>
      </c>
      <c r="DM66" s="311" t="str">
        <f>Capacity!H78</f>
        <v/>
      </c>
    </row>
    <row r="67" spans="1:117"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5">
        <f t="shared" si="2"/>
        <v>0</v>
      </c>
      <c r="DL67" s="136">
        <f t="shared" si="3"/>
        <v>0</v>
      </c>
      <c r="DM67" s="311" t="str">
        <f>Capacity!H79</f>
        <v/>
      </c>
    </row>
    <row r="68" spans="1:117"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5">
        <f t="shared" si="2"/>
        <v>0</v>
      </c>
      <c r="DL68" s="136">
        <f t="shared" si="3"/>
        <v>0</v>
      </c>
      <c r="DM68" s="311" t="str">
        <f>Capacity!H80</f>
        <v/>
      </c>
    </row>
    <row r="69" spans="1:117"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5">
        <f t="shared" ref="DK69:DK104" si="4">DJ69</f>
        <v>0</v>
      </c>
      <c r="DL69" s="136">
        <f t="shared" ref="DL69:DL104" si="5">SUM(BK69:DJ69)</f>
        <v>0</v>
      </c>
      <c r="DM69" s="311" t="str">
        <f>Capacity!H81</f>
        <v/>
      </c>
    </row>
    <row r="70" spans="1:117"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5">
        <f t="shared" si="4"/>
        <v>0</v>
      </c>
      <c r="DL70" s="136">
        <f t="shared" si="5"/>
        <v>0</v>
      </c>
      <c r="DM70" s="311" t="str">
        <f>Capacity!H82</f>
        <v/>
      </c>
    </row>
    <row r="71" spans="1:117"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5">
        <f t="shared" si="4"/>
        <v>0</v>
      </c>
      <c r="DL71" s="136">
        <f t="shared" si="5"/>
        <v>0</v>
      </c>
      <c r="DM71" s="311" t="str">
        <f>Capacity!H83</f>
        <v/>
      </c>
    </row>
    <row r="72" spans="1:117"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5">
        <f t="shared" si="4"/>
        <v>0</v>
      </c>
      <c r="DL72" s="136">
        <f t="shared" si="5"/>
        <v>0</v>
      </c>
      <c r="DM72" s="311" t="str">
        <f>Capacity!H84</f>
        <v/>
      </c>
    </row>
    <row r="73" spans="1:117"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5">
        <f t="shared" si="4"/>
        <v>0</v>
      </c>
      <c r="DL73" s="136">
        <f t="shared" si="5"/>
        <v>0</v>
      </c>
      <c r="DM73" s="311" t="str">
        <f>Capacity!H85</f>
        <v/>
      </c>
    </row>
    <row r="74" spans="1:117"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5">
        <f t="shared" si="4"/>
        <v>0</v>
      </c>
      <c r="DL74" s="136">
        <f t="shared" si="5"/>
        <v>0</v>
      </c>
      <c r="DM74" s="311" t="str">
        <f>Capacity!H86</f>
        <v/>
      </c>
    </row>
    <row r="75" spans="1:117"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5">
        <f t="shared" si="4"/>
        <v>0</v>
      </c>
      <c r="DL75" s="136">
        <f t="shared" si="5"/>
        <v>0</v>
      </c>
      <c r="DM75" s="311" t="str">
        <f>Capacity!H87</f>
        <v/>
      </c>
    </row>
    <row r="76" spans="1:117"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5">
        <f t="shared" si="4"/>
        <v>0</v>
      </c>
      <c r="DL76" s="136">
        <f t="shared" si="5"/>
        <v>0</v>
      </c>
      <c r="DM76" s="311" t="str">
        <f>Capacity!H88</f>
        <v/>
      </c>
    </row>
    <row r="77" spans="1:117"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5">
        <f t="shared" si="4"/>
        <v>0</v>
      </c>
      <c r="DL77" s="136">
        <f t="shared" si="5"/>
        <v>0</v>
      </c>
      <c r="DM77" s="311" t="str">
        <f>Capacity!H89</f>
        <v/>
      </c>
    </row>
    <row r="78" spans="1:117"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5">
        <f t="shared" si="4"/>
        <v>0</v>
      </c>
      <c r="DL78" s="136">
        <f t="shared" si="5"/>
        <v>0</v>
      </c>
      <c r="DM78" s="311" t="str">
        <f>Capacity!H90</f>
        <v/>
      </c>
    </row>
    <row r="79" spans="1:117"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5">
        <f t="shared" si="4"/>
        <v>0</v>
      </c>
      <c r="DL79" s="136">
        <f t="shared" si="5"/>
        <v>0</v>
      </c>
      <c r="DM79" s="311" t="str">
        <f>Capacity!H91</f>
        <v/>
      </c>
    </row>
    <row r="80" spans="1:117"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5">
        <f t="shared" si="4"/>
        <v>0</v>
      </c>
      <c r="DL80" s="136">
        <f t="shared" si="5"/>
        <v>0</v>
      </c>
      <c r="DM80" s="311" t="str">
        <f>Capacity!H92</f>
        <v/>
      </c>
    </row>
    <row r="81" spans="1:117"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5">
        <f t="shared" si="4"/>
        <v>0</v>
      </c>
      <c r="DL81" s="136">
        <f t="shared" si="5"/>
        <v>0</v>
      </c>
      <c r="DM81" s="311" t="str">
        <f>Capacity!H93</f>
        <v/>
      </c>
    </row>
    <row r="82" spans="1:117"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5">
        <f t="shared" si="4"/>
        <v>0</v>
      </c>
      <c r="DL82" s="136">
        <f t="shared" si="5"/>
        <v>0</v>
      </c>
      <c r="DM82" s="311" t="str">
        <f>Capacity!H94</f>
        <v/>
      </c>
    </row>
    <row r="83" spans="1:117"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5">
        <f t="shared" si="4"/>
        <v>0</v>
      </c>
      <c r="DL83" s="136">
        <f t="shared" si="5"/>
        <v>0</v>
      </c>
      <c r="DM83" s="311" t="str">
        <f>Capacity!H95</f>
        <v/>
      </c>
    </row>
    <row r="84" spans="1:117"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5">
        <f t="shared" si="4"/>
        <v>0</v>
      </c>
      <c r="DL84" s="136">
        <f t="shared" si="5"/>
        <v>0</v>
      </c>
      <c r="DM84" s="311" t="str">
        <f>Capacity!H96</f>
        <v/>
      </c>
    </row>
    <row r="85" spans="1:117"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5">
        <f t="shared" si="4"/>
        <v>0</v>
      </c>
      <c r="DL85" s="136">
        <f t="shared" si="5"/>
        <v>0</v>
      </c>
      <c r="DM85" s="311" t="str">
        <f>Capacity!H97</f>
        <v/>
      </c>
    </row>
    <row r="86" spans="1:117"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5">
        <f t="shared" si="4"/>
        <v>0</v>
      </c>
      <c r="DL86" s="136">
        <f t="shared" si="5"/>
        <v>0</v>
      </c>
      <c r="DM86" s="311" t="str">
        <f>Capacity!H98</f>
        <v/>
      </c>
    </row>
    <row r="87" spans="1:117"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5">
        <f t="shared" si="4"/>
        <v>0</v>
      </c>
      <c r="DL87" s="136">
        <f t="shared" si="5"/>
        <v>0</v>
      </c>
      <c r="DM87" s="311" t="str">
        <f>Capacity!H99</f>
        <v/>
      </c>
    </row>
    <row r="88" spans="1:117"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5">
        <f t="shared" si="4"/>
        <v>0</v>
      </c>
      <c r="DL88" s="136">
        <f t="shared" si="5"/>
        <v>0</v>
      </c>
      <c r="DM88" s="311" t="str">
        <f>Capacity!H100</f>
        <v/>
      </c>
    </row>
    <row r="89" spans="1:117"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5">
        <f t="shared" si="4"/>
        <v>0</v>
      </c>
      <c r="DL89" s="136">
        <f t="shared" si="5"/>
        <v>0</v>
      </c>
      <c r="DM89" s="311" t="str">
        <f>Capacity!H101</f>
        <v/>
      </c>
    </row>
    <row r="90" spans="1:117"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5">
        <f t="shared" si="4"/>
        <v>0</v>
      </c>
      <c r="DL90" s="136">
        <f t="shared" si="5"/>
        <v>0</v>
      </c>
      <c r="DM90" s="311" t="str">
        <f>Capacity!H102</f>
        <v/>
      </c>
    </row>
    <row r="91" spans="1:117"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5">
        <f t="shared" si="4"/>
        <v>0</v>
      </c>
      <c r="DL91" s="136">
        <f t="shared" si="5"/>
        <v>0</v>
      </c>
      <c r="DM91" s="311" t="str">
        <f>Capacity!H103</f>
        <v/>
      </c>
    </row>
    <row r="92" spans="1:117"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5">
        <f t="shared" si="4"/>
        <v>0</v>
      </c>
      <c r="DL92" s="136">
        <f t="shared" si="5"/>
        <v>0</v>
      </c>
      <c r="DM92" s="311" t="str">
        <f>Capacity!H104</f>
        <v/>
      </c>
    </row>
    <row r="93" spans="1:117"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5">
        <f t="shared" si="4"/>
        <v>0</v>
      </c>
      <c r="DL93" s="136">
        <f t="shared" si="5"/>
        <v>0</v>
      </c>
      <c r="DM93" s="311" t="str">
        <f>Capacity!H105</f>
        <v/>
      </c>
    </row>
    <row r="94" spans="1:117"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5">
        <f t="shared" si="4"/>
        <v>0</v>
      </c>
      <c r="DL94" s="136">
        <f t="shared" si="5"/>
        <v>0</v>
      </c>
      <c r="DM94" s="311" t="str">
        <f>Capacity!H106</f>
        <v/>
      </c>
    </row>
    <row r="95" spans="1:117"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5">
        <f t="shared" si="4"/>
        <v>0</v>
      </c>
      <c r="DL95" s="136">
        <f t="shared" si="5"/>
        <v>0</v>
      </c>
      <c r="DM95" s="311" t="str">
        <f>Capacity!H107</f>
        <v/>
      </c>
    </row>
    <row r="96" spans="1:117"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5">
        <f t="shared" si="4"/>
        <v>0</v>
      </c>
      <c r="DL96" s="136">
        <f t="shared" si="5"/>
        <v>0</v>
      </c>
      <c r="DM96" s="311" t="str">
        <f>Capacity!H108</f>
        <v/>
      </c>
    </row>
    <row r="97" spans="1:117"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5">
        <f t="shared" si="4"/>
        <v>0</v>
      </c>
      <c r="DL97" s="136">
        <f t="shared" si="5"/>
        <v>0</v>
      </c>
      <c r="DM97" s="311" t="str">
        <f>Capacity!H109</f>
        <v/>
      </c>
    </row>
    <row r="98" spans="1:117"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5">
        <f t="shared" si="4"/>
        <v>0</v>
      </c>
      <c r="DL98" s="136">
        <f t="shared" si="5"/>
        <v>0</v>
      </c>
      <c r="DM98" s="311" t="str">
        <f>Capacity!H110</f>
        <v/>
      </c>
    </row>
    <row r="99" spans="1:117"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5">
        <f t="shared" si="4"/>
        <v>0</v>
      </c>
      <c r="DL99" s="136">
        <f t="shared" si="5"/>
        <v>0</v>
      </c>
      <c r="DM99" s="311" t="str">
        <f>Capacity!H111</f>
        <v/>
      </c>
    </row>
    <row r="100" spans="1:117"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5">
        <f t="shared" si="4"/>
        <v>0</v>
      </c>
      <c r="DL100" s="136">
        <f t="shared" si="5"/>
        <v>0</v>
      </c>
      <c r="DM100" s="311" t="str">
        <f>Capacity!H112</f>
        <v/>
      </c>
    </row>
    <row r="101" spans="1:117"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5">
        <f t="shared" si="4"/>
        <v>0</v>
      </c>
      <c r="DL101" s="136">
        <f t="shared" si="5"/>
        <v>0</v>
      </c>
      <c r="DM101" s="311" t="str">
        <f>Capacity!H113</f>
        <v/>
      </c>
    </row>
    <row r="102" spans="1:117"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5">
        <f t="shared" si="4"/>
        <v>0</v>
      </c>
      <c r="DL102" s="136">
        <f t="shared" si="5"/>
        <v>0</v>
      </c>
      <c r="DM102" s="311" t="str">
        <f>Capacity!H114</f>
        <v/>
      </c>
    </row>
    <row r="103" spans="1:117"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5">
        <f t="shared" si="4"/>
        <v>0</v>
      </c>
      <c r="DL103" s="136">
        <f t="shared" si="5"/>
        <v>0</v>
      </c>
      <c r="DM103" s="311" t="str">
        <f>Capacity!H115</f>
        <v/>
      </c>
    </row>
    <row r="104" spans="1:117"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5">
        <f t="shared" si="4"/>
        <v>0</v>
      </c>
      <c r="DL104" s="136">
        <f t="shared" si="5"/>
        <v>0</v>
      </c>
      <c r="DM104" s="311" t="str">
        <f>Capacity!H116</f>
        <v/>
      </c>
    </row>
    <row r="105" spans="1:117" x14ac:dyDescent="0.25">
      <c r="B105" s="67"/>
    </row>
    <row r="106" spans="1:117" x14ac:dyDescent="0.25">
      <c r="B106" s="67"/>
    </row>
    <row r="107" spans="1:117" x14ac:dyDescent="0.25">
      <c r="B107" s="67"/>
    </row>
    <row r="108" spans="1:117"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4">
        <v>53</v>
      </c>
      <c r="DL109" s="2" t="s">
        <v>462</v>
      </c>
    </row>
    <row r="110" spans="1:117" x14ac:dyDescent="0.25">
      <c r="C110" t="s">
        <v>466</v>
      </c>
      <c r="H110" s="67"/>
      <c r="BJ110"/>
      <c r="BK110">
        <f ca="1">BK3</f>
        <v>51</v>
      </c>
      <c r="BL110" s="67">
        <f t="shared" ref="BL110:DJ110" ca="1" si="6">BL3</f>
        <v>52</v>
      </c>
      <c r="BM110" s="67">
        <f t="shared" ca="1" si="6"/>
        <v>53</v>
      </c>
      <c r="BN110" s="67">
        <f t="shared" ca="1" si="6"/>
        <v>1</v>
      </c>
      <c r="BO110" s="67">
        <f t="shared" ca="1" si="6"/>
        <v>2</v>
      </c>
      <c r="BP110" s="67">
        <f t="shared" ca="1" si="6"/>
        <v>3</v>
      </c>
      <c r="BQ110" s="67">
        <f t="shared" ca="1" si="6"/>
        <v>4</v>
      </c>
      <c r="BR110" s="67">
        <f t="shared" ca="1" si="6"/>
        <v>5</v>
      </c>
      <c r="BS110" s="67">
        <f t="shared" ca="1" si="6"/>
        <v>6</v>
      </c>
      <c r="BT110" s="67">
        <f t="shared" ca="1" si="6"/>
        <v>7</v>
      </c>
      <c r="BU110" s="67">
        <f t="shared" ca="1" si="6"/>
        <v>8</v>
      </c>
      <c r="BV110" s="67">
        <f t="shared" ca="1" si="6"/>
        <v>9</v>
      </c>
      <c r="BW110" s="67">
        <f t="shared" ca="1" si="6"/>
        <v>10</v>
      </c>
      <c r="BX110" s="67">
        <f t="shared" ca="1" si="6"/>
        <v>11</v>
      </c>
      <c r="BY110" s="67">
        <f t="shared" ca="1" si="6"/>
        <v>12</v>
      </c>
      <c r="BZ110" s="67">
        <f t="shared" ca="1" si="6"/>
        <v>13</v>
      </c>
      <c r="CA110" s="67">
        <f t="shared" ca="1" si="6"/>
        <v>14</v>
      </c>
      <c r="CB110" s="67">
        <f t="shared" ca="1" si="6"/>
        <v>15</v>
      </c>
      <c r="CC110" s="67">
        <f t="shared" ca="1" si="6"/>
        <v>16</v>
      </c>
      <c r="CD110" s="67">
        <f t="shared" ca="1" si="6"/>
        <v>17</v>
      </c>
      <c r="CE110" s="67">
        <f t="shared" ca="1" si="6"/>
        <v>18</v>
      </c>
      <c r="CF110" s="67">
        <f t="shared" ca="1" si="6"/>
        <v>19</v>
      </c>
      <c r="CG110" s="67">
        <f t="shared" ca="1" si="6"/>
        <v>20</v>
      </c>
      <c r="CH110" s="67">
        <f t="shared" ca="1" si="6"/>
        <v>21</v>
      </c>
      <c r="CI110" s="67">
        <f t="shared" ca="1" si="6"/>
        <v>22</v>
      </c>
      <c r="CJ110" s="67">
        <f t="shared" ca="1" si="6"/>
        <v>23</v>
      </c>
      <c r="CK110" s="67">
        <f t="shared" ca="1" si="6"/>
        <v>24</v>
      </c>
      <c r="CL110" s="67">
        <f t="shared" ca="1" si="6"/>
        <v>25</v>
      </c>
      <c r="CM110" s="67">
        <f t="shared" ca="1" si="6"/>
        <v>26</v>
      </c>
      <c r="CN110" s="67">
        <f t="shared" ca="1" si="6"/>
        <v>27</v>
      </c>
      <c r="CO110" s="67">
        <f t="shared" ca="1" si="6"/>
        <v>28</v>
      </c>
      <c r="CP110" s="67">
        <f t="shared" ca="1" si="6"/>
        <v>29</v>
      </c>
      <c r="CQ110" s="67">
        <f t="shared" ca="1" si="6"/>
        <v>30</v>
      </c>
      <c r="CR110" s="67">
        <f t="shared" ca="1" si="6"/>
        <v>31</v>
      </c>
      <c r="CS110" s="67">
        <f t="shared" ca="1" si="6"/>
        <v>32</v>
      </c>
      <c r="CT110" s="67">
        <f t="shared" ca="1" si="6"/>
        <v>33</v>
      </c>
      <c r="CU110" s="67">
        <f t="shared" ca="1" si="6"/>
        <v>34</v>
      </c>
      <c r="CV110" s="67">
        <f t="shared" ca="1" si="6"/>
        <v>35</v>
      </c>
      <c r="CW110" s="67">
        <f t="shared" ca="1" si="6"/>
        <v>36</v>
      </c>
      <c r="CX110" s="67">
        <f t="shared" ca="1" si="6"/>
        <v>37</v>
      </c>
      <c r="CY110" s="67">
        <f t="shared" ca="1" si="6"/>
        <v>38</v>
      </c>
      <c r="CZ110" s="67">
        <f t="shared" ca="1" si="6"/>
        <v>39</v>
      </c>
      <c r="DA110" s="67">
        <f t="shared" ca="1" si="6"/>
        <v>40</v>
      </c>
      <c r="DB110" s="67">
        <f t="shared" ca="1" si="6"/>
        <v>41</v>
      </c>
      <c r="DC110" s="67">
        <f t="shared" ca="1" si="6"/>
        <v>42</v>
      </c>
      <c r="DD110" s="67">
        <f t="shared" ca="1" si="6"/>
        <v>43</v>
      </c>
      <c r="DE110" s="67">
        <f t="shared" ca="1" si="6"/>
        <v>44</v>
      </c>
      <c r="DF110" s="67">
        <f t="shared" ca="1" si="6"/>
        <v>45</v>
      </c>
      <c r="DG110" s="67">
        <f t="shared" ca="1" si="6"/>
        <v>46</v>
      </c>
      <c r="DH110" s="67">
        <f t="shared" ca="1" si="6"/>
        <v>47</v>
      </c>
      <c r="DI110" s="67">
        <f t="shared" ca="1" si="6"/>
        <v>48</v>
      </c>
      <c r="DJ110" s="67">
        <f t="shared" ca="1" si="6"/>
        <v>49</v>
      </c>
      <c r="DK110" s="375">
        <f ca="1">DJ110+1</f>
        <v>50</v>
      </c>
    </row>
    <row r="111" spans="1:117"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5">
        <f ca="1">DJ111</f>
        <v>2.1153846153846154</v>
      </c>
      <c r="DL111" s="5">
        <f ca="1">SUM(BK111:DK111)</f>
        <v>112.11538461538454</v>
      </c>
    </row>
    <row r="112" spans="1:117"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5">
        <f t="shared" ref="DK112:DK175" ca="1" si="8">DJ112</f>
        <v>0.96153846153846156</v>
      </c>
      <c r="DL112" s="5">
        <f t="shared" ref="DL112:DL175" ca="1" si="9">SUM(BK112:DJ112)</f>
        <v>49.999999999999943</v>
      </c>
    </row>
    <row r="113" spans="3:116"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5">
        <f t="shared" ca="1" si="8"/>
        <v>1.1538461538461537</v>
      </c>
      <c r="DL113" s="5">
        <f t="shared" ca="1" si="9"/>
        <v>59.999999999999979</v>
      </c>
    </row>
    <row r="114" spans="3:116"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5">
        <f t="shared" si="8"/>
        <v>0</v>
      </c>
      <c r="DL114" s="5">
        <f t="shared" si="9"/>
        <v>0</v>
      </c>
    </row>
    <row r="115" spans="3:116"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5">
        <f t="shared" si="8"/>
        <v>0</v>
      </c>
      <c r="DL115" s="5">
        <f t="shared" si="9"/>
        <v>0</v>
      </c>
    </row>
    <row r="116" spans="3:116"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5">
        <f t="shared" si="8"/>
        <v>0</v>
      </c>
      <c r="DL116" s="5">
        <f t="shared" si="9"/>
        <v>0</v>
      </c>
    </row>
    <row r="117" spans="3:116"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5">
        <f t="shared" si="8"/>
        <v>0</v>
      </c>
      <c r="DL117" s="5">
        <f t="shared" si="9"/>
        <v>0</v>
      </c>
    </row>
    <row r="118" spans="3:116"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5">
        <f t="shared" si="8"/>
        <v>0</v>
      </c>
      <c r="DL118" s="5">
        <f t="shared" si="9"/>
        <v>0</v>
      </c>
    </row>
    <row r="119" spans="3:116"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5">
        <f t="shared" si="8"/>
        <v>0</v>
      </c>
      <c r="DL119" s="5">
        <f t="shared" si="9"/>
        <v>0</v>
      </c>
    </row>
    <row r="120" spans="3:116"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5">
        <f t="shared" si="8"/>
        <v>0</v>
      </c>
      <c r="DL120" s="5">
        <f t="shared" si="9"/>
        <v>0</v>
      </c>
    </row>
    <row r="121" spans="3:116"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5">
        <f t="shared" si="8"/>
        <v>0</v>
      </c>
      <c r="DL121" s="5">
        <f t="shared" si="9"/>
        <v>0</v>
      </c>
    </row>
    <row r="122" spans="3:116"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5">
        <f t="shared" si="8"/>
        <v>0</v>
      </c>
      <c r="DL122" s="5">
        <f t="shared" si="9"/>
        <v>0</v>
      </c>
    </row>
    <row r="123" spans="3:116"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5">
        <f t="shared" si="8"/>
        <v>0</v>
      </c>
      <c r="DL123" s="5">
        <f t="shared" si="9"/>
        <v>0</v>
      </c>
    </row>
    <row r="124" spans="3:116"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5">
        <f t="shared" si="8"/>
        <v>0</v>
      </c>
      <c r="DL124" s="5">
        <f t="shared" si="9"/>
        <v>0</v>
      </c>
    </row>
    <row r="125" spans="3:116"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5">
        <f t="shared" si="8"/>
        <v>0</v>
      </c>
      <c r="DL125" s="5">
        <f t="shared" si="9"/>
        <v>0</v>
      </c>
    </row>
    <row r="126" spans="3:116"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5">
        <f t="shared" si="8"/>
        <v>0</v>
      </c>
      <c r="DL126" s="5">
        <f t="shared" si="9"/>
        <v>0</v>
      </c>
    </row>
    <row r="127" spans="3:116"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5">
        <f t="shared" si="8"/>
        <v>0</v>
      </c>
      <c r="DL127" s="5">
        <f t="shared" si="9"/>
        <v>0</v>
      </c>
    </row>
    <row r="128" spans="3:116"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5">
        <f t="shared" si="8"/>
        <v>0</v>
      </c>
      <c r="DL128" s="5">
        <f t="shared" si="9"/>
        <v>0</v>
      </c>
    </row>
    <row r="129" spans="3:116"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5">
        <f t="shared" si="8"/>
        <v>0</v>
      </c>
      <c r="DL129" s="5">
        <f t="shared" si="9"/>
        <v>0</v>
      </c>
    </row>
    <row r="130" spans="3:116"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5">
        <f t="shared" si="8"/>
        <v>0</v>
      </c>
      <c r="DL130" s="5">
        <f t="shared" si="9"/>
        <v>0</v>
      </c>
    </row>
    <row r="131" spans="3:116"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5">
        <f t="shared" si="8"/>
        <v>0</v>
      </c>
      <c r="DL131" s="5">
        <f t="shared" si="9"/>
        <v>0</v>
      </c>
    </row>
    <row r="132" spans="3:116"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5">
        <f t="shared" si="8"/>
        <v>0</v>
      </c>
      <c r="DL132" s="5">
        <f t="shared" si="9"/>
        <v>0</v>
      </c>
    </row>
    <row r="133" spans="3:116"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5">
        <f t="shared" si="8"/>
        <v>0</v>
      </c>
      <c r="DL133" s="5">
        <f t="shared" si="9"/>
        <v>0</v>
      </c>
    </row>
    <row r="134" spans="3:116"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5">
        <f t="shared" si="8"/>
        <v>0</v>
      </c>
      <c r="DL134" s="5">
        <f t="shared" si="9"/>
        <v>0</v>
      </c>
    </row>
    <row r="135" spans="3:116"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5">
        <f t="shared" si="8"/>
        <v>0</v>
      </c>
      <c r="DL135" s="5">
        <f t="shared" si="9"/>
        <v>0</v>
      </c>
    </row>
    <row r="136" spans="3:116"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5">
        <f t="shared" si="8"/>
        <v>0</v>
      </c>
      <c r="DL136" s="5">
        <f t="shared" si="9"/>
        <v>0</v>
      </c>
    </row>
    <row r="137" spans="3:116"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5">
        <f t="shared" si="8"/>
        <v>0</v>
      </c>
      <c r="DL137" s="5">
        <f t="shared" si="9"/>
        <v>0</v>
      </c>
    </row>
    <row r="138" spans="3:116"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5">
        <f t="shared" si="8"/>
        <v>0</v>
      </c>
      <c r="DL138" s="5">
        <f t="shared" si="9"/>
        <v>0</v>
      </c>
    </row>
    <row r="139" spans="3:116"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5">
        <f t="shared" si="8"/>
        <v>0</v>
      </c>
      <c r="DL139" s="5">
        <f t="shared" si="9"/>
        <v>0</v>
      </c>
    </row>
    <row r="140" spans="3:116"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5">
        <f t="shared" si="8"/>
        <v>0</v>
      </c>
      <c r="DL140" s="5">
        <f t="shared" si="9"/>
        <v>0</v>
      </c>
    </row>
    <row r="141" spans="3:116"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5">
        <f t="shared" si="8"/>
        <v>0</v>
      </c>
      <c r="DL141" s="5">
        <f t="shared" si="9"/>
        <v>0</v>
      </c>
    </row>
    <row r="142" spans="3:116"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5">
        <f t="shared" si="8"/>
        <v>0</v>
      </c>
      <c r="DL142" s="5">
        <f t="shared" si="9"/>
        <v>0</v>
      </c>
    </row>
    <row r="143" spans="3:116"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5">
        <f t="shared" si="8"/>
        <v>0</v>
      </c>
      <c r="DL143" s="5">
        <f t="shared" si="9"/>
        <v>0</v>
      </c>
    </row>
    <row r="144" spans="3:116"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5">
        <f t="shared" si="8"/>
        <v>0</v>
      </c>
      <c r="DL144" s="5">
        <f t="shared" si="9"/>
        <v>0</v>
      </c>
    </row>
    <row r="145" spans="3:116"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5">
        <f t="shared" si="8"/>
        <v>0</v>
      </c>
      <c r="DL145" s="5">
        <f t="shared" si="9"/>
        <v>0</v>
      </c>
    </row>
    <row r="146" spans="3:116"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5">
        <f t="shared" si="8"/>
        <v>0</v>
      </c>
      <c r="DL146" s="5">
        <f t="shared" si="9"/>
        <v>0</v>
      </c>
    </row>
    <row r="147" spans="3:116"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5">
        <f t="shared" si="8"/>
        <v>0</v>
      </c>
      <c r="DL147" s="5">
        <f t="shared" si="9"/>
        <v>0</v>
      </c>
    </row>
    <row r="148" spans="3:116"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5">
        <f t="shared" si="8"/>
        <v>0</v>
      </c>
      <c r="DL148" s="5">
        <f t="shared" si="9"/>
        <v>0</v>
      </c>
    </row>
    <row r="149" spans="3:116"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5">
        <f t="shared" si="8"/>
        <v>0</v>
      </c>
      <c r="DL149" s="5">
        <f t="shared" si="9"/>
        <v>0</v>
      </c>
    </row>
    <row r="150" spans="3:116"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5">
        <f t="shared" si="8"/>
        <v>0</v>
      </c>
      <c r="DL150" s="5">
        <f t="shared" si="9"/>
        <v>0</v>
      </c>
    </row>
    <row r="151" spans="3:116"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5">
        <f t="shared" si="8"/>
        <v>0</v>
      </c>
      <c r="DL151" s="5">
        <f t="shared" si="9"/>
        <v>0</v>
      </c>
    </row>
    <row r="152" spans="3:116"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5">
        <f t="shared" si="8"/>
        <v>0</v>
      </c>
      <c r="DL152" s="5">
        <f t="shared" si="9"/>
        <v>0</v>
      </c>
    </row>
    <row r="153" spans="3:116"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5">
        <f t="shared" si="8"/>
        <v>0</v>
      </c>
      <c r="DL153" s="5">
        <f t="shared" si="9"/>
        <v>0</v>
      </c>
    </row>
    <row r="154" spans="3:116"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5">
        <f t="shared" si="8"/>
        <v>0</v>
      </c>
      <c r="DL154" s="5">
        <f t="shared" si="9"/>
        <v>0</v>
      </c>
    </row>
    <row r="155" spans="3:116"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5">
        <f t="shared" si="8"/>
        <v>0</v>
      </c>
      <c r="DL155" s="5">
        <f t="shared" si="9"/>
        <v>0</v>
      </c>
    </row>
    <row r="156" spans="3:116"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5">
        <f t="shared" si="8"/>
        <v>0</v>
      </c>
      <c r="DL156" s="5">
        <f t="shared" si="9"/>
        <v>0</v>
      </c>
    </row>
    <row r="157" spans="3:116"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5">
        <f t="shared" si="8"/>
        <v>0</v>
      </c>
      <c r="DL157" s="5">
        <f t="shared" si="9"/>
        <v>0</v>
      </c>
    </row>
    <row r="158" spans="3:116"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5">
        <f t="shared" si="8"/>
        <v>0</v>
      </c>
      <c r="DL158" s="5">
        <f t="shared" si="9"/>
        <v>0</v>
      </c>
    </row>
    <row r="159" spans="3:116"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5">
        <f t="shared" si="8"/>
        <v>0</v>
      </c>
      <c r="DL159" s="5">
        <f t="shared" si="9"/>
        <v>0</v>
      </c>
    </row>
    <row r="160" spans="3:116"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5">
        <f t="shared" si="8"/>
        <v>0</v>
      </c>
      <c r="DL160" s="5">
        <f t="shared" si="9"/>
        <v>0</v>
      </c>
    </row>
    <row r="161" spans="3:116"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5">
        <f t="shared" si="8"/>
        <v>0</v>
      </c>
      <c r="DL161" s="5">
        <f t="shared" si="9"/>
        <v>0</v>
      </c>
    </row>
    <row r="162" spans="3:116"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5">
        <f t="shared" si="8"/>
        <v>0</v>
      </c>
      <c r="DL162" s="5">
        <f t="shared" si="9"/>
        <v>0</v>
      </c>
    </row>
    <row r="163" spans="3:116"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5">
        <f t="shared" si="8"/>
        <v>0</v>
      </c>
      <c r="DL163" s="5">
        <f t="shared" si="9"/>
        <v>0</v>
      </c>
    </row>
    <row r="164" spans="3:116"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5">
        <f t="shared" si="8"/>
        <v>0</v>
      </c>
      <c r="DL164" s="5">
        <f t="shared" si="9"/>
        <v>0</v>
      </c>
    </row>
    <row r="165" spans="3:116"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5">
        <f t="shared" si="8"/>
        <v>0</v>
      </c>
      <c r="DL165" s="5">
        <f t="shared" si="9"/>
        <v>0</v>
      </c>
    </row>
    <row r="166" spans="3:116"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5">
        <f t="shared" si="8"/>
        <v>0</v>
      </c>
      <c r="DL166" s="5">
        <f t="shared" si="9"/>
        <v>0</v>
      </c>
    </row>
    <row r="167" spans="3:116"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5">
        <f t="shared" si="8"/>
        <v>0</v>
      </c>
      <c r="DL167" s="5">
        <f t="shared" si="9"/>
        <v>0</v>
      </c>
    </row>
    <row r="168" spans="3:116"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5">
        <f t="shared" si="8"/>
        <v>0</v>
      </c>
      <c r="DL168" s="5">
        <f t="shared" si="9"/>
        <v>0</v>
      </c>
    </row>
    <row r="169" spans="3:116"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5">
        <f t="shared" si="8"/>
        <v>0</v>
      </c>
      <c r="DL169" s="5">
        <f t="shared" si="9"/>
        <v>0</v>
      </c>
    </row>
    <row r="170" spans="3:116"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5">
        <f t="shared" si="8"/>
        <v>0</v>
      </c>
      <c r="DL170" s="5">
        <f t="shared" si="9"/>
        <v>0</v>
      </c>
    </row>
    <row r="171" spans="3:116"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5">
        <f t="shared" si="8"/>
        <v>0</v>
      </c>
      <c r="DL171" s="5">
        <f t="shared" si="9"/>
        <v>0</v>
      </c>
    </row>
    <row r="172" spans="3:116"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5">
        <f t="shared" si="8"/>
        <v>0</v>
      </c>
      <c r="DL172" s="5">
        <f t="shared" si="9"/>
        <v>0</v>
      </c>
    </row>
    <row r="173" spans="3:116"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5">
        <f t="shared" si="8"/>
        <v>0</v>
      </c>
      <c r="DL173" s="5">
        <f t="shared" si="9"/>
        <v>0</v>
      </c>
    </row>
    <row r="174" spans="3:116"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5">
        <f t="shared" si="8"/>
        <v>0</v>
      </c>
      <c r="DL174" s="5">
        <f t="shared" si="9"/>
        <v>0</v>
      </c>
    </row>
    <row r="175" spans="3:116"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5">
        <f t="shared" si="8"/>
        <v>0</v>
      </c>
      <c r="DL175" s="5">
        <f t="shared" si="9"/>
        <v>0</v>
      </c>
    </row>
    <row r="176" spans="3:116"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5">
        <f t="shared" ref="DK176:DK211" si="10">DJ176</f>
        <v>0</v>
      </c>
      <c r="DL176" s="5">
        <f t="shared" ref="DL176:DL211" si="11">SUM(BK176:DJ176)</f>
        <v>0</v>
      </c>
    </row>
    <row r="177" spans="3:116"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5">
        <f t="shared" si="10"/>
        <v>0</v>
      </c>
      <c r="DL177" s="5">
        <f t="shared" si="11"/>
        <v>0</v>
      </c>
    </row>
    <row r="178" spans="3:116"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5">
        <f t="shared" si="10"/>
        <v>0</v>
      </c>
      <c r="DL178" s="5">
        <f t="shared" si="11"/>
        <v>0</v>
      </c>
    </row>
    <row r="179" spans="3:116"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5">
        <f t="shared" si="10"/>
        <v>0</v>
      </c>
      <c r="DL179" s="5">
        <f t="shared" si="11"/>
        <v>0</v>
      </c>
    </row>
    <row r="180" spans="3:116"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5">
        <f t="shared" si="10"/>
        <v>0</v>
      </c>
      <c r="DL180" s="5">
        <f t="shared" si="11"/>
        <v>0</v>
      </c>
    </row>
    <row r="181" spans="3:116"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5">
        <f t="shared" si="10"/>
        <v>0</v>
      </c>
      <c r="DL181" s="5">
        <f t="shared" si="11"/>
        <v>0</v>
      </c>
    </row>
    <row r="182" spans="3:116"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5">
        <f t="shared" si="10"/>
        <v>0</v>
      </c>
      <c r="DL182" s="5">
        <f t="shared" si="11"/>
        <v>0</v>
      </c>
    </row>
    <row r="183" spans="3:116"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5">
        <f t="shared" si="10"/>
        <v>0</v>
      </c>
      <c r="DL183" s="5">
        <f t="shared" si="11"/>
        <v>0</v>
      </c>
    </row>
    <row r="184" spans="3:116"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5">
        <f t="shared" si="10"/>
        <v>0</v>
      </c>
      <c r="DL184" s="5">
        <f t="shared" si="11"/>
        <v>0</v>
      </c>
    </row>
    <row r="185" spans="3:116"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5">
        <f t="shared" si="10"/>
        <v>0</v>
      </c>
      <c r="DL185" s="5">
        <f t="shared" si="11"/>
        <v>0</v>
      </c>
    </row>
    <row r="186" spans="3:116"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5">
        <f t="shared" si="10"/>
        <v>0</v>
      </c>
      <c r="DL186" s="5">
        <f t="shared" si="11"/>
        <v>0</v>
      </c>
    </row>
    <row r="187" spans="3:116"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5">
        <f t="shared" si="10"/>
        <v>0</v>
      </c>
      <c r="DL187" s="5">
        <f t="shared" si="11"/>
        <v>0</v>
      </c>
    </row>
    <row r="188" spans="3:116"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5">
        <f t="shared" si="10"/>
        <v>0</v>
      </c>
      <c r="DL188" s="5">
        <f t="shared" si="11"/>
        <v>0</v>
      </c>
    </row>
    <row r="189" spans="3:116"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5">
        <f t="shared" si="10"/>
        <v>0</v>
      </c>
      <c r="DL189" s="5">
        <f t="shared" si="11"/>
        <v>0</v>
      </c>
    </row>
    <row r="190" spans="3:116"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5">
        <f t="shared" si="10"/>
        <v>0</v>
      </c>
      <c r="DL190" s="5">
        <f t="shared" si="11"/>
        <v>0</v>
      </c>
    </row>
    <row r="191" spans="3:116"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5">
        <f t="shared" si="10"/>
        <v>0</v>
      </c>
      <c r="DL191" s="5">
        <f t="shared" si="11"/>
        <v>0</v>
      </c>
    </row>
    <row r="192" spans="3:116"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5">
        <f t="shared" si="10"/>
        <v>0</v>
      </c>
      <c r="DL192" s="5">
        <f t="shared" si="11"/>
        <v>0</v>
      </c>
    </row>
    <row r="193" spans="3:116"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5">
        <f t="shared" si="10"/>
        <v>0</v>
      </c>
      <c r="DL193" s="5">
        <f t="shared" si="11"/>
        <v>0</v>
      </c>
    </row>
    <row r="194" spans="3:116"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5">
        <f t="shared" si="10"/>
        <v>0</v>
      </c>
      <c r="DL194" s="5">
        <f t="shared" si="11"/>
        <v>0</v>
      </c>
    </row>
    <row r="195" spans="3:116"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5">
        <f t="shared" si="10"/>
        <v>0</v>
      </c>
      <c r="DL195" s="5">
        <f t="shared" si="11"/>
        <v>0</v>
      </c>
    </row>
    <row r="196" spans="3:116"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5">
        <f t="shared" si="10"/>
        <v>0</v>
      </c>
      <c r="DL196" s="5">
        <f t="shared" si="11"/>
        <v>0</v>
      </c>
    </row>
    <row r="197" spans="3:116"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5">
        <f t="shared" si="10"/>
        <v>0</v>
      </c>
      <c r="DL197" s="5">
        <f t="shared" si="11"/>
        <v>0</v>
      </c>
    </row>
    <row r="198" spans="3:116"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5">
        <f t="shared" si="10"/>
        <v>0</v>
      </c>
      <c r="DL198" s="5">
        <f t="shared" si="11"/>
        <v>0</v>
      </c>
    </row>
    <row r="199" spans="3:116"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5">
        <f t="shared" si="10"/>
        <v>0</v>
      </c>
      <c r="DL199" s="5">
        <f t="shared" si="11"/>
        <v>0</v>
      </c>
    </row>
    <row r="200" spans="3:116"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5">
        <f t="shared" si="10"/>
        <v>0</v>
      </c>
      <c r="DL200" s="5">
        <f t="shared" si="11"/>
        <v>0</v>
      </c>
    </row>
    <row r="201" spans="3:116"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5">
        <f t="shared" si="10"/>
        <v>0</v>
      </c>
      <c r="DL201" s="5">
        <f t="shared" si="11"/>
        <v>0</v>
      </c>
    </row>
    <row r="202" spans="3:116"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5">
        <f t="shared" si="10"/>
        <v>0</v>
      </c>
      <c r="DL202" s="5">
        <f t="shared" si="11"/>
        <v>0</v>
      </c>
    </row>
    <row r="203" spans="3:116"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5">
        <f t="shared" si="10"/>
        <v>0</v>
      </c>
      <c r="DL203" s="5">
        <f t="shared" si="11"/>
        <v>0</v>
      </c>
    </row>
    <row r="204" spans="3:116"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5">
        <f t="shared" si="10"/>
        <v>0</v>
      </c>
      <c r="DL204" s="5">
        <f t="shared" si="11"/>
        <v>0</v>
      </c>
    </row>
    <row r="205" spans="3:116"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5">
        <f t="shared" si="10"/>
        <v>0</v>
      </c>
      <c r="DL205" s="5">
        <f t="shared" si="11"/>
        <v>0</v>
      </c>
    </row>
    <row r="206" spans="3:116"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5">
        <f t="shared" si="10"/>
        <v>0</v>
      </c>
      <c r="DL206" s="5">
        <f t="shared" si="11"/>
        <v>0</v>
      </c>
    </row>
    <row r="207" spans="3:116"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5">
        <f t="shared" si="10"/>
        <v>0</v>
      </c>
      <c r="DL207" s="5">
        <f t="shared" si="11"/>
        <v>0</v>
      </c>
    </row>
    <row r="208" spans="3:116"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5">
        <f t="shared" si="10"/>
        <v>0</v>
      </c>
      <c r="DL208" s="5">
        <f t="shared" si="11"/>
        <v>0</v>
      </c>
    </row>
    <row r="209" spans="2:116"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5">
        <f t="shared" si="10"/>
        <v>0</v>
      </c>
      <c r="DL209" s="5">
        <f t="shared" si="11"/>
        <v>0</v>
      </c>
    </row>
    <row r="210" spans="2:116"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5">
        <f t="shared" si="10"/>
        <v>0</v>
      </c>
      <c r="DL210" s="5">
        <f t="shared" si="11"/>
        <v>0</v>
      </c>
    </row>
    <row r="211" spans="2:116"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5">
        <f t="shared" si="10"/>
        <v>0</v>
      </c>
      <c r="DL211" s="5">
        <f t="shared" si="11"/>
        <v>0</v>
      </c>
    </row>
    <row r="212" spans="2:116" x14ac:dyDescent="0.25">
      <c r="B212" s="67"/>
    </row>
    <row r="213" spans="2:116" x14ac:dyDescent="0.25">
      <c r="B213" s="67"/>
    </row>
    <row r="214" spans="2:116" x14ac:dyDescent="0.25">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25">
      <c r="B215" s="67"/>
    </row>
    <row r="216" spans="2:116" x14ac:dyDescent="0.25">
      <c r="B216" s="67"/>
    </row>
    <row r="217" spans="2:116" x14ac:dyDescent="0.25">
      <c r="B217" s="67"/>
    </row>
    <row r="218" spans="2:116" x14ac:dyDescent="0.25">
      <c r="B218" s="67"/>
    </row>
    <row r="219" spans="2:116" x14ac:dyDescent="0.25">
      <c r="B219" s="67"/>
    </row>
    <row r="220" spans="2:116"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G11" sqref="G11:G12"/>
    </sheetView>
  </sheetViews>
  <sheetFormatPr defaultRowHeight="13.8" x14ac:dyDescent="0.25"/>
  <cols>
    <col min="1" max="1" width="16.09765625" customWidth="1"/>
    <col min="2" max="2" width="13.09765625" customWidth="1"/>
    <col min="3" max="4" width="11.09765625" customWidth="1"/>
    <col min="5" max="6" width="19.796875" customWidth="1"/>
    <col min="7" max="10" width="9.09765625" customWidth="1"/>
  </cols>
  <sheetData>
    <row r="1" spans="1:15" x14ac:dyDescent="0.25">
      <c r="B1" s="67"/>
    </row>
    <row r="2" spans="1:15" x14ac:dyDescent="0.25">
      <c r="A2" t="s">
        <v>310</v>
      </c>
      <c r="C2" s="411" t="s">
        <v>87</v>
      </c>
      <c r="D2" s="413"/>
      <c r="F2" s="240" t="str">
        <f ca="1">"On aggregate, 1 patient = "&amp;TEXT('Demand background (hide)'!$BN$16,"#.#")&amp;" "&amp;Setup!$I$17</f>
        <v>On aggregate, 1 patient = 37. Minutes</v>
      </c>
    </row>
    <row r="3" spans="1:15" x14ac:dyDescent="0.25">
      <c r="A3" t="s">
        <v>328</v>
      </c>
      <c r="C3" s="442">
        <v>52</v>
      </c>
      <c r="D3" s="443"/>
      <c r="F3" s="347" t="s">
        <v>326</v>
      </c>
    </row>
    <row r="4" spans="1:15" x14ac:dyDescent="0.25">
      <c r="A4" t="s">
        <v>14</v>
      </c>
      <c r="C4" s="411" t="s">
        <v>19</v>
      </c>
      <c r="D4" s="413"/>
    </row>
    <row r="5" spans="1:15" x14ac:dyDescent="0.25">
      <c r="K5" s="72"/>
    </row>
    <row r="6" spans="1:15" ht="14.7" customHeight="1" thickBot="1" x14ac:dyDescent="0.3">
      <c r="A6" s="102" t="s">
        <v>309</v>
      </c>
      <c r="B6" s="103"/>
      <c r="C6" s="103"/>
      <c r="D6" s="9"/>
      <c r="E6" s="460" t="s">
        <v>346</v>
      </c>
      <c r="F6" s="460"/>
      <c r="G6" s="63" t="s">
        <v>87</v>
      </c>
      <c r="H6" s="9" t="s">
        <v>88</v>
      </c>
      <c r="I6" s="9"/>
      <c r="K6" s="72"/>
    </row>
    <row r="7" spans="1:15" ht="15" thickBot="1" x14ac:dyDescent="0.35">
      <c r="A7" s="10"/>
      <c r="B7" s="11"/>
      <c r="C7" s="11"/>
      <c r="D7" s="9"/>
      <c r="E7" s="461" t="s">
        <v>214</v>
      </c>
      <c r="F7" s="453"/>
      <c r="G7" s="446">
        <v>0.1</v>
      </c>
      <c r="H7" s="456">
        <f ca="1">'Parameters calculator (hide)'!B25</f>
        <v>69.600000000000009</v>
      </c>
      <c r="I7" s="9"/>
    </row>
    <row r="8" spans="1:15" ht="14.4" thickBot="1" x14ac:dyDescent="0.3">
      <c r="A8" s="11"/>
      <c r="B8" s="11"/>
      <c r="C8" s="11"/>
      <c r="D8" s="12"/>
      <c r="E8" s="13"/>
      <c r="F8" s="14"/>
      <c r="G8" s="447"/>
      <c r="H8" s="457"/>
      <c r="I8" s="9"/>
    </row>
    <row r="9" spans="1:15" ht="14.4" thickBot="1" x14ac:dyDescent="0.3">
      <c r="A9" s="85" t="s">
        <v>338</v>
      </c>
      <c r="B9" s="448" t="str">
        <f ca="1">TEXT('Parameters calculator (hide)'!B19,"#,#")</f>
        <v>696</v>
      </c>
      <c r="C9" s="11"/>
      <c r="D9" s="12"/>
      <c r="E9" s="9"/>
      <c r="F9" s="9"/>
      <c r="G9" s="9"/>
      <c r="H9" s="9"/>
      <c r="I9" s="9"/>
    </row>
    <row r="10" spans="1:15" ht="14.4" thickBot="1" x14ac:dyDescent="0.3">
      <c r="A10" s="242" t="str">
        <f>"("&amp;$C$4&amp;")"</f>
        <v>(Patients)</v>
      </c>
      <c r="B10" s="449"/>
      <c r="C10" s="15"/>
      <c r="D10" s="16"/>
      <c r="E10" s="450" t="s">
        <v>348</v>
      </c>
      <c r="F10" s="451"/>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52" t="s">
        <v>89</v>
      </c>
      <c r="F11" s="453"/>
      <c r="G11" s="454"/>
      <c r="H11" s="456">
        <f ca="1">'Parameters calculator (hide)'!C25</f>
        <v>0</v>
      </c>
      <c r="I11" s="9"/>
      <c r="O11" s="371"/>
    </row>
    <row r="12" spans="1:15" ht="14.4" thickBot="1" x14ac:dyDescent="0.3">
      <c r="A12" s="91" t="str">
        <f ca="1">"normalised to "&amp;TEXT('Parameters calculator (hide)'!$B$18,"#")&amp;" wks"</f>
        <v>normalised to 52 wks</v>
      </c>
      <c r="B12" s="11"/>
      <c r="C12" s="17"/>
      <c r="D12" s="9"/>
      <c r="E12" s="18"/>
      <c r="F12" s="14"/>
      <c r="G12" s="455"/>
      <c r="H12" s="457"/>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58" t="s">
        <v>373</v>
      </c>
      <c r="D15" s="459"/>
      <c r="E15" s="20"/>
      <c r="F15" s="462" t="s">
        <v>399</v>
      </c>
      <c r="G15" s="462"/>
      <c r="H15" s="20"/>
      <c r="I15" s="64" t="s">
        <v>87</v>
      </c>
      <c r="J15" s="20" t="s">
        <v>88</v>
      </c>
      <c r="K15" s="20"/>
      <c r="L15" s="20"/>
    </row>
    <row r="16" spans="1:15" ht="14.4" thickBot="1" x14ac:dyDescent="0.3">
      <c r="B16" s="20"/>
      <c r="C16" s="463">
        <f ca="1">IF(B9-H7-H11+J16&lt;0, 0, B9-H7-H11+J16)</f>
        <v>626.4</v>
      </c>
      <c r="D16" s="464"/>
      <c r="E16" s="20"/>
      <c r="F16" s="20" t="s">
        <v>92</v>
      </c>
      <c r="G16" s="20"/>
      <c r="H16" s="20"/>
      <c r="I16" s="467">
        <f>'Parameters calculator (hide)'!$H$24</f>
        <v>0</v>
      </c>
      <c r="J16" s="469">
        <f ca="1">'Parameters calculator (hide)'!H25</f>
        <v>0</v>
      </c>
      <c r="K16" s="20"/>
      <c r="L16" s="20"/>
    </row>
    <row r="17" spans="1:13" ht="14.4" thickBot="1" x14ac:dyDescent="0.3">
      <c r="B17" s="20"/>
      <c r="C17" s="465"/>
      <c r="D17" s="466"/>
      <c r="E17" s="22"/>
      <c r="F17" s="23"/>
      <c r="G17" s="23"/>
      <c r="H17" s="23"/>
      <c r="I17" s="468"/>
      <c r="J17" s="470"/>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71" t="s">
        <v>347</v>
      </c>
      <c r="F20" s="471"/>
      <c r="G20" s="64" t="s">
        <v>87</v>
      </c>
      <c r="H20" s="25" t="s">
        <v>88</v>
      </c>
      <c r="I20" s="25"/>
      <c r="J20" s="25"/>
      <c r="K20" s="26"/>
      <c r="L20" s="20"/>
    </row>
    <row r="21" spans="1:13" ht="14.4" thickBot="1" x14ac:dyDescent="0.3">
      <c r="B21" s="20"/>
      <c r="C21" s="20"/>
      <c r="D21" s="28"/>
      <c r="E21" s="472" t="s">
        <v>93</v>
      </c>
      <c r="F21" s="473"/>
      <c r="G21" s="446">
        <v>0.1</v>
      </c>
      <c r="H21" s="456">
        <f ca="1">'Parameters calculator (hide)'!E25</f>
        <v>62.64</v>
      </c>
      <c r="I21" s="29"/>
      <c r="J21" s="29"/>
      <c r="K21" s="21"/>
      <c r="L21" s="20"/>
    </row>
    <row r="22" spans="1:13" ht="14.4" thickBot="1" x14ac:dyDescent="0.3">
      <c r="B22" s="90"/>
      <c r="C22" s="26"/>
      <c r="D22" s="23"/>
      <c r="E22" s="23"/>
      <c r="F22" s="24"/>
      <c r="G22" s="447"/>
      <c r="H22" s="457"/>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7" customHeight="1" thickBot="1" x14ac:dyDescent="0.3">
      <c r="A25" s="441" t="s">
        <v>372</v>
      </c>
      <c r="B25" s="31"/>
      <c r="C25" s="32"/>
      <c r="D25" s="31"/>
      <c r="E25" s="31"/>
      <c r="F25" s="31"/>
      <c r="G25" s="31"/>
      <c r="H25" s="31"/>
      <c r="I25" s="32"/>
      <c r="J25" s="31"/>
      <c r="K25" s="31"/>
    </row>
    <row r="26" spans="1:13" ht="14.4" thickBot="1" x14ac:dyDescent="0.3">
      <c r="A26" s="441"/>
      <c r="B26" s="444">
        <f ca="1">'Parameters calculator (hide)'!B27</f>
        <v>563.76</v>
      </c>
      <c r="C26" s="33"/>
      <c r="D26" s="31"/>
      <c r="E26" s="31"/>
      <c r="F26" s="31"/>
      <c r="G26" s="92"/>
      <c r="H26" s="31"/>
      <c r="I26" s="32" t="s">
        <v>87</v>
      </c>
      <c r="J26" s="31" t="s">
        <v>88</v>
      </c>
      <c r="K26" s="31"/>
    </row>
    <row r="27" spans="1:13" ht="14.4" thickBot="1" x14ac:dyDescent="0.3">
      <c r="A27" s="243" t="str">
        <f>"("&amp;$C$4&amp;")"</f>
        <v>(Patients)</v>
      </c>
      <c r="B27" s="445"/>
      <c r="C27" s="31"/>
      <c r="D27" s="31"/>
      <c r="E27" s="31"/>
      <c r="F27" s="83" t="s">
        <v>400</v>
      </c>
      <c r="G27" s="92"/>
      <c r="H27" s="31"/>
      <c r="I27" s="446">
        <v>1</v>
      </c>
      <c r="J27" s="456">
        <f ca="1">'Parameters calculator (hide)'!F25</f>
        <v>62.64</v>
      </c>
      <c r="K27" s="31"/>
    </row>
    <row r="28" spans="1:13" ht="14.4" thickBot="1" x14ac:dyDescent="0.3">
      <c r="A28" s="83"/>
      <c r="B28" s="31"/>
      <c r="C28" s="31"/>
      <c r="D28" s="31"/>
      <c r="E28" s="31"/>
      <c r="F28" s="31" t="s">
        <v>95</v>
      </c>
      <c r="G28" s="31"/>
      <c r="H28" s="31"/>
      <c r="I28" s="447"/>
      <c r="J28" s="45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3.8" x14ac:dyDescent="0.25"/>
  <cols>
    <col min="1" max="1" width="15.7968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0.1</v>
      </c>
      <c r="C21" s="84">
        <f>Parameters!$G$11</f>
        <v>0</v>
      </c>
      <c r="D21" s="47"/>
      <c r="E21" s="84">
        <f>Parameters!$G$21</f>
        <v>0.1</v>
      </c>
      <c r="F21" s="84">
        <f>Parameters!$I$27</f>
        <v>1</v>
      </c>
      <c r="G21" s="47"/>
      <c r="H21" s="84">
        <f>1-F21</f>
        <v>0</v>
      </c>
      <c r="M21" s="67" t="s">
        <v>393</v>
      </c>
    </row>
    <row r="22" spans="1:13" s="67" customFormat="1" x14ac:dyDescent="0.25">
      <c r="A22" s="67" t="s">
        <v>335</v>
      </c>
      <c r="B22" s="5">
        <f ca="1">Parameters!$H$7</f>
        <v>69.600000000000009</v>
      </c>
      <c r="C22" s="5">
        <f ca="1">Parameters!$H$11</f>
        <v>0</v>
      </c>
      <c r="E22" s="5">
        <f ca="1">Parameters!$H$21</f>
        <v>62.64</v>
      </c>
      <c r="F22" s="5">
        <f ca="1">Parameters!$J$27</f>
        <v>62.64</v>
      </c>
      <c r="H22" s="5">
        <f ca="1">E22-F22</f>
        <v>0</v>
      </c>
    </row>
    <row r="23" spans="1:13" s="67" customFormat="1" x14ac:dyDescent="0.25"/>
    <row r="24" spans="1:13" x14ac:dyDescent="0.25">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25">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25">
      <c r="A27" t="s">
        <v>340</v>
      </c>
      <c r="B27">
        <f ca="1">IF(Parameters!$C$2="Volume",B19-B22-C22+H22-E22,B19-B25-C25+H25-E25)</f>
        <v>563.76</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0.1</v>
      </c>
      <c r="C43" s="146">
        <f ca="1">(1-B43)</f>
        <v>0.9</v>
      </c>
      <c r="E43" s="148"/>
      <c r="G43" s="146"/>
    </row>
    <row r="44" spans="1:13" x14ac:dyDescent="0.25">
      <c r="A44" t="s">
        <v>336</v>
      </c>
      <c r="B44" s="100">
        <f ca="1">IF(B34=1,E16,C24)</f>
        <v>0</v>
      </c>
      <c r="C44" s="146">
        <f ca="1">B44</f>
        <v>0</v>
      </c>
      <c r="E44" s="146" t="s">
        <v>508</v>
      </c>
      <c r="G44" s="146"/>
      <c r="H44" s="67"/>
    </row>
    <row r="45" spans="1:13" x14ac:dyDescent="0.25">
      <c r="A45" t="s">
        <v>99</v>
      </c>
      <c r="B45" s="100">
        <f ca="1">IF(B34=1,G16,E24)</f>
        <v>0.1</v>
      </c>
      <c r="C45" s="146"/>
      <c r="E45" s="146" t="str">
        <f>IF(E42&gt;0,E42/(1-C44-(B45*B46))/C43,"")</f>
        <v/>
      </c>
      <c r="G45" s="146"/>
      <c r="H45" s="67"/>
    </row>
    <row r="46" spans="1:13" x14ac:dyDescent="0.25">
      <c r="A46" t="s">
        <v>337</v>
      </c>
      <c r="B46" s="100">
        <f ca="1">IF(B34=1,I16,F24)</f>
        <v>1</v>
      </c>
      <c r="C46" s="146">
        <f ca="1">B46*B45</f>
        <v>0.1</v>
      </c>
      <c r="E46" s="146"/>
      <c r="G46" s="146"/>
      <c r="H46" s="67"/>
    </row>
    <row r="47" spans="1:13" x14ac:dyDescent="0.25">
      <c r="A47" t="s">
        <v>406</v>
      </c>
      <c r="B47" s="100">
        <f ca="1">IF(B34=1,1-I16,1-F24)</f>
        <v>0</v>
      </c>
      <c r="C47" s="146">
        <f ca="1">B47*B45</f>
        <v>0</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(patients)</v>
      </c>
    </row>
    <row r="66" spans="1:10" x14ac:dyDescent="0.25">
      <c r="A66" t="s">
        <v>417</v>
      </c>
      <c r="G66" t="s">
        <v>430</v>
      </c>
      <c r="H66" s="5">
        <f ca="1">IF(Summary!$C$8&lt;&gt;"Patients",H62,H63)</f>
        <v>42.562452931683694</v>
      </c>
      <c r="I66" s="5">
        <f ca="1">IF(Summary!$C$8&lt;&gt;"Patients",I62,I63)</f>
        <v>47.04271113501882</v>
      </c>
      <c r="J66" s="5">
        <f ca="1">I66-H66</f>
        <v>4.4802582033351257</v>
      </c>
    </row>
    <row r="67" spans="1:10" x14ac:dyDescent="0.25">
      <c r="B67" t="s">
        <v>429</v>
      </c>
      <c r="C67" t="s">
        <v>313</v>
      </c>
      <c r="G67" t="s">
        <v>431</v>
      </c>
      <c r="H67" s="5">
        <f ca="1">IF(Summary!$C$8&lt;&gt;"Patients",C79,B79)</f>
        <v>60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3.8" x14ac:dyDescent="0.25"/>
  <cols>
    <col min="7" max="7" width="8.69921875" style="67"/>
    <col min="13" max="13" width="8.69921875" style="67"/>
    <col min="65" max="65" width="8.69921875" style="67"/>
  </cols>
  <sheetData>
    <row r="1" spans="1:131" x14ac:dyDescent="0.25">
      <c r="A1">
        <v>1</v>
      </c>
      <c r="B1" t="s">
        <v>1250</v>
      </c>
      <c r="G1" s="67" t="s">
        <v>1252</v>
      </c>
      <c r="H1" t="s">
        <v>1251</v>
      </c>
      <c r="M1" s="67" t="s">
        <v>1252</v>
      </c>
      <c r="N1" t="s">
        <v>1250</v>
      </c>
      <c r="BN1" t="s">
        <v>1251</v>
      </c>
      <c r="EA1" t="s">
        <v>1281</v>
      </c>
    </row>
    <row r="2" spans="1:131" x14ac:dyDescent="0.25">
      <c r="A2" t="s">
        <v>1296</v>
      </c>
      <c r="B2" t="s">
        <v>1282</v>
      </c>
      <c r="C2" t="s">
        <v>1283</v>
      </c>
      <c r="E2">
        <v>30</v>
      </c>
      <c r="F2">
        <v>7</v>
      </c>
      <c r="G2" t="s">
        <v>1238</v>
      </c>
      <c r="H2" t="s">
        <v>1284</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1296</v>
      </c>
    </row>
    <row r="3" spans="1:131" x14ac:dyDescent="0.25">
      <c r="B3" t="s">
        <v>1285</v>
      </c>
      <c r="C3" t="s">
        <v>1283</v>
      </c>
      <c r="E3">
        <v>30</v>
      </c>
      <c r="F3">
        <v>7</v>
      </c>
      <c r="G3" t="s">
        <v>1238</v>
      </c>
      <c r="H3" t="s">
        <v>1286</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5">
      <c r="B4" t="s">
        <v>1287</v>
      </c>
      <c r="C4" t="s">
        <v>1288</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5">
      <c r="B5" t="s">
        <v>1289</v>
      </c>
      <c r="C5" t="s">
        <v>1290</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5">
      <c r="B6" t="s">
        <v>1291</v>
      </c>
      <c r="C6" t="s">
        <v>1292</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5">
      <c r="G7" t="s">
        <v>1238</v>
      </c>
      <c r="M7" t="s">
        <v>1238</v>
      </c>
      <c r="N7">
        <v>0.2163170163170163</v>
      </c>
      <c r="BM7"/>
    </row>
    <row r="8" spans="1:131" x14ac:dyDescent="0.25">
      <c r="G8" t="s">
        <v>1238</v>
      </c>
      <c r="M8" t="s">
        <v>1238</v>
      </c>
      <c r="BM8"/>
    </row>
    <row r="9" spans="1:131" x14ac:dyDescent="0.25">
      <c r="G9" t="s">
        <v>1238</v>
      </c>
      <c r="M9" t="s">
        <v>1238</v>
      </c>
      <c r="BM9"/>
    </row>
    <row r="10" spans="1:131" x14ac:dyDescent="0.25">
      <c r="G10" t="s">
        <v>1238</v>
      </c>
      <c r="M10" t="s">
        <v>1238</v>
      </c>
      <c r="BM10"/>
    </row>
    <row r="11" spans="1:131" x14ac:dyDescent="0.25">
      <c r="G11" t="s">
        <v>1238</v>
      </c>
      <c r="M11" t="s">
        <v>1238</v>
      </c>
      <c r="BM11"/>
    </row>
    <row r="12" spans="1:131" x14ac:dyDescent="0.25">
      <c r="G12" t="s">
        <v>1238</v>
      </c>
      <c r="M12" t="s">
        <v>1238</v>
      </c>
      <c r="BM12"/>
    </row>
    <row r="13" spans="1:131" x14ac:dyDescent="0.25">
      <c r="G13" t="s">
        <v>1238</v>
      </c>
      <c r="M13" t="s">
        <v>1238</v>
      </c>
      <c r="BM13"/>
    </row>
    <row r="14" spans="1:131" x14ac:dyDescent="0.25">
      <c r="G14" t="s">
        <v>1238</v>
      </c>
      <c r="M14" t="s">
        <v>1238</v>
      </c>
      <c r="BM14"/>
    </row>
    <row r="15" spans="1:131" x14ac:dyDescent="0.25">
      <c r="G15" t="s">
        <v>1238</v>
      </c>
      <c r="M15" t="s">
        <v>1238</v>
      </c>
      <c r="BM15"/>
    </row>
    <row r="16" spans="1:131" x14ac:dyDescent="0.25">
      <c r="G16" t="s">
        <v>1238</v>
      </c>
      <c r="M16" t="s">
        <v>1238</v>
      </c>
      <c r="BM16"/>
    </row>
    <row r="17" spans="7:65" x14ac:dyDescent="0.25">
      <c r="G17" t="s">
        <v>1238</v>
      </c>
      <c r="M17" t="s">
        <v>1238</v>
      </c>
      <c r="BM17"/>
    </row>
    <row r="18" spans="7:65" x14ac:dyDescent="0.25">
      <c r="G18" t="s">
        <v>1238</v>
      </c>
      <c r="M18" t="s">
        <v>1238</v>
      </c>
      <c r="BM18"/>
    </row>
    <row r="19" spans="7:65" x14ac:dyDescent="0.25">
      <c r="G19" t="s">
        <v>1238</v>
      </c>
      <c r="M19" t="s">
        <v>1238</v>
      </c>
      <c r="BM19"/>
    </row>
    <row r="20" spans="7:65" x14ac:dyDescent="0.25">
      <c r="G20" t="s">
        <v>1238</v>
      </c>
      <c r="M20" t="s">
        <v>1238</v>
      </c>
      <c r="BM20"/>
    </row>
    <row r="21" spans="7:65" x14ac:dyDescent="0.25">
      <c r="G21" t="s">
        <v>1238</v>
      </c>
      <c r="M21" t="s">
        <v>1238</v>
      </c>
      <c r="BM21"/>
    </row>
    <row r="22" spans="7:65" x14ac:dyDescent="0.25">
      <c r="G22" t="s">
        <v>1238</v>
      </c>
      <c r="M22" t="s">
        <v>1238</v>
      </c>
      <c r="BM22"/>
    </row>
    <row r="23" spans="7:65" x14ac:dyDescent="0.25">
      <c r="G23" t="s">
        <v>1238</v>
      </c>
      <c r="M23" t="s">
        <v>1238</v>
      </c>
      <c r="BM23"/>
    </row>
    <row r="24" spans="7:65" x14ac:dyDescent="0.25">
      <c r="G24" t="s">
        <v>1238</v>
      </c>
      <c r="M24" t="s">
        <v>1238</v>
      </c>
      <c r="BM24"/>
    </row>
    <row r="25" spans="7:65" x14ac:dyDescent="0.25">
      <c r="G25" t="s">
        <v>1238</v>
      </c>
      <c r="M25" t="s">
        <v>1238</v>
      </c>
      <c r="BM25"/>
    </row>
    <row r="26" spans="7:65" x14ac:dyDescent="0.25">
      <c r="G26" t="s">
        <v>1238</v>
      </c>
      <c r="M26" t="s">
        <v>1238</v>
      </c>
      <c r="BM26"/>
    </row>
    <row r="27" spans="7:65" x14ac:dyDescent="0.25">
      <c r="G27" t="s">
        <v>1238</v>
      </c>
      <c r="M27" t="s">
        <v>1238</v>
      </c>
      <c r="BM27"/>
    </row>
    <row r="28" spans="7:65" x14ac:dyDescent="0.25">
      <c r="G28" t="s">
        <v>1238</v>
      </c>
      <c r="M28" t="s">
        <v>1238</v>
      </c>
      <c r="BM28"/>
    </row>
    <row r="29" spans="7:65" x14ac:dyDescent="0.25">
      <c r="G29" t="s">
        <v>1238</v>
      </c>
      <c r="M29" t="s">
        <v>1238</v>
      </c>
      <c r="BM29"/>
    </row>
    <row r="30" spans="7:65" x14ac:dyDescent="0.25">
      <c r="G30" t="s">
        <v>1238</v>
      </c>
      <c r="M30" t="s">
        <v>1238</v>
      </c>
      <c r="BM30"/>
    </row>
    <row r="31" spans="7:65" x14ac:dyDescent="0.25">
      <c r="G31" t="s">
        <v>1238</v>
      </c>
      <c r="M31" t="s">
        <v>1238</v>
      </c>
      <c r="BM31"/>
    </row>
    <row r="32" spans="7:65" x14ac:dyDescent="0.25">
      <c r="G32" t="s">
        <v>1238</v>
      </c>
      <c r="M32" t="s">
        <v>1238</v>
      </c>
      <c r="BM32"/>
    </row>
    <row r="33" spans="7:65" x14ac:dyDescent="0.25">
      <c r="G33" t="s">
        <v>1238</v>
      </c>
      <c r="M33" t="s">
        <v>1238</v>
      </c>
      <c r="BM33"/>
    </row>
    <row r="34" spans="7:65" x14ac:dyDescent="0.25">
      <c r="G34" t="s">
        <v>1238</v>
      </c>
      <c r="M34" t="s">
        <v>1238</v>
      </c>
      <c r="BM34"/>
    </row>
    <row r="35" spans="7:65" x14ac:dyDescent="0.25">
      <c r="G35" t="s">
        <v>1238</v>
      </c>
      <c r="M35" t="s">
        <v>1238</v>
      </c>
      <c r="BM35"/>
    </row>
    <row r="36" spans="7:65" x14ac:dyDescent="0.25">
      <c r="G36" t="s">
        <v>1238</v>
      </c>
      <c r="M36" t="s">
        <v>1238</v>
      </c>
      <c r="BM36"/>
    </row>
    <row r="37" spans="7:65" x14ac:dyDescent="0.25">
      <c r="G37" t="s">
        <v>1238</v>
      </c>
      <c r="M37" t="s">
        <v>1238</v>
      </c>
      <c r="BM37"/>
    </row>
    <row r="38" spans="7:65" x14ac:dyDescent="0.25">
      <c r="G38" t="s">
        <v>1238</v>
      </c>
      <c r="M38" t="s">
        <v>1238</v>
      </c>
      <c r="BM38"/>
    </row>
    <row r="39" spans="7:65" x14ac:dyDescent="0.25">
      <c r="G39" t="s">
        <v>1238</v>
      </c>
      <c r="M39" t="s">
        <v>1238</v>
      </c>
      <c r="BM39"/>
    </row>
    <row r="40" spans="7:65" x14ac:dyDescent="0.25">
      <c r="G40" t="s">
        <v>1238</v>
      </c>
      <c r="M40" t="s">
        <v>1238</v>
      </c>
      <c r="BM40"/>
    </row>
    <row r="41" spans="7:65" x14ac:dyDescent="0.25">
      <c r="G41" t="s">
        <v>1238</v>
      </c>
      <c r="M41" t="s">
        <v>1238</v>
      </c>
      <c r="BM41"/>
    </row>
    <row r="42" spans="7:65" x14ac:dyDescent="0.25">
      <c r="G42" t="s">
        <v>1238</v>
      </c>
      <c r="M42" t="s">
        <v>1238</v>
      </c>
      <c r="BM42"/>
    </row>
    <row r="43" spans="7:65" x14ac:dyDescent="0.25">
      <c r="G43" t="s">
        <v>1238</v>
      </c>
      <c r="M43" t="s">
        <v>1238</v>
      </c>
      <c r="BM43"/>
    </row>
    <row r="44" spans="7:65" x14ac:dyDescent="0.25">
      <c r="G44" t="s">
        <v>1238</v>
      </c>
      <c r="M44" t="s">
        <v>1238</v>
      </c>
      <c r="BM44"/>
    </row>
    <row r="45" spans="7:65" x14ac:dyDescent="0.25">
      <c r="G45" t="s">
        <v>1238</v>
      </c>
      <c r="M45" t="s">
        <v>1238</v>
      </c>
      <c r="BM45"/>
    </row>
    <row r="46" spans="7:65" x14ac:dyDescent="0.25">
      <c r="G46" t="s">
        <v>1238</v>
      </c>
      <c r="M46" t="s">
        <v>1238</v>
      </c>
      <c r="BM46"/>
    </row>
    <row r="47" spans="7:65" x14ac:dyDescent="0.25">
      <c r="G47" t="s">
        <v>1238</v>
      </c>
      <c r="M47" t="s">
        <v>1238</v>
      </c>
      <c r="BM47"/>
    </row>
    <row r="48" spans="7:65" x14ac:dyDescent="0.25">
      <c r="G48" t="s">
        <v>1238</v>
      </c>
      <c r="M48" t="s">
        <v>1238</v>
      </c>
      <c r="BM48"/>
    </row>
    <row r="49" spans="7:65" x14ac:dyDescent="0.25">
      <c r="G49" t="s">
        <v>1238</v>
      </c>
      <c r="M49" t="s">
        <v>1238</v>
      </c>
      <c r="BM49"/>
    </row>
    <row r="50" spans="7:65" x14ac:dyDescent="0.25">
      <c r="G50" t="s">
        <v>1238</v>
      </c>
      <c r="M50" t="s">
        <v>1238</v>
      </c>
      <c r="BM50"/>
    </row>
    <row r="51" spans="7:65" x14ac:dyDescent="0.25">
      <c r="G51" t="s">
        <v>1238</v>
      </c>
      <c r="M51" t="s">
        <v>1238</v>
      </c>
      <c r="BM51"/>
    </row>
    <row r="52" spans="7:65" x14ac:dyDescent="0.25">
      <c r="G52" t="s">
        <v>1238</v>
      </c>
      <c r="M52" t="s">
        <v>1238</v>
      </c>
      <c r="BM52"/>
    </row>
    <row r="53" spans="7:65" x14ac:dyDescent="0.25">
      <c r="G53" t="s">
        <v>1238</v>
      </c>
      <c r="M53" t="s">
        <v>1238</v>
      </c>
      <c r="BM53"/>
    </row>
    <row r="54" spans="7:65" x14ac:dyDescent="0.25">
      <c r="G54" t="s">
        <v>1238</v>
      </c>
      <c r="M54" t="s">
        <v>1238</v>
      </c>
      <c r="BM54"/>
    </row>
    <row r="55" spans="7:65" x14ac:dyDescent="0.25">
      <c r="G55" t="s">
        <v>1238</v>
      </c>
      <c r="M55" t="s">
        <v>1238</v>
      </c>
      <c r="BM55"/>
    </row>
    <row r="56" spans="7:65" x14ac:dyDescent="0.25">
      <c r="G56" t="s">
        <v>1238</v>
      </c>
      <c r="M56" t="s">
        <v>1238</v>
      </c>
      <c r="BM56"/>
    </row>
    <row r="57" spans="7:65" x14ac:dyDescent="0.25">
      <c r="G57" t="s">
        <v>1238</v>
      </c>
      <c r="M57" t="s">
        <v>1238</v>
      </c>
      <c r="BM57"/>
    </row>
    <row r="58" spans="7:65" x14ac:dyDescent="0.25">
      <c r="G58" t="s">
        <v>1238</v>
      </c>
      <c r="M58" t="s">
        <v>1238</v>
      </c>
      <c r="BM58"/>
    </row>
    <row r="59" spans="7:65" x14ac:dyDescent="0.25">
      <c r="G59" t="s">
        <v>1238</v>
      </c>
      <c r="M59" t="s">
        <v>1238</v>
      </c>
      <c r="BM59"/>
    </row>
    <row r="60" spans="7:65" x14ac:dyDescent="0.25">
      <c r="G60" t="s">
        <v>1238</v>
      </c>
      <c r="M60" t="s">
        <v>1238</v>
      </c>
      <c r="BM60"/>
    </row>
    <row r="61" spans="7:65" x14ac:dyDescent="0.25">
      <c r="G61" t="s">
        <v>1238</v>
      </c>
      <c r="M61" t="s">
        <v>1238</v>
      </c>
      <c r="BM61"/>
    </row>
    <row r="62" spans="7:65" x14ac:dyDescent="0.25">
      <c r="G62" t="s">
        <v>1238</v>
      </c>
      <c r="M62" t="s">
        <v>1238</v>
      </c>
      <c r="BM62"/>
    </row>
    <row r="63" spans="7:65" x14ac:dyDescent="0.25">
      <c r="G63" t="s">
        <v>1238</v>
      </c>
      <c r="M63" t="s">
        <v>1238</v>
      </c>
      <c r="BM63"/>
    </row>
    <row r="64" spans="7:65" x14ac:dyDescent="0.25">
      <c r="G64" t="s">
        <v>1238</v>
      </c>
      <c r="M64" t="s">
        <v>1238</v>
      </c>
      <c r="BM64"/>
    </row>
    <row r="65" spans="7:65" x14ac:dyDescent="0.25">
      <c r="G65" t="s">
        <v>1238</v>
      </c>
      <c r="M65" t="s">
        <v>1238</v>
      </c>
      <c r="BM65"/>
    </row>
    <row r="66" spans="7:65" x14ac:dyDescent="0.25">
      <c r="G66" t="s">
        <v>1238</v>
      </c>
      <c r="M66" t="s">
        <v>1238</v>
      </c>
      <c r="BM66"/>
    </row>
    <row r="67" spans="7:65" x14ac:dyDescent="0.25">
      <c r="G67" t="s">
        <v>1238</v>
      </c>
      <c r="M67" t="s">
        <v>1238</v>
      </c>
      <c r="BM67"/>
    </row>
    <row r="68" spans="7:65" x14ac:dyDescent="0.25">
      <c r="G68" t="s">
        <v>1238</v>
      </c>
      <c r="M68" t="s">
        <v>1238</v>
      </c>
      <c r="BM68"/>
    </row>
    <row r="69" spans="7:65" x14ac:dyDescent="0.25">
      <c r="G69" t="s">
        <v>1238</v>
      </c>
      <c r="M69" t="s">
        <v>1238</v>
      </c>
      <c r="BM69"/>
    </row>
    <row r="70" spans="7:65" x14ac:dyDescent="0.25">
      <c r="G70" t="s">
        <v>1238</v>
      </c>
      <c r="M70" t="s">
        <v>1238</v>
      </c>
      <c r="BM70"/>
    </row>
    <row r="71" spans="7:65" x14ac:dyDescent="0.25">
      <c r="G71" t="s">
        <v>1238</v>
      </c>
      <c r="M71" t="s">
        <v>1238</v>
      </c>
      <c r="BM71"/>
    </row>
    <row r="72" spans="7:65" x14ac:dyDescent="0.25">
      <c r="G72" t="s">
        <v>1238</v>
      </c>
      <c r="M72" t="s">
        <v>1238</v>
      </c>
      <c r="BM72"/>
    </row>
    <row r="73" spans="7:65" x14ac:dyDescent="0.25">
      <c r="G73" t="s">
        <v>1238</v>
      </c>
      <c r="M73" t="s">
        <v>1238</v>
      </c>
      <c r="BM73"/>
    </row>
    <row r="74" spans="7:65" x14ac:dyDescent="0.25">
      <c r="G74" t="s">
        <v>1238</v>
      </c>
      <c r="M74" t="s">
        <v>1238</v>
      </c>
      <c r="BM74"/>
    </row>
    <row r="75" spans="7:65" x14ac:dyDescent="0.25">
      <c r="G75" t="s">
        <v>1238</v>
      </c>
      <c r="M75" t="s">
        <v>1238</v>
      </c>
      <c r="BM75"/>
    </row>
    <row r="76" spans="7:65" x14ac:dyDescent="0.25">
      <c r="G76" t="s">
        <v>1238</v>
      </c>
      <c r="M76" t="s">
        <v>1238</v>
      </c>
      <c r="BM76"/>
    </row>
    <row r="77" spans="7:65" x14ac:dyDescent="0.25">
      <c r="G77" t="s">
        <v>1238</v>
      </c>
      <c r="M77" t="s">
        <v>1238</v>
      </c>
      <c r="BM77"/>
    </row>
    <row r="78" spans="7:65" x14ac:dyDescent="0.25">
      <c r="G78" t="s">
        <v>1238</v>
      </c>
      <c r="M78" t="s">
        <v>1238</v>
      </c>
      <c r="BM78"/>
    </row>
    <row r="79" spans="7:65" x14ac:dyDescent="0.25">
      <c r="G79" t="s">
        <v>1238</v>
      </c>
      <c r="M79" t="s">
        <v>1238</v>
      </c>
      <c r="BM79"/>
    </row>
    <row r="80" spans="7:65" x14ac:dyDescent="0.25">
      <c r="G80" t="s">
        <v>1238</v>
      </c>
      <c r="M80" t="s">
        <v>1238</v>
      </c>
      <c r="BM80"/>
    </row>
    <row r="81" spans="7:65" x14ac:dyDescent="0.25">
      <c r="G81" t="s">
        <v>1238</v>
      </c>
      <c r="M81" t="s">
        <v>1238</v>
      </c>
      <c r="BM81"/>
    </row>
    <row r="82" spans="7:65" x14ac:dyDescent="0.25">
      <c r="G82" t="s">
        <v>1238</v>
      </c>
      <c r="M82" t="s">
        <v>1238</v>
      </c>
      <c r="BM82"/>
    </row>
    <row r="83" spans="7:65" x14ac:dyDescent="0.25">
      <c r="G83" t="s">
        <v>1238</v>
      </c>
      <c r="M83" t="s">
        <v>1238</v>
      </c>
      <c r="BM83"/>
    </row>
    <row r="84" spans="7:65" x14ac:dyDescent="0.25">
      <c r="G84" t="s">
        <v>1238</v>
      </c>
      <c r="M84" t="s">
        <v>1238</v>
      </c>
      <c r="BM84"/>
    </row>
    <row r="85" spans="7:65" x14ac:dyDescent="0.25">
      <c r="G85" t="s">
        <v>1238</v>
      </c>
      <c r="M85" t="s">
        <v>1238</v>
      </c>
      <c r="BM85"/>
    </row>
    <row r="86" spans="7:65" x14ac:dyDescent="0.25">
      <c r="G86" t="s">
        <v>1238</v>
      </c>
      <c r="M86" t="s">
        <v>1238</v>
      </c>
      <c r="BM86"/>
    </row>
    <row r="87" spans="7:65" x14ac:dyDescent="0.25">
      <c r="G87" t="s">
        <v>1238</v>
      </c>
      <c r="M87" t="s">
        <v>1238</v>
      </c>
      <c r="BM87"/>
    </row>
    <row r="88" spans="7:65" x14ac:dyDescent="0.25">
      <c r="G88" t="s">
        <v>1238</v>
      </c>
      <c r="M88" t="s">
        <v>1238</v>
      </c>
      <c r="BM88"/>
    </row>
    <row r="89" spans="7:65" x14ac:dyDescent="0.25">
      <c r="G89" t="s">
        <v>1238</v>
      </c>
      <c r="M89" t="s">
        <v>1238</v>
      </c>
      <c r="BM89"/>
    </row>
    <row r="90" spans="7:65" x14ac:dyDescent="0.25">
      <c r="G90" t="s">
        <v>1238</v>
      </c>
      <c r="M90" t="s">
        <v>1238</v>
      </c>
      <c r="BM90"/>
    </row>
    <row r="91" spans="7:65" x14ac:dyDescent="0.25">
      <c r="G91" t="s">
        <v>1238</v>
      </c>
      <c r="M91" t="s">
        <v>1238</v>
      </c>
      <c r="BM91"/>
    </row>
    <row r="92" spans="7:65" x14ac:dyDescent="0.25">
      <c r="G92" t="s">
        <v>1238</v>
      </c>
      <c r="M92" t="s">
        <v>1238</v>
      </c>
      <c r="BM92"/>
    </row>
    <row r="93" spans="7:65" x14ac:dyDescent="0.25">
      <c r="G93" t="s">
        <v>1238</v>
      </c>
      <c r="M93" t="s">
        <v>1238</v>
      </c>
      <c r="BM93"/>
    </row>
    <row r="94" spans="7:65" x14ac:dyDescent="0.25">
      <c r="G94" t="s">
        <v>1238</v>
      </c>
      <c r="M94" t="s">
        <v>1238</v>
      </c>
      <c r="BM94"/>
    </row>
    <row r="95" spans="7:65" x14ac:dyDescent="0.25">
      <c r="G95" t="s">
        <v>1238</v>
      </c>
      <c r="M95" t="s">
        <v>1238</v>
      </c>
      <c r="BM95"/>
    </row>
    <row r="96" spans="7:65" x14ac:dyDescent="0.25">
      <c r="G96" t="s">
        <v>1238</v>
      </c>
      <c r="M96" t="s">
        <v>1238</v>
      </c>
      <c r="BM96"/>
    </row>
    <row r="97" spans="7:65" x14ac:dyDescent="0.25">
      <c r="G97" t="s">
        <v>1238</v>
      </c>
      <c r="M97" t="s">
        <v>1238</v>
      </c>
      <c r="BM97"/>
    </row>
    <row r="98" spans="7:65" x14ac:dyDescent="0.25">
      <c r="G98" t="s">
        <v>1238</v>
      </c>
      <c r="M98" t="s">
        <v>1238</v>
      </c>
      <c r="BM98"/>
    </row>
    <row r="99" spans="7:65" x14ac:dyDescent="0.25">
      <c r="G99" t="s">
        <v>1238</v>
      </c>
      <c r="M99" t="s">
        <v>1238</v>
      </c>
      <c r="BM99"/>
    </row>
    <row r="100" spans="7:65" x14ac:dyDescent="0.25">
      <c r="G100" t="s">
        <v>1238</v>
      </c>
      <c r="M100" t="s">
        <v>1238</v>
      </c>
      <c r="BM100"/>
    </row>
    <row r="101" spans="7:65" x14ac:dyDescent="0.25">
      <c r="G101" t="s">
        <v>1238</v>
      </c>
      <c r="M101" t="s">
        <v>1238</v>
      </c>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7968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D25" sqref="D25"/>
    </sheetView>
  </sheetViews>
  <sheetFormatPr defaultRowHeight="13.8" x14ac:dyDescent="0.25"/>
  <cols>
    <col min="1" max="1" width="1.19921875" style="67" customWidth="1"/>
    <col min="2" max="2" width="12.296875" customWidth="1"/>
    <col min="3" max="3" width="16.19921875" customWidth="1"/>
    <col min="4" max="4" width="15.8984375" customWidth="1"/>
    <col min="5" max="5" width="12.796875" customWidth="1"/>
    <col min="6" max="6" width="10.19921875" customWidth="1"/>
    <col min="7" max="7" width="12.09765625" customWidth="1"/>
    <col min="8" max="17" width="7.69921875" customWidth="1"/>
    <col min="18" max="18" width="9" customWidth="1"/>
    <col min="19" max="19" width="6.296875" customWidth="1"/>
    <col min="20" max="20" width="10.2968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E2" s="385" t="s">
        <v>1297</v>
      </c>
      <c r="G2" s="374" t="s">
        <v>1298</v>
      </c>
    </row>
    <row r="3" spans="2:21" x14ac:dyDescent="0.25">
      <c r="E3" s="385" t="s">
        <v>1263</v>
      </c>
      <c r="G3" s="374" t="s">
        <v>1263</v>
      </c>
      <c r="H3" s="374" t="s">
        <v>1264</v>
      </c>
      <c r="I3" s="374"/>
      <c r="J3" s="374" t="s">
        <v>1265</v>
      </c>
      <c r="K3" s="374"/>
      <c r="L3" s="374" t="s">
        <v>1269</v>
      </c>
      <c r="M3" s="374"/>
      <c r="N3" s="374" t="s">
        <v>1268</v>
      </c>
      <c r="O3" s="374"/>
      <c r="P3" s="374" t="s">
        <v>1270</v>
      </c>
      <c r="R3" s="385"/>
    </row>
    <row r="4" spans="2:21" x14ac:dyDescent="0.25">
      <c r="B4" s="474" t="s">
        <v>884</v>
      </c>
      <c r="C4" s="474"/>
      <c r="D4" s="474"/>
      <c r="E4" s="388"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25">
      <c r="B6" s="2" t="s">
        <v>304</v>
      </c>
    </row>
    <row r="7" spans="2:21" x14ac:dyDescent="0.25">
      <c r="B7" t="s">
        <v>489</v>
      </c>
      <c r="C7" s="153" t="s">
        <v>421</v>
      </c>
    </row>
    <row r="8" spans="2:21" x14ac:dyDescent="0.25">
      <c r="B8" t="s">
        <v>490</v>
      </c>
      <c r="C8" s="153" t="s">
        <v>19</v>
      </c>
    </row>
    <row r="12" spans="2:21" x14ac:dyDescent="0.25">
      <c r="B12" s="324" t="s">
        <v>426</v>
      </c>
      <c r="C12" s="67"/>
    </row>
    <row r="13" spans="2:21" x14ac:dyDescent="0.25">
      <c r="B13" s="391">
        <v>44197</v>
      </c>
    </row>
    <row r="14" spans="2:21" x14ac:dyDescent="0.25">
      <c r="B14" s="369" t="s">
        <v>1253</v>
      </c>
    </row>
    <row r="15" spans="2:21" s="67" customFormat="1" ht="40.950000000000003" customHeight="1" x14ac:dyDescent="0.25">
      <c r="B15" s="373">
        <v>0</v>
      </c>
      <c r="C15" s="373" t="s">
        <v>1294</v>
      </c>
    </row>
    <row r="16" spans="2:21" s="67" customFormat="1" ht="51" customHeight="1" x14ac:dyDescent="0.25">
      <c r="B16" s="372" t="s">
        <v>1262</v>
      </c>
      <c r="C16" s="368"/>
    </row>
    <row r="17" spans="2:16" x14ac:dyDescent="0.25">
      <c r="B17" s="370" t="s">
        <v>945</v>
      </c>
    </row>
    <row r="18" spans="2:16" ht="17.7" customHeight="1" x14ac:dyDescent="0.25">
      <c r="B18" s="329" t="s">
        <v>22</v>
      </c>
    </row>
    <row r="19" spans="2:16" s="82" customFormat="1" hidden="1" x14ac:dyDescent="0.25">
      <c r="B19" s="328"/>
    </row>
    <row r="20" spans="2:16" hidden="1" x14ac:dyDescent="0.25">
      <c r="B20" s="328"/>
      <c r="C20" s="328"/>
      <c r="D20" s="328"/>
      <c r="E20" s="328"/>
      <c r="F20" s="328"/>
      <c r="G20" s="328"/>
    </row>
    <row r="21" spans="2:16" ht="13.95" hidden="1" customHeight="1" x14ac:dyDescent="0.25">
      <c r="B21" s="328"/>
      <c r="C21" s="328"/>
      <c r="D21" s="328"/>
      <c r="E21" s="328"/>
      <c r="F21" s="328"/>
      <c r="G21" s="328"/>
    </row>
    <row r="22" spans="2:16" hidden="1" x14ac:dyDescent="0.25"/>
    <row r="23" spans="2:16" x14ac:dyDescent="0.25">
      <c r="B23" s="2" t="s">
        <v>493</v>
      </c>
    </row>
    <row r="24" spans="2:16" x14ac:dyDescent="0.25">
      <c r="B24" s="161" t="s">
        <v>20</v>
      </c>
      <c r="D24" s="475" t="str">
        <f ca="1">"On aggregate, 1 patient = "&amp;TEXT('Demand background (hide)'!$BN$16,"#.#")&amp;" "&amp;Setup!$I$17</f>
        <v>On aggregate, 1 patient = 37. Minutes</v>
      </c>
      <c r="E24" s="475"/>
      <c r="F24" s="475"/>
      <c r="G24" s="475"/>
      <c r="H24" s="475"/>
      <c r="I24" s="475"/>
      <c r="J24" s="475"/>
      <c r="K24" s="475"/>
      <c r="P24" s="170" t="s">
        <v>500</v>
      </c>
    </row>
    <row r="26" spans="2:16" s="67" customFormat="1" x14ac:dyDescent="0.25"/>
    <row r="27" spans="2:16" s="67" customFormat="1" x14ac:dyDescent="0.25">
      <c r="B27" s="478" t="s">
        <v>1273</v>
      </c>
      <c r="C27" s="478"/>
      <c r="D27" s="280" t="s">
        <v>497</v>
      </c>
      <c r="E27" s="280" t="s">
        <v>128</v>
      </c>
    </row>
    <row r="28" spans="2:16" s="67" customFormat="1" x14ac:dyDescent="0.25">
      <c r="B28" s="479" t="s">
        <v>1301</v>
      </c>
      <c r="C28" s="480"/>
      <c r="D28" s="387">
        <f ca="1">IFERROR('Summary Calculations (hide)'!N70,"")</f>
        <v>16.158881118881101</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2 slots to meet the 85th percentile of demand. It may be advisable to review your capacity if you have an urgent, or very variable service.</v>
      </c>
    </row>
    <row r="29" spans="2:16" s="67" customFormat="1" x14ac:dyDescent="0.25">
      <c r="B29" s="479" t="s">
        <v>1302</v>
      </c>
      <c r="C29" s="480"/>
      <c r="D29" s="275">
        <f ca="1">IFERROR('Summary Calculations (hide)'!M70,"")</f>
        <v>13.42111888111887</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81" t="s">
        <v>503</v>
      </c>
      <c r="C30" s="482"/>
      <c r="D30" s="392">
        <f ca="1">IFERROR('Summary Calculations (hide)'!X70,"")</f>
        <v>12.046153846153853</v>
      </c>
      <c r="E30" s="393">
        <f ca="1">IFERROR('Summary Calculations (hide)'!X71,"")</f>
        <v>638.44615384615417</v>
      </c>
    </row>
    <row r="31" spans="2:16" s="67" customFormat="1" x14ac:dyDescent="0.25">
      <c r="B31" s="144" t="s">
        <v>303</v>
      </c>
      <c r="C31" s="142"/>
    </row>
    <row r="32" spans="2:16" s="67" customFormat="1" x14ac:dyDescent="0.25">
      <c r="B32" s="479" t="s">
        <v>495</v>
      </c>
      <c r="C32" s="480"/>
      <c r="D32" s="275">
        <f ca="1">IFERROR('Summary Calculations (hide)'!R70,"")</f>
        <v>13.038461538461545</v>
      </c>
      <c r="E32" s="275">
        <f ca="1">IFERROR('Summary Calculations (hide)'!R71,"")</f>
        <v>691.03846153846189</v>
      </c>
      <c r="H32" s="5"/>
    </row>
    <row r="33" spans="2:21" s="67" customFormat="1" x14ac:dyDescent="0.25">
      <c r="B33" s="479" t="s">
        <v>496</v>
      </c>
      <c r="C33" s="480"/>
      <c r="D33" s="275">
        <f ca="1">IFERROR('Summary Calculations (hide)'!S70,"")</f>
        <v>2.1153846153846141</v>
      </c>
      <c r="E33" s="275">
        <f ca="1">IFERROR('Summary Calculations (hide)'!S71,"")</f>
        <v>112.11538461538454</v>
      </c>
    </row>
    <row r="34" spans="2:21" s="67" customFormat="1" x14ac:dyDescent="0.25">
      <c r="B34" s="144" t="s">
        <v>928</v>
      </c>
    </row>
    <row r="35" spans="2:21" s="67" customFormat="1" x14ac:dyDescent="0.25">
      <c r="B35" s="479" t="s">
        <v>927</v>
      </c>
      <c r="C35" s="480"/>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87" t="str">
        <f>"Current waiting list vs Estimated sustainable waiting list ("&amp;C8&amp;")"</f>
        <v>Current waiting list vs Estimated sustainable waiting list (Patients)</v>
      </c>
      <c r="C38" s="487"/>
      <c r="D38" s="487"/>
      <c r="E38" s="487"/>
      <c r="F38" s="487"/>
      <c r="G38" s="487"/>
      <c r="H38" s="487"/>
    </row>
    <row r="40" spans="2:21" x14ac:dyDescent="0.25">
      <c r="B40" s="485" t="s">
        <v>489</v>
      </c>
      <c r="C40" s="486"/>
      <c r="D40" s="411" t="s">
        <v>249</v>
      </c>
      <c r="E40" s="413"/>
    </row>
    <row r="41" spans="2:21" x14ac:dyDescent="0.25">
      <c r="B41" s="345" t="str">
        <f>IF(AND(LEFT(Demand!C8,1)="H",'Demand adjustments for Covid'!F9="No"),"","WL predictions are disabled when forecast demand or Covid adjustments are enabled.")</f>
        <v/>
      </c>
    </row>
    <row r="42" spans="2:21" x14ac:dyDescent="0.25">
      <c r="B42" s="483" t="s">
        <v>1139</v>
      </c>
      <c r="C42" s="484"/>
      <c r="D42" s="330">
        <v>0</v>
      </c>
    </row>
    <row r="43" spans="2:21" x14ac:dyDescent="0.25">
      <c r="B43" s="483" t="s">
        <v>1140</v>
      </c>
      <c r="C43" s="484"/>
      <c r="D43" s="330">
        <v>0</v>
      </c>
    </row>
    <row r="49" spans="2:4" x14ac:dyDescent="0.25">
      <c r="B49" s="137" t="s">
        <v>305</v>
      </c>
      <c r="C49" s="476">
        <f ca="1">'Parameters calculator (hide)'!H67</f>
        <v>60</v>
      </c>
      <c r="D49" s="476"/>
    </row>
    <row r="50" spans="2:4" x14ac:dyDescent="0.25">
      <c r="B50" s="138" t="s">
        <v>306</v>
      </c>
      <c r="C50" s="477" t="str">
        <f ca="1">IFERROR(TEXT('Parameters calculator (hide)'!H66,"#,#")&amp;" - "&amp;TEXT('Parameters calculator (hide)'!I66,"#,#"),"")</f>
        <v>43 - 47</v>
      </c>
      <c r="D50" s="477"/>
    </row>
    <row r="53" spans="2:4" x14ac:dyDescent="0.25">
      <c r="B53" s="20" t="s">
        <v>307</v>
      </c>
      <c r="C53" s="477" t="str">
        <f ca="1">IFERROR('Parameters calculator (hide)'!H69,"")</f>
        <v>13 - 17</v>
      </c>
      <c r="D53" s="477"/>
    </row>
    <row r="55" spans="2:4" x14ac:dyDescent="0.25">
      <c r="B55" t="s">
        <v>929</v>
      </c>
    </row>
    <row r="57" spans="2:4" x14ac:dyDescent="0.25">
      <c r="B57" t="s">
        <v>930</v>
      </c>
    </row>
    <row r="58" spans="2:4" x14ac:dyDescent="0.25">
      <c r="B58" s="283">
        <v>10</v>
      </c>
      <c r="C58" t="s">
        <v>402</v>
      </c>
    </row>
    <row r="60" spans="2:4" x14ac:dyDescent="0.25">
      <c r="B60" t="s">
        <v>931</v>
      </c>
    </row>
    <row r="61" spans="2:4" x14ac:dyDescent="0.25">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281940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22860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7968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1237</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3.8" x14ac:dyDescent="0.25"/>
  <cols>
    <col min="1" max="1" width="12.296875" style="67" customWidth="1"/>
    <col min="3" max="3" width="9" style="67"/>
    <col min="5" max="5" width="9.7968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25">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5">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25">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25">
      <c r="H9" t="s">
        <v>422</v>
      </c>
      <c r="I9" s="5">
        <f ca="1">'Demand background (hide)'!BN16</f>
        <v>36.982758620689658</v>
      </c>
    </row>
    <row r="11" spans="1:24" x14ac:dyDescent="0.25">
      <c r="D11" t="s">
        <v>243</v>
      </c>
      <c r="E11" s="87">
        <f>IF(Summary!$B$13="",'Critical resources (hide)'!B6,Summary!$B$13)</f>
        <v>44197</v>
      </c>
    </row>
    <row r="12" spans="1:24" x14ac:dyDescent="0.25">
      <c r="E12" s="317"/>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13.038461538461538</v>
      </c>
      <c r="J15" s="5">
        <f ca="1">HLOOKUP(D15,'Capacity calculation (hide)'!$BK$110:$DK$111,2,0)</f>
        <v>2.1153846153846154</v>
      </c>
      <c r="K15" s="5">
        <f ca="1">IF(I15-IF(AND(Setup!$I$15="Yes",OR('Demand adjustments for Covid'!$F$9="No",'Demand adjustments for Covid'!$F$20="No")),$G15,0)-IF(Setup!$I$13="Yes",$H15,0)&lt;0,0,I15-IF(AND(Setup!$I$15="Yes",OR('Demand adjustments for Covid'!$F$9="No",'Demand adjustments for Covid'!$F$20="No")),$G15,0)-IF(Setup!$I$13="Yes",$H15,0))</f>
        <v>13.038461538461538</v>
      </c>
      <c r="L15" s="5">
        <f ca="1">J15</f>
        <v>2.1153846153846154</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13.038461538461538</v>
      </c>
      <c r="Q15" s="5">
        <f ca="1">J15</f>
        <v>2.1153846153846154</v>
      </c>
      <c r="R15" s="5">
        <f ca="1">IF(P15-V15&lt;0,0,P15-V15)</f>
        <v>13.038461538461538</v>
      </c>
      <c r="S15" s="5">
        <f ca="1">IF(R15=0,IF(P15+Q15-V15&lt;0,0,P15+Q15-V15),Q15)</f>
        <v>2.1153846153846154</v>
      </c>
      <c r="T15" s="5">
        <f ca="1">M15/IF(Summary!$C$8&lt;&gt;"Patients",1,$I$9)</f>
        <v>13.421118881118881</v>
      </c>
      <c r="U15" s="5">
        <f ca="1">((N15-M15)/IF(Summary!$C$8&lt;&gt;"Patients",1,$I$9))</f>
        <v>2.7377622377622375</v>
      </c>
      <c r="V15" s="5">
        <f>SUM(G15:H15)</f>
        <v>0</v>
      </c>
      <c r="X15" s="5">
        <f ca="1">(VLOOKUP(D15,'SPC background (hide)'!$AG$2:$AN$54,8,0)/IF(Summary!$C$8&lt;&gt;"Patients",1,$I$9))*(1-$I$4)*(1-$I$5+($I$6*$I$7))</f>
        <v>12.046153846153846</v>
      </c>
    </row>
    <row r="16" spans="1:24" x14ac:dyDescent="0.25">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13.038461538461538</v>
      </c>
      <c r="J16" s="5">
        <f ca="1">HLOOKUP(D16,'Capacity calculation (hide)'!$BK$110:$DK$111,2,0)</f>
        <v>2.1153846153846154</v>
      </c>
      <c r="K16" s="5">
        <f ca="1">IF(I16-IF(Setup!$I$15="Yes",$G16,0)-IF(Setup!$I$13="Yes",$H16,0)&lt;0,0,I16-IF(Setup!$I$15="Yes",$G16,0)-IF(Setup!$I$13="Yes",$H16,0))</f>
        <v>13.038461538461538</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13.038461538461538</v>
      </c>
      <c r="Q16" s="5">
        <f t="shared" ref="Q16:Q66" ca="1" si="5">J16</f>
        <v>2.1153846153846154</v>
      </c>
      <c r="R16" s="5">
        <f t="shared" ref="R16:R66" ca="1" si="6">IF(P16-V16&lt;0,0,P16-V16)</f>
        <v>13.038461538461538</v>
      </c>
      <c r="S16" s="5">
        <f t="shared" ref="S16:S66" ca="1" si="7">IF(R16=0,IF(P16+Q16-V16&lt;0,0,P16+Q16-V16),Q16)</f>
        <v>2.1153846153846154</v>
      </c>
      <c r="T16" s="5">
        <f ca="1">M16/IF(Summary!$C$8&lt;&gt;"Patients",1,$I$9)</f>
        <v>13.421118881118881</v>
      </c>
      <c r="U16" s="5">
        <f ca="1">((N16-M16)/IF(Summary!$C$8&lt;&gt;"Patients",1,$I$9))</f>
        <v>2.7377622377622375</v>
      </c>
      <c r="V16" s="5">
        <f t="shared" ref="V16:V66" si="8">SUM(G16:H16)</f>
        <v>0</v>
      </c>
      <c r="X16" s="5">
        <f ca="1">(VLOOKUP(D16,'SPC background (hide)'!$AG$2:$AN$54,8,0)/IF(Summary!$C$8&lt;&gt;"Patients",1,$I$9))*(1-$I$4)*(1-$I$5+($I$6*$I$7))</f>
        <v>12.046153846153846</v>
      </c>
    </row>
    <row r="17" spans="1:24" x14ac:dyDescent="0.25">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13.038461538461538</v>
      </c>
      <c r="J17" s="5">
        <f ca="1">HLOOKUP(D17,'Capacity calculation (hide)'!$BK$110:$DK$111,2,0)</f>
        <v>2.1153846153846154</v>
      </c>
      <c r="K17" s="5">
        <f ca="1">IF(I17-IF(Setup!$I$15="Yes",$G17,0)-IF(Setup!$I$13="Yes",$H17,0)&lt;0,0,I17-IF(Setup!$I$15="Yes",$G17,0)-IF(Setup!$I$13="Yes",$H17,0))</f>
        <v>13.038461538461538</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13.038461538461538</v>
      </c>
      <c r="Q17" s="5">
        <f t="shared" ca="1" si="5"/>
        <v>2.1153846153846154</v>
      </c>
      <c r="R17" s="5">
        <f t="shared" ca="1" si="6"/>
        <v>13.038461538461538</v>
      </c>
      <c r="S17" s="5">
        <f t="shared" ca="1" si="7"/>
        <v>2.1153846153846154</v>
      </c>
      <c r="T17" s="5">
        <f ca="1">M17/IF(Summary!$C$8&lt;&gt;"Patients",1,$I$9)</f>
        <v>13.421118881118881</v>
      </c>
      <c r="U17" s="5">
        <f ca="1">((N17-M17)/IF(Summary!$C$8&lt;&gt;"Patients",1,$I$9))</f>
        <v>2.7377622377622375</v>
      </c>
      <c r="V17" s="5">
        <f t="shared" si="8"/>
        <v>0</v>
      </c>
      <c r="X17" s="5">
        <f ca="1">(VLOOKUP(D17,'SPC background (hide)'!$AG$2:$AN$54,8,0)/IF(Summary!$C$8&lt;&gt;"Patients",1,$I$9))*(1-$I$4)*(1-$I$5+($I$6*$I$7))</f>
        <v>12.046153846153846</v>
      </c>
    </row>
    <row r="18" spans="1:24" x14ac:dyDescent="0.25">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13.038461538461538</v>
      </c>
      <c r="J18" s="5">
        <f ca="1">HLOOKUP(D18,'Capacity calculation (hide)'!$BK$110:$DK$111,2,0)</f>
        <v>2.1153846153846154</v>
      </c>
      <c r="K18" s="5">
        <f ca="1">IF(I18-IF(Setup!$I$15="Yes",$G18,0)-IF(Setup!$I$13="Yes",$H18,0)&lt;0,0,I18-IF(Setup!$I$15="Yes",$G18,0)-IF(Setup!$I$13="Yes",$H18,0))</f>
        <v>13.038461538461538</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13.038461538461538</v>
      </c>
      <c r="Q18" s="5">
        <f t="shared" ca="1" si="5"/>
        <v>2.1153846153846154</v>
      </c>
      <c r="R18" s="5">
        <f t="shared" ca="1" si="6"/>
        <v>13.038461538461538</v>
      </c>
      <c r="S18" s="5">
        <f t="shared" ca="1" si="7"/>
        <v>2.1153846153846154</v>
      </c>
      <c r="T18" s="5">
        <f ca="1">M18/IF(Summary!$C$8&lt;&gt;"Patients",1,$I$9)</f>
        <v>13.421118881118881</v>
      </c>
      <c r="U18" s="5">
        <f ca="1">((N18-M18)/IF(Summary!$C$8&lt;&gt;"Patients",1,$I$9))</f>
        <v>2.7377622377622375</v>
      </c>
      <c r="V18" s="5">
        <f t="shared" si="8"/>
        <v>0</v>
      </c>
      <c r="X18" s="5">
        <f ca="1">(VLOOKUP(D18,'SPC background (hide)'!$AG$2:$AN$54,8,0)/IF(Summary!$C$8&lt;&gt;"Patients",1,$I$9))*(1-$I$4)*(1-$I$5+($I$6*$I$7))</f>
        <v>12.046153846153846</v>
      </c>
    </row>
    <row r="19" spans="1:24" x14ac:dyDescent="0.25">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13.038461538461538</v>
      </c>
      <c r="J19" s="5">
        <f ca="1">HLOOKUP(D19,'Capacity calculation (hide)'!$BK$110:$DK$111,2,0)</f>
        <v>2.1153846153846154</v>
      </c>
      <c r="K19" s="5">
        <f ca="1">IF(I19-IF(Setup!$I$15="Yes",$G19,0)-IF(Setup!$I$13="Yes",$H19,0)&lt;0,0,I19-IF(Setup!$I$15="Yes",$G19,0)-IF(Setup!$I$13="Yes",$H19,0))</f>
        <v>13.038461538461538</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13.038461538461538</v>
      </c>
      <c r="Q19" s="5">
        <f t="shared" ca="1" si="5"/>
        <v>2.1153846153846154</v>
      </c>
      <c r="R19" s="5">
        <f t="shared" ca="1" si="6"/>
        <v>13.038461538461538</v>
      </c>
      <c r="S19" s="5">
        <f t="shared" ca="1" si="7"/>
        <v>2.1153846153846154</v>
      </c>
      <c r="T19" s="5">
        <f ca="1">M19/IF(Summary!$C$8&lt;&gt;"Patients",1,$I$9)</f>
        <v>13.421118881118881</v>
      </c>
      <c r="U19" s="5">
        <f ca="1">((N19-M19)/IF(Summary!$C$8&lt;&gt;"Patients",1,$I$9))</f>
        <v>2.7377622377622375</v>
      </c>
      <c r="V19" s="5">
        <f t="shared" si="8"/>
        <v>0</v>
      </c>
      <c r="X19" s="5">
        <f ca="1">(VLOOKUP(D19,'SPC background (hide)'!$AG$2:$AN$54,8,0)/IF(Summary!$C$8&lt;&gt;"Patients",1,$I$9))*(1-$I$4)*(1-$I$5+($I$6*$I$7))</f>
        <v>12.046153846153846</v>
      </c>
    </row>
    <row r="20" spans="1:24" x14ac:dyDescent="0.25">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13.038461538461538</v>
      </c>
      <c r="J20" s="5">
        <f ca="1">HLOOKUP(D20,'Capacity calculation (hide)'!$BK$110:$DK$111,2,0)</f>
        <v>2.1153846153846154</v>
      </c>
      <c r="K20" s="5">
        <f ca="1">IF(I20-IF(Setup!$I$15="Yes",$G20,0)-IF(Setup!$I$13="Yes",$H20,0)&lt;0,0,I20-IF(Setup!$I$15="Yes",$G20,0)-IF(Setup!$I$13="Yes",$H20,0))</f>
        <v>13.038461538461538</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13.038461538461538</v>
      </c>
      <c r="Q20" s="5">
        <f t="shared" ca="1" si="5"/>
        <v>2.1153846153846154</v>
      </c>
      <c r="R20" s="5">
        <f t="shared" ca="1" si="6"/>
        <v>13.038461538461538</v>
      </c>
      <c r="S20" s="5">
        <f t="shared" ca="1" si="7"/>
        <v>2.1153846153846154</v>
      </c>
      <c r="T20" s="5">
        <f ca="1">M20/IF(Summary!$C$8&lt;&gt;"Patients",1,$I$9)</f>
        <v>13.421118881118881</v>
      </c>
      <c r="U20" s="5">
        <f ca="1">((N20-M20)/IF(Summary!$C$8&lt;&gt;"Patients",1,$I$9))</f>
        <v>2.7377622377622375</v>
      </c>
      <c r="V20" s="5">
        <f t="shared" si="8"/>
        <v>0</v>
      </c>
      <c r="X20" s="5">
        <f ca="1">(VLOOKUP(D20,'SPC background (hide)'!$AG$2:$AN$54,8,0)/IF(Summary!$C$8&lt;&gt;"Patients",1,$I$9))*(1-$I$4)*(1-$I$5+($I$6*$I$7))</f>
        <v>12.046153846153846</v>
      </c>
    </row>
    <row r="21" spans="1:24" x14ac:dyDescent="0.25">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13.038461538461538</v>
      </c>
      <c r="J21" s="5">
        <f ca="1">HLOOKUP(D21,'Capacity calculation (hide)'!$BK$110:$DK$111,2,0)</f>
        <v>2.1153846153846154</v>
      </c>
      <c r="K21" s="5">
        <f ca="1">IF(I21-IF(Setup!$I$15="Yes",$G21,0)-IF(Setup!$I$13="Yes",$H21,0)&lt;0,0,I21-IF(Setup!$I$15="Yes",$G21,0)-IF(Setup!$I$13="Yes",$H21,0))</f>
        <v>13.038461538461538</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13.038461538461538</v>
      </c>
      <c r="Q21" s="5">
        <f t="shared" ca="1" si="5"/>
        <v>2.1153846153846154</v>
      </c>
      <c r="R21" s="5">
        <f t="shared" ca="1" si="6"/>
        <v>13.038461538461538</v>
      </c>
      <c r="S21" s="5">
        <f t="shared" ca="1" si="7"/>
        <v>2.1153846153846154</v>
      </c>
      <c r="T21" s="5">
        <f ca="1">M21/IF(Summary!$C$8&lt;&gt;"Patients",1,$I$9)</f>
        <v>13.421118881118881</v>
      </c>
      <c r="U21" s="5">
        <f ca="1">((N21-M21)/IF(Summary!$C$8&lt;&gt;"Patients",1,$I$9))</f>
        <v>2.7377622377622375</v>
      </c>
      <c r="V21" s="5">
        <f t="shared" si="8"/>
        <v>0</v>
      </c>
      <c r="X21" s="5">
        <f ca="1">(VLOOKUP(D21,'SPC background (hide)'!$AG$2:$AN$54,8,0)/IF(Summary!$C$8&lt;&gt;"Patients",1,$I$9))*(1-$I$4)*(1-$I$5+($I$6*$I$7))</f>
        <v>12.046153846153846</v>
      </c>
    </row>
    <row r="22" spans="1:24" x14ac:dyDescent="0.25">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13.038461538461538</v>
      </c>
      <c r="J22" s="5">
        <f ca="1">HLOOKUP(D22,'Capacity calculation (hide)'!$BK$110:$DK$111,2,0)</f>
        <v>2.1153846153846154</v>
      </c>
      <c r="K22" s="5">
        <f ca="1">IF(I22-IF(Setup!$I$15="Yes",$G22,0)-IF(Setup!$I$13="Yes",$H22,0)&lt;0,0,I22-IF(Setup!$I$15="Yes",$G22,0)-IF(Setup!$I$13="Yes",$H22,0))</f>
        <v>13.038461538461538</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13.038461538461538</v>
      </c>
      <c r="Q22" s="5">
        <f t="shared" ca="1" si="5"/>
        <v>2.1153846153846154</v>
      </c>
      <c r="R22" s="5">
        <f t="shared" ca="1" si="6"/>
        <v>13.038461538461538</v>
      </c>
      <c r="S22" s="5">
        <f t="shared" ca="1" si="7"/>
        <v>2.1153846153846154</v>
      </c>
      <c r="T22" s="5">
        <f ca="1">M22/IF(Summary!$C$8&lt;&gt;"Patients",1,$I$9)</f>
        <v>13.421118881118881</v>
      </c>
      <c r="U22" s="5">
        <f ca="1">((N22-M22)/IF(Summary!$C$8&lt;&gt;"Patients",1,$I$9))</f>
        <v>2.7377622377622375</v>
      </c>
      <c r="V22" s="5">
        <f t="shared" si="8"/>
        <v>0</v>
      </c>
      <c r="X22" s="5">
        <f ca="1">(VLOOKUP(D22,'SPC background (hide)'!$AG$2:$AN$54,8,0)/IF(Summary!$C$8&lt;&gt;"Patients",1,$I$9))*(1-$I$4)*(1-$I$5+($I$6*$I$7))</f>
        <v>12.046153846153846</v>
      </c>
    </row>
    <row r="23" spans="1:24" x14ac:dyDescent="0.25">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13.038461538461538</v>
      </c>
      <c r="J23" s="5">
        <f ca="1">HLOOKUP(D23,'Capacity calculation (hide)'!$BK$110:$DK$111,2,0)</f>
        <v>2.1153846153846154</v>
      </c>
      <c r="K23" s="5">
        <f ca="1">IF(I23-IF(Setup!$I$15="Yes",$G23,0)-IF(Setup!$I$13="Yes",$H23,0)&lt;0,0,I23-IF(Setup!$I$15="Yes",$G23,0)-IF(Setup!$I$13="Yes",$H23,0))</f>
        <v>13.038461538461538</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13.038461538461538</v>
      </c>
      <c r="Q23" s="5">
        <f t="shared" ca="1" si="5"/>
        <v>2.1153846153846154</v>
      </c>
      <c r="R23" s="5">
        <f t="shared" ca="1" si="6"/>
        <v>13.038461538461538</v>
      </c>
      <c r="S23" s="5">
        <f t="shared" ca="1" si="7"/>
        <v>2.1153846153846154</v>
      </c>
      <c r="T23" s="5">
        <f ca="1">M23/IF(Summary!$C$8&lt;&gt;"Patients",1,$I$9)</f>
        <v>13.421118881118881</v>
      </c>
      <c r="U23" s="5">
        <f ca="1">((N23-M23)/IF(Summary!$C$8&lt;&gt;"Patients",1,$I$9))</f>
        <v>2.7377622377622375</v>
      </c>
      <c r="V23" s="5">
        <f t="shared" si="8"/>
        <v>0</v>
      </c>
      <c r="X23" s="5">
        <f ca="1">(VLOOKUP(D23,'SPC background (hide)'!$AG$2:$AN$54,8,0)/IF(Summary!$C$8&lt;&gt;"Patients",1,$I$9))*(1-$I$4)*(1-$I$5+($I$6*$I$7))</f>
        <v>12.046153846153846</v>
      </c>
    </row>
    <row r="24" spans="1:24" x14ac:dyDescent="0.25">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13.038461538461538</v>
      </c>
      <c r="J24" s="5">
        <f ca="1">HLOOKUP(D24,'Capacity calculation (hide)'!$BK$110:$DK$111,2,0)</f>
        <v>2.1153846153846154</v>
      </c>
      <c r="K24" s="5">
        <f ca="1">IF(I24-IF(Setup!$I$15="Yes",$G24,0)-IF(Setup!$I$13="Yes",$H24,0)&lt;0,0,I24-IF(Setup!$I$15="Yes",$G24,0)-IF(Setup!$I$13="Yes",$H24,0))</f>
        <v>13.038461538461538</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13.038461538461538</v>
      </c>
      <c r="Q24" s="5">
        <f t="shared" ca="1" si="5"/>
        <v>2.1153846153846154</v>
      </c>
      <c r="R24" s="5">
        <f t="shared" ca="1" si="6"/>
        <v>13.038461538461538</v>
      </c>
      <c r="S24" s="5">
        <f t="shared" ca="1" si="7"/>
        <v>2.1153846153846154</v>
      </c>
      <c r="T24" s="5">
        <f ca="1">M24/IF(Summary!$C$8&lt;&gt;"Patients",1,$I$9)</f>
        <v>13.421118881118881</v>
      </c>
      <c r="U24" s="5">
        <f ca="1">((N24-M24)/IF(Summary!$C$8&lt;&gt;"Patients",1,$I$9))</f>
        <v>2.7377622377622375</v>
      </c>
      <c r="V24" s="5">
        <f t="shared" si="8"/>
        <v>0</v>
      </c>
      <c r="X24" s="5">
        <f ca="1">(VLOOKUP(D24,'SPC background (hide)'!$AG$2:$AN$54,8,0)/IF(Summary!$C$8&lt;&gt;"Patients",1,$I$9))*(1-$I$4)*(1-$I$5+($I$6*$I$7))</f>
        <v>12.046153846153846</v>
      </c>
    </row>
    <row r="25" spans="1:24" x14ac:dyDescent="0.25">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13.038461538461538</v>
      </c>
      <c r="J25" s="5">
        <f ca="1">HLOOKUP(D25,'Capacity calculation (hide)'!$BK$110:$DK$111,2,0)</f>
        <v>2.1153846153846154</v>
      </c>
      <c r="K25" s="5">
        <f ca="1">IF(I25-IF(Setup!$I$15="Yes",$G25,0)-IF(Setup!$I$13="Yes",$H25,0)&lt;0,0,I25-IF(Setup!$I$15="Yes",$G25,0)-IF(Setup!$I$13="Yes",$H25,0))</f>
        <v>13.038461538461538</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13.038461538461538</v>
      </c>
      <c r="Q25" s="5">
        <f t="shared" ca="1" si="5"/>
        <v>2.1153846153846154</v>
      </c>
      <c r="R25" s="5">
        <f t="shared" ca="1" si="6"/>
        <v>13.038461538461538</v>
      </c>
      <c r="S25" s="5">
        <f t="shared" ca="1" si="7"/>
        <v>2.1153846153846154</v>
      </c>
      <c r="T25" s="5">
        <f ca="1">M25/IF(Summary!$C$8&lt;&gt;"Patients",1,$I$9)</f>
        <v>13.421118881118881</v>
      </c>
      <c r="U25" s="5">
        <f ca="1">((N25-M25)/IF(Summary!$C$8&lt;&gt;"Patients",1,$I$9))</f>
        <v>2.7377622377622375</v>
      </c>
      <c r="V25" s="5">
        <f t="shared" si="8"/>
        <v>0</v>
      </c>
      <c r="X25" s="5">
        <f ca="1">(VLOOKUP(D25,'SPC background (hide)'!$AG$2:$AN$54,8,0)/IF(Summary!$C$8&lt;&gt;"Patients",1,$I$9))*(1-$I$4)*(1-$I$5+($I$6*$I$7))</f>
        <v>12.046153846153846</v>
      </c>
    </row>
    <row r="26" spans="1:24" x14ac:dyDescent="0.25">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13.038461538461538</v>
      </c>
      <c r="J26" s="5">
        <f ca="1">HLOOKUP(D26,'Capacity calculation (hide)'!$BK$110:$DK$111,2,0)</f>
        <v>2.1153846153846154</v>
      </c>
      <c r="K26" s="5">
        <f ca="1">IF(I26-IF(Setup!$I$15="Yes",$G26,0)-IF(Setup!$I$13="Yes",$H26,0)&lt;0,0,I26-IF(Setup!$I$15="Yes",$G26,0)-IF(Setup!$I$13="Yes",$H26,0))</f>
        <v>13.038461538461538</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13.038461538461538</v>
      </c>
      <c r="Q26" s="5">
        <f t="shared" ca="1" si="5"/>
        <v>2.1153846153846154</v>
      </c>
      <c r="R26" s="5">
        <f t="shared" ca="1" si="6"/>
        <v>13.038461538461538</v>
      </c>
      <c r="S26" s="5">
        <f t="shared" ca="1" si="7"/>
        <v>2.1153846153846154</v>
      </c>
      <c r="T26" s="5">
        <f ca="1">M26/IF(Summary!$C$8&lt;&gt;"Patients",1,$I$9)</f>
        <v>13.421118881118881</v>
      </c>
      <c r="U26" s="5">
        <f ca="1">((N26-M26)/IF(Summary!$C$8&lt;&gt;"Patients",1,$I$9))</f>
        <v>2.7377622377622375</v>
      </c>
      <c r="V26" s="5">
        <f t="shared" si="8"/>
        <v>0</v>
      </c>
      <c r="X26" s="5">
        <f ca="1">(VLOOKUP(D26,'SPC background (hide)'!$AG$2:$AN$54,8,0)/IF(Summary!$C$8&lt;&gt;"Patients",1,$I$9))*(1-$I$4)*(1-$I$5+($I$6*$I$7))</f>
        <v>12.046153846153846</v>
      </c>
    </row>
    <row r="27" spans="1:24" x14ac:dyDescent="0.25">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13.038461538461538</v>
      </c>
      <c r="J27" s="5">
        <f ca="1">HLOOKUP(D27,'Capacity calculation (hide)'!$BK$110:$DK$111,2,0)</f>
        <v>2.1153846153846154</v>
      </c>
      <c r="K27" s="5">
        <f ca="1">IF(I27-IF(Setup!$I$15="Yes",$G27,0)-IF(Setup!$I$13="Yes",$H27,0)&lt;0,0,I27-IF(Setup!$I$15="Yes",$G27,0)-IF(Setup!$I$13="Yes",$H27,0))</f>
        <v>13.038461538461538</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13.038461538461538</v>
      </c>
      <c r="Q27" s="5">
        <f t="shared" ca="1" si="5"/>
        <v>2.1153846153846154</v>
      </c>
      <c r="R27" s="5">
        <f t="shared" ca="1" si="6"/>
        <v>13.038461538461538</v>
      </c>
      <c r="S27" s="5">
        <f t="shared" ca="1" si="7"/>
        <v>2.1153846153846154</v>
      </c>
      <c r="T27" s="5">
        <f ca="1">M27/IF(Summary!$C$8&lt;&gt;"Patients",1,$I$9)</f>
        <v>13.421118881118881</v>
      </c>
      <c r="U27" s="5">
        <f ca="1">((N27-M27)/IF(Summary!$C$8&lt;&gt;"Patients",1,$I$9))</f>
        <v>2.7377622377622375</v>
      </c>
      <c r="V27" s="5">
        <f t="shared" si="8"/>
        <v>0</v>
      </c>
      <c r="X27" s="5">
        <f ca="1">(VLOOKUP(D27,'SPC background (hide)'!$AG$2:$AN$54,8,0)/IF(Summary!$C$8&lt;&gt;"Patients",1,$I$9))*(1-$I$4)*(1-$I$5+($I$6*$I$7))</f>
        <v>12.046153846153846</v>
      </c>
    </row>
    <row r="28" spans="1:24" x14ac:dyDescent="0.25">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13.038461538461538</v>
      </c>
      <c r="J28" s="5">
        <f ca="1">HLOOKUP(D28,'Capacity calculation (hide)'!$BK$110:$DK$111,2,0)</f>
        <v>2.1153846153846154</v>
      </c>
      <c r="K28" s="5">
        <f ca="1">IF(I28-IF(Setup!$I$15="Yes",$G28,0)-IF(Setup!$I$13="Yes",$H28,0)&lt;0,0,I28-IF(Setup!$I$15="Yes",$G28,0)-IF(Setup!$I$13="Yes",$H28,0))</f>
        <v>13.038461538461538</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13.038461538461538</v>
      </c>
      <c r="Q28" s="5">
        <f t="shared" ca="1" si="5"/>
        <v>2.1153846153846154</v>
      </c>
      <c r="R28" s="5">
        <f t="shared" ca="1" si="6"/>
        <v>13.038461538461538</v>
      </c>
      <c r="S28" s="5">
        <f t="shared" ca="1" si="7"/>
        <v>2.1153846153846154</v>
      </c>
      <c r="T28" s="5">
        <f ca="1">M28/IF(Summary!$C$8&lt;&gt;"Patients",1,$I$9)</f>
        <v>13.421118881118881</v>
      </c>
      <c r="U28" s="5">
        <f ca="1">((N28-M28)/IF(Summary!$C$8&lt;&gt;"Patients",1,$I$9))</f>
        <v>2.7377622377622375</v>
      </c>
      <c r="V28" s="5">
        <f t="shared" si="8"/>
        <v>0</v>
      </c>
      <c r="X28" s="5">
        <f ca="1">(VLOOKUP(D28,'SPC background (hide)'!$AG$2:$AN$54,8,0)/IF(Summary!$C$8&lt;&gt;"Patients",1,$I$9))*(1-$I$4)*(1-$I$5+($I$6*$I$7))</f>
        <v>12.046153846153846</v>
      </c>
    </row>
    <row r="29" spans="1:24" x14ac:dyDescent="0.25">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13.038461538461538</v>
      </c>
      <c r="J29" s="5">
        <f ca="1">HLOOKUP(D29,'Capacity calculation (hide)'!$BK$110:$DK$111,2,0)</f>
        <v>2.1153846153846154</v>
      </c>
      <c r="K29" s="5">
        <f ca="1">IF(I29-IF(Setup!$I$15="Yes",$G29,0)-IF(Setup!$I$13="Yes",$H29,0)&lt;0,0,I29-IF(Setup!$I$15="Yes",$G29,0)-IF(Setup!$I$13="Yes",$H29,0))</f>
        <v>13.038461538461538</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13.038461538461538</v>
      </c>
      <c r="Q29" s="5">
        <f t="shared" ca="1" si="5"/>
        <v>2.1153846153846154</v>
      </c>
      <c r="R29" s="5">
        <f t="shared" ca="1" si="6"/>
        <v>13.038461538461538</v>
      </c>
      <c r="S29" s="5">
        <f t="shared" ca="1" si="7"/>
        <v>2.1153846153846154</v>
      </c>
      <c r="T29" s="5">
        <f ca="1">M29/IF(Summary!$C$8&lt;&gt;"Patients",1,$I$9)</f>
        <v>13.421118881118881</v>
      </c>
      <c r="U29" s="5">
        <f ca="1">((N29-M29)/IF(Summary!$C$8&lt;&gt;"Patients",1,$I$9))</f>
        <v>2.7377622377622375</v>
      </c>
      <c r="V29" s="5">
        <f t="shared" si="8"/>
        <v>0</v>
      </c>
      <c r="X29" s="5">
        <f ca="1">(VLOOKUP(D29,'SPC background (hide)'!$AG$2:$AN$54,8,0)/IF(Summary!$C$8&lt;&gt;"Patients",1,$I$9))*(1-$I$4)*(1-$I$5+($I$6*$I$7))</f>
        <v>12.046153846153846</v>
      </c>
    </row>
    <row r="30" spans="1:24" x14ac:dyDescent="0.25">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13.038461538461538</v>
      </c>
      <c r="J30" s="5">
        <f ca="1">HLOOKUP(D30,'Capacity calculation (hide)'!$BK$110:$DK$111,2,0)</f>
        <v>2.1153846153846154</v>
      </c>
      <c r="K30" s="5">
        <f ca="1">IF(I30-IF(Setup!$I$15="Yes",$G30,0)-IF(Setup!$I$13="Yes",$H30,0)&lt;0,0,I30-IF(Setup!$I$15="Yes",$G30,0)-IF(Setup!$I$13="Yes",$H30,0))</f>
        <v>13.038461538461538</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13.038461538461538</v>
      </c>
      <c r="Q30" s="5">
        <f t="shared" ca="1" si="5"/>
        <v>2.1153846153846154</v>
      </c>
      <c r="R30" s="5">
        <f t="shared" ca="1" si="6"/>
        <v>13.038461538461538</v>
      </c>
      <c r="S30" s="5">
        <f t="shared" ca="1" si="7"/>
        <v>2.1153846153846154</v>
      </c>
      <c r="T30" s="5">
        <f ca="1">M30/IF(Summary!$C$8&lt;&gt;"Patients",1,$I$9)</f>
        <v>13.421118881118881</v>
      </c>
      <c r="U30" s="5">
        <f ca="1">((N30-M30)/IF(Summary!$C$8&lt;&gt;"Patients",1,$I$9))</f>
        <v>2.7377622377622375</v>
      </c>
      <c r="V30" s="5">
        <f t="shared" si="8"/>
        <v>0</v>
      </c>
      <c r="X30" s="5">
        <f ca="1">(VLOOKUP(D30,'SPC background (hide)'!$AG$2:$AN$54,8,0)/IF(Summary!$C$8&lt;&gt;"Patients",1,$I$9))*(1-$I$4)*(1-$I$5+($I$6*$I$7))</f>
        <v>12.046153846153846</v>
      </c>
    </row>
    <row r="31" spans="1:24" x14ac:dyDescent="0.25">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13.038461538461538</v>
      </c>
      <c r="J31" s="5">
        <f ca="1">HLOOKUP(D31,'Capacity calculation (hide)'!$BK$110:$DK$111,2,0)</f>
        <v>2.1153846153846154</v>
      </c>
      <c r="K31" s="5">
        <f ca="1">IF(I31-IF(Setup!$I$15="Yes",$G31,0)-IF(Setup!$I$13="Yes",$H31,0)&lt;0,0,I31-IF(Setup!$I$15="Yes",$G31,0)-IF(Setup!$I$13="Yes",$H31,0))</f>
        <v>13.038461538461538</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13.038461538461538</v>
      </c>
      <c r="Q31" s="5">
        <f t="shared" ca="1" si="5"/>
        <v>2.1153846153846154</v>
      </c>
      <c r="R31" s="5">
        <f t="shared" ca="1" si="6"/>
        <v>13.038461538461538</v>
      </c>
      <c r="S31" s="5">
        <f t="shared" ca="1" si="7"/>
        <v>2.1153846153846154</v>
      </c>
      <c r="T31" s="5">
        <f ca="1">M31/IF(Summary!$C$8&lt;&gt;"Patients",1,$I$9)</f>
        <v>13.421118881118881</v>
      </c>
      <c r="U31" s="5">
        <f ca="1">((N31-M31)/IF(Summary!$C$8&lt;&gt;"Patients",1,$I$9))</f>
        <v>2.7377622377622375</v>
      </c>
      <c r="V31" s="5">
        <f t="shared" si="8"/>
        <v>0</v>
      </c>
      <c r="X31" s="5">
        <f ca="1">(VLOOKUP(D31,'SPC background (hide)'!$AG$2:$AN$54,8,0)/IF(Summary!$C$8&lt;&gt;"Patients",1,$I$9))*(1-$I$4)*(1-$I$5+($I$6*$I$7))</f>
        <v>12.046153846153846</v>
      </c>
    </row>
    <row r="32" spans="1:24" x14ac:dyDescent="0.25">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13.038461538461538</v>
      </c>
      <c r="J32" s="5">
        <f ca="1">HLOOKUP(D32,'Capacity calculation (hide)'!$BK$110:$DK$111,2,0)</f>
        <v>2.1153846153846154</v>
      </c>
      <c r="K32" s="5">
        <f ca="1">IF(I32-IF(Setup!$I$15="Yes",$G32,0)-IF(Setup!$I$13="Yes",$H32,0)&lt;0,0,I32-IF(Setup!$I$15="Yes",$G32,0)-IF(Setup!$I$13="Yes",$H32,0))</f>
        <v>13.038461538461538</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13.038461538461538</v>
      </c>
      <c r="Q32" s="5">
        <f t="shared" ca="1" si="5"/>
        <v>2.1153846153846154</v>
      </c>
      <c r="R32" s="5">
        <f t="shared" ca="1" si="6"/>
        <v>13.038461538461538</v>
      </c>
      <c r="S32" s="5">
        <f t="shared" ca="1" si="7"/>
        <v>2.1153846153846154</v>
      </c>
      <c r="T32" s="5">
        <f ca="1">M32/IF(Summary!$C$8&lt;&gt;"Patients",1,$I$9)</f>
        <v>13.421118881118881</v>
      </c>
      <c r="U32" s="5">
        <f ca="1">((N32-M32)/IF(Summary!$C$8&lt;&gt;"Patients",1,$I$9))</f>
        <v>2.7377622377622375</v>
      </c>
      <c r="V32" s="5">
        <f t="shared" si="8"/>
        <v>0</v>
      </c>
      <c r="X32" s="5">
        <f ca="1">(VLOOKUP(D32,'SPC background (hide)'!$AG$2:$AN$54,8,0)/IF(Summary!$C$8&lt;&gt;"Patients",1,$I$9))*(1-$I$4)*(1-$I$5+($I$6*$I$7))</f>
        <v>12.046153846153846</v>
      </c>
    </row>
    <row r="33" spans="1:24" x14ac:dyDescent="0.25">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13.038461538461538</v>
      </c>
      <c r="J33" s="5">
        <f ca="1">HLOOKUP(D33,'Capacity calculation (hide)'!$BK$110:$DK$111,2,0)</f>
        <v>2.1153846153846154</v>
      </c>
      <c r="K33" s="5">
        <f ca="1">IF(I33-IF(Setup!$I$15="Yes",$G33,0)-IF(Setup!$I$13="Yes",$H33,0)&lt;0,0,I33-IF(Setup!$I$15="Yes",$G33,0)-IF(Setup!$I$13="Yes",$H33,0))</f>
        <v>13.038461538461538</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13.038461538461538</v>
      </c>
      <c r="Q33" s="5">
        <f t="shared" ca="1" si="5"/>
        <v>2.1153846153846154</v>
      </c>
      <c r="R33" s="5">
        <f t="shared" ca="1" si="6"/>
        <v>13.038461538461538</v>
      </c>
      <c r="S33" s="5">
        <f t="shared" ca="1" si="7"/>
        <v>2.1153846153846154</v>
      </c>
      <c r="T33" s="5">
        <f ca="1">M33/IF(Summary!$C$8&lt;&gt;"Patients",1,$I$9)</f>
        <v>13.421118881118881</v>
      </c>
      <c r="U33" s="5">
        <f ca="1">((N33-M33)/IF(Summary!$C$8&lt;&gt;"Patients",1,$I$9))</f>
        <v>2.7377622377622375</v>
      </c>
      <c r="V33" s="5">
        <f t="shared" si="8"/>
        <v>0</v>
      </c>
      <c r="X33" s="5">
        <f ca="1">(VLOOKUP(D33,'SPC background (hide)'!$AG$2:$AN$54,8,0)/IF(Summary!$C$8&lt;&gt;"Patients",1,$I$9))*(1-$I$4)*(1-$I$5+($I$6*$I$7))</f>
        <v>12.046153846153846</v>
      </c>
    </row>
    <row r="34" spans="1:24" x14ac:dyDescent="0.25">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13.038461538461538</v>
      </c>
      <c r="J34" s="5">
        <f ca="1">HLOOKUP(D34,'Capacity calculation (hide)'!$BK$110:$DK$111,2,0)</f>
        <v>2.1153846153846154</v>
      </c>
      <c r="K34" s="5">
        <f ca="1">IF(I34-IF(Setup!$I$15="Yes",$G34,0)-IF(Setup!$I$13="Yes",$H34,0)&lt;0,0,I34-IF(Setup!$I$15="Yes",$G34,0)-IF(Setup!$I$13="Yes",$H34,0))</f>
        <v>13.038461538461538</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13.038461538461538</v>
      </c>
      <c r="Q34" s="5">
        <f t="shared" ca="1" si="5"/>
        <v>2.1153846153846154</v>
      </c>
      <c r="R34" s="5">
        <f t="shared" ca="1" si="6"/>
        <v>13.038461538461538</v>
      </c>
      <c r="S34" s="5">
        <f t="shared" ca="1" si="7"/>
        <v>2.1153846153846154</v>
      </c>
      <c r="T34" s="5">
        <f ca="1">M34/IF(Summary!$C$8&lt;&gt;"Patients",1,$I$9)</f>
        <v>13.421118881118881</v>
      </c>
      <c r="U34" s="5">
        <f ca="1">((N34-M34)/IF(Summary!$C$8&lt;&gt;"Patients",1,$I$9))</f>
        <v>2.7377622377622375</v>
      </c>
      <c r="V34" s="5">
        <f t="shared" si="8"/>
        <v>0</v>
      </c>
      <c r="X34" s="5">
        <f ca="1">(VLOOKUP(D34,'SPC background (hide)'!$AG$2:$AN$54,8,0)/IF(Summary!$C$8&lt;&gt;"Patients",1,$I$9))*(1-$I$4)*(1-$I$5+($I$6*$I$7))</f>
        <v>12.046153846153846</v>
      </c>
    </row>
    <row r="35" spans="1:24" x14ac:dyDescent="0.25">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13.038461538461538</v>
      </c>
      <c r="J35" s="5">
        <f ca="1">HLOOKUP(D35,'Capacity calculation (hide)'!$BK$110:$DK$111,2,0)</f>
        <v>2.1153846153846154</v>
      </c>
      <c r="K35" s="5">
        <f ca="1">IF(I35-IF(Setup!$I$15="Yes",$G35,0)-IF(Setup!$I$13="Yes",$H35,0)&lt;0,0,I35-IF(Setup!$I$15="Yes",$G35,0)-IF(Setup!$I$13="Yes",$H35,0))</f>
        <v>13.038461538461538</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13.038461538461538</v>
      </c>
      <c r="Q35" s="5">
        <f t="shared" ca="1" si="5"/>
        <v>2.1153846153846154</v>
      </c>
      <c r="R35" s="5">
        <f t="shared" ca="1" si="6"/>
        <v>13.038461538461538</v>
      </c>
      <c r="S35" s="5">
        <f t="shared" ca="1" si="7"/>
        <v>2.1153846153846154</v>
      </c>
      <c r="T35" s="5">
        <f ca="1">M35/IF(Summary!$C$8&lt;&gt;"Patients",1,$I$9)</f>
        <v>13.421118881118881</v>
      </c>
      <c r="U35" s="5">
        <f ca="1">((N35-M35)/IF(Summary!$C$8&lt;&gt;"Patients",1,$I$9))</f>
        <v>2.7377622377622375</v>
      </c>
      <c r="V35" s="5">
        <f t="shared" si="8"/>
        <v>0</v>
      </c>
      <c r="X35" s="5">
        <f ca="1">(VLOOKUP(D35,'SPC background (hide)'!$AG$2:$AN$54,8,0)/IF(Summary!$C$8&lt;&gt;"Patients",1,$I$9))*(1-$I$4)*(1-$I$5+($I$6*$I$7))</f>
        <v>12.046153846153846</v>
      </c>
    </row>
    <row r="36" spans="1:24" x14ac:dyDescent="0.25">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13.038461538461538</v>
      </c>
      <c r="J36" s="5">
        <f ca="1">HLOOKUP(D36,'Capacity calculation (hide)'!$BK$110:$DK$111,2,0)</f>
        <v>2.1153846153846154</v>
      </c>
      <c r="K36" s="5">
        <f ca="1">IF(I36-IF(Setup!$I$15="Yes",$G36,0)-IF(Setup!$I$13="Yes",$H36,0)&lt;0,0,I36-IF(Setup!$I$15="Yes",$G36,0)-IF(Setup!$I$13="Yes",$H36,0))</f>
        <v>13.038461538461538</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13.038461538461538</v>
      </c>
      <c r="Q36" s="5">
        <f t="shared" ca="1" si="5"/>
        <v>2.1153846153846154</v>
      </c>
      <c r="R36" s="5">
        <f t="shared" ca="1" si="6"/>
        <v>13.038461538461538</v>
      </c>
      <c r="S36" s="5">
        <f t="shared" ca="1" si="7"/>
        <v>2.1153846153846154</v>
      </c>
      <c r="T36" s="5">
        <f ca="1">M36/IF(Summary!$C$8&lt;&gt;"Patients",1,$I$9)</f>
        <v>13.421118881118881</v>
      </c>
      <c r="U36" s="5">
        <f ca="1">((N36-M36)/IF(Summary!$C$8&lt;&gt;"Patients",1,$I$9))</f>
        <v>2.7377622377622375</v>
      </c>
      <c r="V36" s="5">
        <f t="shared" si="8"/>
        <v>0</v>
      </c>
      <c r="X36" s="5">
        <f ca="1">(VLOOKUP(D36,'SPC background (hide)'!$AG$2:$AN$54,8,0)/IF(Summary!$C$8&lt;&gt;"Patients",1,$I$9))*(1-$I$4)*(1-$I$5+($I$6*$I$7))</f>
        <v>12.046153846153846</v>
      </c>
    </row>
    <row r="37" spans="1:24" x14ac:dyDescent="0.25">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13.038461538461538</v>
      </c>
      <c r="J37" s="5">
        <f ca="1">HLOOKUP(D37,'Capacity calculation (hide)'!$BK$110:$DK$111,2,0)</f>
        <v>2.1153846153846154</v>
      </c>
      <c r="K37" s="5">
        <f ca="1">IF(I37-IF(Setup!$I$15="Yes",$G37,0)-IF(Setup!$I$13="Yes",$H37,0)&lt;0,0,I37-IF(Setup!$I$15="Yes",$G37,0)-IF(Setup!$I$13="Yes",$H37,0))</f>
        <v>13.038461538461538</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13.038461538461538</v>
      </c>
      <c r="Q37" s="5">
        <f t="shared" ca="1" si="5"/>
        <v>2.1153846153846154</v>
      </c>
      <c r="R37" s="5">
        <f t="shared" ca="1" si="6"/>
        <v>13.038461538461538</v>
      </c>
      <c r="S37" s="5">
        <f t="shared" ca="1" si="7"/>
        <v>2.1153846153846154</v>
      </c>
      <c r="T37" s="5">
        <f ca="1">M37/IF(Summary!$C$8&lt;&gt;"Patients",1,$I$9)</f>
        <v>13.421118881118881</v>
      </c>
      <c r="U37" s="5">
        <f ca="1">((N37-M37)/IF(Summary!$C$8&lt;&gt;"Patients",1,$I$9))</f>
        <v>2.7377622377622375</v>
      </c>
      <c r="V37" s="5">
        <f t="shared" si="8"/>
        <v>0</v>
      </c>
      <c r="X37" s="5">
        <f ca="1">(VLOOKUP(D37,'SPC background (hide)'!$AG$2:$AN$54,8,0)/IF(Summary!$C$8&lt;&gt;"Patients",1,$I$9))*(1-$I$4)*(1-$I$5+($I$6*$I$7))</f>
        <v>12.046153846153846</v>
      </c>
    </row>
    <row r="38" spans="1:24" x14ac:dyDescent="0.25">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13.038461538461538</v>
      </c>
      <c r="J38" s="5">
        <f ca="1">HLOOKUP(D38,'Capacity calculation (hide)'!$BK$110:$DK$111,2,0)</f>
        <v>2.1153846153846154</v>
      </c>
      <c r="K38" s="5">
        <f ca="1">IF(I38-IF(Setup!$I$15="Yes",$G38,0)-IF(Setup!$I$13="Yes",$H38,0)&lt;0,0,I38-IF(Setup!$I$15="Yes",$G38,0)-IF(Setup!$I$13="Yes",$H38,0))</f>
        <v>13.038461538461538</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13.038461538461538</v>
      </c>
      <c r="Q38" s="5">
        <f t="shared" ca="1" si="5"/>
        <v>2.1153846153846154</v>
      </c>
      <c r="R38" s="5">
        <f t="shared" ca="1" si="6"/>
        <v>13.038461538461538</v>
      </c>
      <c r="S38" s="5">
        <f t="shared" ca="1" si="7"/>
        <v>2.1153846153846154</v>
      </c>
      <c r="T38" s="5">
        <f ca="1">M38/IF(Summary!$C$8&lt;&gt;"Patients",1,$I$9)</f>
        <v>13.421118881118881</v>
      </c>
      <c r="U38" s="5">
        <f ca="1">((N38-M38)/IF(Summary!$C$8&lt;&gt;"Patients",1,$I$9))</f>
        <v>2.7377622377622375</v>
      </c>
      <c r="V38" s="5">
        <f t="shared" si="8"/>
        <v>0</v>
      </c>
      <c r="X38" s="5">
        <f ca="1">(VLOOKUP(D38,'SPC background (hide)'!$AG$2:$AN$54,8,0)/IF(Summary!$C$8&lt;&gt;"Patients",1,$I$9))*(1-$I$4)*(1-$I$5+($I$6*$I$7))</f>
        <v>12.046153846153846</v>
      </c>
    </row>
    <row r="39" spans="1:24" x14ac:dyDescent="0.25">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13.038461538461538</v>
      </c>
      <c r="J39" s="5">
        <f ca="1">HLOOKUP(D39,'Capacity calculation (hide)'!$BK$110:$DK$111,2,0)</f>
        <v>2.1153846153846154</v>
      </c>
      <c r="K39" s="5">
        <f ca="1">IF(I39-IF(Setup!$I$15="Yes",$G39,0)-IF(Setup!$I$13="Yes",$H39,0)&lt;0,0,I39-IF(Setup!$I$15="Yes",$G39,0)-IF(Setup!$I$13="Yes",$H39,0))</f>
        <v>13.038461538461538</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13.038461538461538</v>
      </c>
      <c r="Q39" s="5">
        <f t="shared" ca="1" si="5"/>
        <v>2.1153846153846154</v>
      </c>
      <c r="R39" s="5">
        <f t="shared" ca="1" si="6"/>
        <v>13.038461538461538</v>
      </c>
      <c r="S39" s="5">
        <f t="shared" ca="1" si="7"/>
        <v>2.1153846153846154</v>
      </c>
      <c r="T39" s="5">
        <f ca="1">M39/IF(Summary!$C$8&lt;&gt;"Patients",1,$I$9)</f>
        <v>13.421118881118881</v>
      </c>
      <c r="U39" s="5">
        <f ca="1">((N39-M39)/IF(Summary!$C$8&lt;&gt;"Patients",1,$I$9))</f>
        <v>2.7377622377622375</v>
      </c>
      <c r="V39" s="5">
        <f t="shared" si="8"/>
        <v>0</v>
      </c>
      <c r="X39" s="5">
        <f ca="1">(VLOOKUP(D39,'SPC background (hide)'!$AG$2:$AN$54,8,0)/IF(Summary!$C$8&lt;&gt;"Patients",1,$I$9))*(1-$I$4)*(1-$I$5+($I$6*$I$7))</f>
        <v>12.046153846153846</v>
      </c>
    </row>
    <row r="40" spans="1:24" x14ac:dyDescent="0.25">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13.038461538461538</v>
      </c>
      <c r="J40" s="5">
        <f ca="1">HLOOKUP(D40,'Capacity calculation (hide)'!$BK$110:$DK$111,2,0)</f>
        <v>2.1153846153846154</v>
      </c>
      <c r="K40" s="5">
        <f ca="1">IF(I40-IF(Setup!$I$15="Yes",$G40,0)-IF(Setup!$I$13="Yes",$H40,0)&lt;0,0,I40-IF(Setup!$I$15="Yes",$G40,0)-IF(Setup!$I$13="Yes",$H40,0))</f>
        <v>13.038461538461538</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13.038461538461538</v>
      </c>
      <c r="Q40" s="5">
        <f t="shared" ca="1" si="5"/>
        <v>2.1153846153846154</v>
      </c>
      <c r="R40" s="5">
        <f t="shared" ca="1" si="6"/>
        <v>13.038461538461538</v>
      </c>
      <c r="S40" s="5">
        <f t="shared" ca="1" si="7"/>
        <v>2.1153846153846154</v>
      </c>
      <c r="T40" s="5">
        <f ca="1">M40/IF(Summary!$C$8&lt;&gt;"Patients",1,$I$9)</f>
        <v>13.421118881118881</v>
      </c>
      <c r="U40" s="5">
        <f ca="1">((N40-M40)/IF(Summary!$C$8&lt;&gt;"Patients",1,$I$9))</f>
        <v>2.7377622377622375</v>
      </c>
      <c r="V40" s="5">
        <f t="shared" si="8"/>
        <v>0</v>
      </c>
      <c r="X40" s="5">
        <f ca="1">(VLOOKUP(D40,'SPC background (hide)'!$AG$2:$AN$54,8,0)/IF(Summary!$C$8&lt;&gt;"Patients",1,$I$9))*(1-$I$4)*(1-$I$5+($I$6*$I$7))</f>
        <v>12.046153846153846</v>
      </c>
    </row>
    <row r="41" spans="1:24" x14ac:dyDescent="0.25">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13.038461538461538</v>
      </c>
      <c r="J41" s="5">
        <f ca="1">HLOOKUP(D41,'Capacity calculation (hide)'!$BK$110:$DK$111,2,0)</f>
        <v>2.1153846153846154</v>
      </c>
      <c r="K41" s="5">
        <f ca="1">IF(I41-IF(Setup!$I$15="Yes",$G41,0)-IF(Setup!$I$13="Yes",$H41,0)&lt;0,0,I41-IF(Setup!$I$15="Yes",$G41,0)-IF(Setup!$I$13="Yes",$H41,0))</f>
        <v>13.038461538461538</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13.038461538461538</v>
      </c>
      <c r="Q41" s="5">
        <f t="shared" ca="1" si="5"/>
        <v>2.1153846153846154</v>
      </c>
      <c r="R41" s="5">
        <f t="shared" ca="1" si="6"/>
        <v>13.038461538461538</v>
      </c>
      <c r="S41" s="5">
        <f t="shared" ca="1" si="7"/>
        <v>2.1153846153846154</v>
      </c>
      <c r="T41" s="5">
        <f ca="1">M41/IF(Summary!$C$8&lt;&gt;"Patients",1,$I$9)</f>
        <v>13.421118881118881</v>
      </c>
      <c r="U41" s="5">
        <f ca="1">((N41-M41)/IF(Summary!$C$8&lt;&gt;"Patients",1,$I$9))</f>
        <v>2.7377622377622375</v>
      </c>
      <c r="V41" s="5">
        <f t="shared" si="8"/>
        <v>0</v>
      </c>
      <c r="X41" s="5">
        <f ca="1">(VLOOKUP(D41,'SPC background (hide)'!$AG$2:$AN$54,8,0)/IF(Summary!$C$8&lt;&gt;"Patients",1,$I$9))*(1-$I$4)*(1-$I$5+($I$6*$I$7))</f>
        <v>12.046153846153846</v>
      </c>
    </row>
    <row r="42" spans="1:24" x14ac:dyDescent="0.25">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13.038461538461538</v>
      </c>
      <c r="J42" s="5">
        <f ca="1">HLOOKUP(D42,'Capacity calculation (hide)'!$BK$110:$DK$111,2,0)</f>
        <v>2.1153846153846154</v>
      </c>
      <c r="K42" s="5">
        <f ca="1">IF(I42-IF(Setup!$I$15="Yes",$G42,0)-IF(Setup!$I$13="Yes",$H42,0)&lt;0,0,I42-IF(Setup!$I$15="Yes",$G42,0)-IF(Setup!$I$13="Yes",$H42,0))</f>
        <v>13.038461538461538</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13.038461538461538</v>
      </c>
      <c r="Q42" s="5">
        <f t="shared" ca="1" si="5"/>
        <v>2.1153846153846154</v>
      </c>
      <c r="R42" s="5">
        <f t="shared" ca="1" si="6"/>
        <v>13.038461538461538</v>
      </c>
      <c r="S42" s="5">
        <f t="shared" ca="1" si="7"/>
        <v>2.1153846153846154</v>
      </c>
      <c r="T42" s="5">
        <f ca="1">M42/IF(Summary!$C$8&lt;&gt;"Patients",1,$I$9)</f>
        <v>13.421118881118881</v>
      </c>
      <c r="U42" s="5">
        <f ca="1">((N42-M42)/IF(Summary!$C$8&lt;&gt;"Patients",1,$I$9))</f>
        <v>2.7377622377622375</v>
      </c>
      <c r="V42" s="5">
        <f t="shared" si="8"/>
        <v>0</v>
      </c>
      <c r="X42" s="5">
        <f ca="1">(VLOOKUP(D42,'SPC background (hide)'!$AG$2:$AN$54,8,0)/IF(Summary!$C$8&lt;&gt;"Patients",1,$I$9))*(1-$I$4)*(1-$I$5+($I$6*$I$7))</f>
        <v>12.046153846153846</v>
      </c>
    </row>
    <row r="43" spans="1:24" x14ac:dyDescent="0.25">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13.038461538461538</v>
      </c>
      <c r="J43" s="5">
        <f ca="1">HLOOKUP(D43,'Capacity calculation (hide)'!$BK$110:$DK$111,2,0)</f>
        <v>2.1153846153846154</v>
      </c>
      <c r="K43" s="5">
        <f ca="1">IF(I43-IF(Setup!$I$15="Yes",$G43,0)-IF(Setup!$I$13="Yes",$H43,0)&lt;0,0,I43-IF(Setup!$I$15="Yes",$G43,0)-IF(Setup!$I$13="Yes",$H43,0))</f>
        <v>13.038461538461538</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13.038461538461538</v>
      </c>
      <c r="Q43" s="5">
        <f t="shared" ca="1" si="5"/>
        <v>2.1153846153846154</v>
      </c>
      <c r="R43" s="5">
        <f t="shared" ca="1" si="6"/>
        <v>13.038461538461538</v>
      </c>
      <c r="S43" s="5">
        <f t="shared" ca="1" si="7"/>
        <v>2.1153846153846154</v>
      </c>
      <c r="T43" s="5">
        <f ca="1">M43/IF(Summary!$C$8&lt;&gt;"Patients",1,$I$9)</f>
        <v>13.421118881118881</v>
      </c>
      <c r="U43" s="5">
        <f ca="1">((N43-M43)/IF(Summary!$C$8&lt;&gt;"Patients",1,$I$9))</f>
        <v>2.7377622377622375</v>
      </c>
      <c r="V43" s="5">
        <f t="shared" si="8"/>
        <v>0</v>
      </c>
      <c r="X43" s="5">
        <f ca="1">(VLOOKUP(D43,'SPC background (hide)'!$AG$2:$AN$54,8,0)/IF(Summary!$C$8&lt;&gt;"Patients",1,$I$9))*(1-$I$4)*(1-$I$5+($I$6*$I$7))</f>
        <v>12.046153846153846</v>
      </c>
    </row>
    <row r="44" spans="1:24" x14ac:dyDescent="0.25">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13.038461538461538</v>
      </c>
      <c r="J44" s="5">
        <f ca="1">HLOOKUP(D44,'Capacity calculation (hide)'!$BK$110:$DK$111,2,0)</f>
        <v>2.1153846153846154</v>
      </c>
      <c r="K44" s="5">
        <f ca="1">IF(I44-IF(Setup!$I$15="Yes",$G44,0)-IF(Setup!$I$13="Yes",$H44,0)&lt;0,0,I44-IF(Setup!$I$15="Yes",$G44,0)-IF(Setup!$I$13="Yes",$H44,0))</f>
        <v>13.038461538461538</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13.038461538461538</v>
      </c>
      <c r="Q44" s="5">
        <f t="shared" ca="1" si="5"/>
        <v>2.1153846153846154</v>
      </c>
      <c r="R44" s="5">
        <f t="shared" ca="1" si="6"/>
        <v>13.038461538461538</v>
      </c>
      <c r="S44" s="5">
        <f t="shared" ca="1" si="7"/>
        <v>2.1153846153846154</v>
      </c>
      <c r="T44" s="5">
        <f ca="1">M44/IF(Summary!$C$8&lt;&gt;"Patients",1,$I$9)</f>
        <v>13.421118881118881</v>
      </c>
      <c r="U44" s="5">
        <f ca="1">((N44-M44)/IF(Summary!$C$8&lt;&gt;"Patients",1,$I$9))</f>
        <v>2.7377622377622375</v>
      </c>
      <c r="V44" s="5">
        <f t="shared" si="8"/>
        <v>0</v>
      </c>
      <c r="X44" s="5">
        <f ca="1">(VLOOKUP(D44,'SPC background (hide)'!$AG$2:$AN$54,8,0)/IF(Summary!$C$8&lt;&gt;"Patients",1,$I$9))*(1-$I$4)*(1-$I$5+($I$6*$I$7))</f>
        <v>12.046153846153846</v>
      </c>
    </row>
    <row r="45" spans="1:24" x14ac:dyDescent="0.25">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13.038461538461538</v>
      </c>
      <c r="J45" s="5">
        <f ca="1">HLOOKUP(D45,'Capacity calculation (hide)'!$BK$110:$DK$111,2,0)</f>
        <v>2.1153846153846154</v>
      </c>
      <c r="K45" s="5">
        <f ca="1">IF(I45-IF(Setup!$I$15="Yes",$G45,0)-IF(Setup!$I$13="Yes",$H45,0)&lt;0,0,I45-IF(Setup!$I$15="Yes",$G45,0)-IF(Setup!$I$13="Yes",$H45,0))</f>
        <v>13.038461538461538</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13.038461538461538</v>
      </c>
      <c r="Q45" s="5">
        <f t="shared" ca="1" si="5"/>
        <v>2.1153846153846154</v>
      </c>
      <c r="R45" s="5">
        <f t="shared" ca="1" si="6"/>
        <v>13.038461538461538</v>
      </c>
      <c r="S45" s="5">
        <f t="shared" ca="1" si="7"/>
        <v>2.1153846153846154</v>
      </c>
      <c r="T45" s="5">
        <f ca="1">M45/IF(Summary!$C$8&lt;&gt;"Patients",1,$I$9)</f>
        <v>13.421118881118881</v>
      </c>
      <c r="U45" s="5">
        <f ca="1">((N45-M45)/IF(Summary!$C$8&lt;&gt;"Patients",1,$I$9))</f>
        <v>2.7377622377622375</v>
      </c>
      <c r="V45" s="5">
        <f t="shared" si="8"/>
        <v>0</v>
      </c>
      <c r="X45" s="5">
        <f ca="1">(VLOOKUP(D45,'SPC background (hide)'!$AG$2:$AN$54,8,0)/IF(Summary!$C$8&lt;&gt;"Patients",1,$I$9))*(1-$I$4)*(1-$I$5+($I$6*$I$7))</f>
        <v>12.046153846153846</v>
      </c>
    </row>
    <row r="46" spans="1:24" x14ac:dyDescent="0.25">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13.038461538461538</v>
      </c>
      <c r="J46" s="5">
        <f ca="1">HLOOKUP(D46,'Capacity calculation (hide)'!$BK$110:$DK$111,2,0)</f>
        <v>2.1153846153846154</v>
      </c>
      <c r="K46" s="5">
        <f ca="1">IF(I46-IF(Setup!$I$15="Yes",$G46,0)-IF(Setup!$I$13="Yes",$H46,0)&lt;0,0,I46-IF(Setup!$I$15="Yes",$G46,0)-IF(Setup!$I$13="Yes",$H46,0))</f>
        <v>13.038461538461538</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13.038461538461538</v>
      </c>
      <c r="Q46" s="5">
        <f t="shared" ca="1" si="5"/>
        <v>2.1153846153846154</v>
      </c>
      <c r="R46" s="5">
        <f t="shared" ca="1" si="6"/>
        <v>13.038461538461538</v>
      </c>
      <c r="S46" s="5">
        <f t="shared" ca="1" si="7"/>
        <v>2.1153846153846154</v>
      </c>
      <c r="T46" s="5">
        <f ca="1">M46/IF(Summary!$C$8&lt;&gt;"Patients",1,$I$9)</f>
        <v>13.421118881118881</v>
      </c>
      <c r="U46" s="5">
        <f ca="1">((N46-M46)/IF(Summary!$C$8&lt;&gt;"Patients",1,$I$9))</f>
        <v>2.7377622377622375</v>
      </c>
      <c r="V46" s="5">
        <f t="shared" si="8"/>
        <v>0</v>
      </c>
      <c r="X46" s="5">
        <f ca="1">(VLOOKUP(D46,'SPC background (hide)'!$AG$2:$AN$54,8,0)/IF(Summary!$C$8&lt;&gt;"Patients",1,$I$9))*(1-$I$4)*(1-$I$5+($I$6*$I$7))</f>
        <v>12.046153846153846</v>
      </c>
    </row>
    <row r="47" spans="1:24" x14ac:dyDescent="0.25">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13.038461538461538</v>
      </c>
      <c r="J47" s="5">
        <f ca="1">HLOOKUP(D47,'Capacity calculation (hide)'!$BK$110:$DK$111,2,0)</f>
        <v>2.1153846153846154</v>
      </c>
      <c r="K47" s="5">
        <f ca="1">IF(I47-IF(Setup!$I$15="Yes",$G47,0)-IF(Setup!$I$13="Yes",$H47,0)&lt;0,0,I47-IF(Setup!$I$15="Yes",$G47,0)-IF(Setup!$I$13="Yes",$H47,0))</f>
        <v>13.038461538461538</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13.038461538461538</v>
      </c>
      <c r="Q47" s="5">
        <f t="shared" ca="1" si="5"/>
        <v>2.1153846153846154</v>
      </c>
      <c r="R47" s="5">
        <f t="shared" ca="1" si="6"/>
        <v>13.038461538461538</v>
      </c>
      <c r="S47" s="5">
        <f t="shared" ca="1" si="7"/>
        <v>2.1153846153846154</v>
      </c>
      <c r="T47" s="5">
        <f ca="1">M47/IF(Summary!$C$8&lt;&gt;"Patients",1,$I$9)</f>
        <v>13.421118881118881</v>
      </c>
      <c r="U47" s="5">
        <f ca="1">((N47-M47)/IF(Summary!$C$8&lt;&gt;"Patients",1,$I$9))</f>
        <v>2.7377622377622375</v>
      </c>
      <c r="V47" s="5">
        <f t="shared" si="8"/>
        <v>0</v>
      </c>
      <c r="X47" s="5">
        <f ca="1">(VLOOKUP(D47,'SPC background (hide)'!$AG$2:$AN$54,8,0)/IF(Summary!$C$8&lt;&gt;"Patients",1,$I$9))*(1-$I$4)*(1-$I$5+($I$6*$I$7))</f>
        <v>12.046153846153846</v>
      </c>
    </row>
    <row r="48" spans="1:24" x14ac:dyDescent="0.25">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13.038461538461538</v>
      </c>
      <c r="J48" s="5">
        <f ca="1">HLOOKUP(D48,'Capacity calculation (hide)'!$BK$110:$DK$111,2,0)</f>
        <v>2.1153846153846154</v>
      </c>
      <c r="K48" s="5">
        <f ca="1">IF(I48-IF(Setup!$I$15="Yes",$G48,0)-IF(Setup!$I$13="Yes",$H48,0)&lt;0,0,I48-IF(Setup!$I$15="Yes",$G48,0)-IF(Setup!$I$13="Yes",$H48,0))</f>
        <v>13.038461538461538</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13.038461538461538</v>
      </c>
      <c r="Q48" s="5">
        <f t="shared" ca="1" si="5"/>
        <v>2.1153846153846154</v>
      </c>
      <c r="R48" s="5">
        <f t="shared" ca="1" si="6"/>
        <v>13.038461538461538</v>
      </c>
      <c r="S48" s="5">
        <f t="shared" ca="1" si="7"/>
        <v>2.1153846153846154</v>
      </c>
      <c r="T48" s="5">
        <f ca="1">M48/IF(Summary!$C$8&lt;&gt;"Patients",1,$I$9)</f>
        <v>13.421118881118881</v>
      </c>
      <c r="U48" s="5">
        <f ca="1">((N48-M48)/IF(Summary!$C$8&lt;&gt;"Patients",1,$I$9))</f>
        <v>2.7377622377622375</v>
      </c>
      <c r="V48" s="5">
        <f t="shared" si="8"/>
        <v>0</v>
      </c>
      <c r="X48" s="5">
        <f ca="1">(VLOOKUP(D48,'SPC background (hide)'!$AG$2:$AN$54,8,0)/IF(Summary!$C$8&lt;&gt;"Patients",1,$I$9))*(1-$I$4)*(1-$I$5+($I$6*$I$7))</f>
        <v>12.046153846153846</v>
      </c>
    </row>
    <row r="49" spans="1:24" x14ac:dyDescent="0.25">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13.038461538461538</v>
      </c>
      <c r="J49" s="5">
        <f ca="1">HLOOKUP(D49,'Capacity calculation (hide)'!$BK$110:$DK$111,2,0)</f>
        <v>2.1153846153846154</v>
      </c>
      <c r="K49" s="5">
        <f ca="1">IF(I49-IF(Setup!$I$15="Yes",$G49,0)-IF(Setup!$I$13="Yes",$H49,0)&lt;0,0,I49-IF(Setup!$I$15="Yes",$G49,0)-IF(Setup!$I$13="Yes",$H49,0))</f>
        <v>13.038461538461538</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13.038461538461538</v>
      </c>
      <c r="Q49" s="5">
        <f t="shared" ca="1" si="5"/>
        <v>2.1153846153846154</v>
      </c>
      <c r="R49" s="5">
        <f t="shared" ca="1" si="6"/>
        <v>13.038461538461538</v>
      </c>
      <c r="S49" s="5">
        <f t="shared" ca="1" si="7"/>
        <v>2.1153846153846154</v>
      </c>
      <c r="T49" s="5">
        <f ca="1">M49/IF(Summary!$C$8&lt;&gt;"Patients",1,$I$9)</f>
        <v>13.421118881118881</v>
      </c>
      <c r="U49" s="5">
        <f ca="1">((N49-M49)/IF(Summary!$C$8&lt;&gt;"Patients",1,$I$9))</f>
        <v>2.7377622377622375</v>
      </c>
      <c r="V49" s="5">
        <f t="shared" si="8"/>
        <v>0</v>
      </c>
      <c r="X49" s="5">
        <f ca="1">(VLOOKUP(D49,'SPC background (hide)'!$AG$2:$AN$54,8,0)/IF(Summary!$C$8&lt;&gt;"Patients",1,$I$9))*(1-$I$4)*(1-$I$5+($I$6*$I$7))</f>
        <v>12.046153846153846</v>
      </c>
    </row>
    <row r="50" spans="1:24" x14ac:dyDescent="0.25">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13.038461538461538</v>
      </c>
      <c r="J50" s="5">
        <f ca="1">HLOOKUP(D50,'Capacity calculation (hide)'!$BK$110:$DK$111,2,0)</f>
        <v>2.1153846153846154</v>
      </c>
      <c r="K50" s="5">
        <f ca="1">IF(I50-IF(Setup!$I$15="Yes",$G50,0)-IF(Setup!$I$13="Yes",$H50,0)&lt;0,0,I50-IF(Setup!$I$15="Yes",$G50,0)-IF(Setup!$I$13="Yes",$H50,0))</f>
        <v>13.038461538461538</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13.038461538461538</v>
      </c>
      <c r="Q50" s="5">
        <f t="shared" ca="1" si="5"/>
        <v>2.1153846153846154</v>
      </c>
      <c r="R50" s="5">
        <f t="shared" ca="1" si="6"/>
        <v>13.038461538461538</v>
      </c>
      <c r="S50" s="5">
        <f t="shared" ca="1" si="7"/>
        <v>2.1153846153846154</v>
      </c>
      <c r="T50" s="5">
        <f ca="1">M50/IF(Summary!$C$8&lt;&gt;"Patients",1,$I$9)</f>
        <v>13.421118881118881</v>
      </c>
      <c r="U50" s="5">
        <f ca="1">((N50-M50)/IF(Summary!$C$8&lt;&gt;"Patients",1,$I$9))</f>
        <v>2.7377622377622375</v>
      </c>
      <c r="V50" s="5">
        <f t="shared" si="8"/>
        <v>0</v>
      </c>
      <c r="X50" s="5">
        <f ca="1">(VLOOKUP(D50,'SPC background (hide)'!$AG$2:$AN$54,8,0)/IF(Summary!$C$8&lt;&gt;"Patients",1,$I$9))*(1-$I$4)*(1-$I$5+($I$6*$I$7))</f>
        <v>12.046153846153846</v>
      </c>
    </row>
    <row r="51" spans="1:24" x14ac:dyDescent="0.25">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13.038461538461538</v>
      </c>
      <c r="J51" s="5">
        <f ca="1">HLOOKUP(D51,'Capacity calculation (hide)'!$BK$110:$DK$111,2,0)</f>
        <v>2.1153846153846154</v>
      </c>
      <c r="K51" s="5">
        <f ca="1">IF(I51-IF(Setup!$I$15="Yes",$G51,0)-IF(Setup!$I$13="Yes",$H51,0)&lt;0,0,I51-IF(Setup!$I$15="Yes",$G51,0)-IF(Setup!$I$13="Yes",$H51,0))</f>
        <v>13.038461538461538</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13.038461538461538</v>
      </c>
      <c r="Q51" s="5">
        <f t="shared" ca="1" si="5"/>
        <v>2.1153846153846154</v>
      </c>
      <c r="R51" s="5">
        <f t="shared" ca="1" si="6"/>
        <v>13.038461538461538</v>
      </c>
      <c r="S51" s="5">
        <f t="shared" ca="1" si="7"/>
        <v>2.1153846153846154</v>
      </c>
      <c r="T51" s="5">
        <f ca="1">M51/IF(Summary!$C$8&lt;&gt;"Patients",1,$I$9)</f>
        <v>13.421118881118881</v>
      </c>
      <c r="U51" s="5">
        <f ca="1">((N51-M51)/IF(Summary!$C$8&lt;&gt;"Patients",1,$I$9))</f>
        <v>2.7377622377622375</v>
      </c>
      <c r="V51" s="5">
        <f t="shared" si="8"/>
        <v>0</v>
      </c>
      <c r="X51" s="5">
        <f ca="1">(VLOOKUP(D51,'SPC background (hide)'!$AG$2:$AN$54,8,0)/IF(Summary!$C$8&lt;&gt;"Patients",1,$I$9))*(1-$I$4)*(1-$I$5+($I$6*$I$7))</f>
        <v>12.046153846153846</v>
      </c>
    </row>
    <row r="52" spans="1:24" x14ac:dyDescent="0.25">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13.038461538461538</v>
      </c>
      <c r="J52" s="5">
        <f ca="1">HLOOKUP(D52,'Capacity calculation (hide)'!$BK$110:$DK$111,2,0)</f>
        <v>2.1153846153846154</v>
      </c>
      <c r="K52" s="5">
        <f ca="1">IF(I52-IF(Setup!$I$15="Yes",$G52,0)-IF(Setup!$I$13="Yes",$H52,0)&lt;0,0,I52-IF(Setup!$I$15="Yes",$G52,0)-IF(Setup!$I$13="Yes",$H52,0))</f>
        <v>13.038461538461538</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13.038461538461538</v>
      </c>
      <c r="Q52" s="5">
        <f t="shared" ca="1" si="5"/>
        <v>2.1153846153846154</v>
      </c>
      <c r="R52" s="5">
        <f t="shared" ca="1" si="6"/>
        <v>13.038461538461538</v>
      </c>
      <c r="S52" s="5">
        <f t="shared" ca="1" si="7"/>
        <v>2.1153846153846154</v>
      </c>
      <c r="T52" s="5">
        <f ca="1">M52/IF(Summary!$C$8&lt;&gt;"Patients",1,$I$9)</f>
        <v>13.421118881118881</v>
      </c>
      <c r="U52" s="5">
        <f ca="1">((N52-M52)/IF(Summary!$C$8&lt;&gt;"Patients",1,$I$9))</f>
        <v>2.7377622377622375</v>
      </c>
      <c r="V52" s="5">
        <f t="shared" si="8"/>
        <v>0</v>
      </c>
      <c r="X52" s="5">
        <f ca="1">(VLOOKUP(D52,'SPC background (hide)'!$AG$2:$AN$54,8,0)/IF(Summary!$C$8&lt;&gt;"Patients",1,$I$9))*(1-$I$4)*(1-$I$5+($I$6*$I$7))</f>
        <v>12.046153846153846</v>
      </c>
    </row>
    <row r="53" spans="1:24" x14ac:dyDescent="0.25">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13.038461538461538</v>
      </c>
      <c r="J53" s="5">
        <f ca="1">HLOOKUP(D53,'Capacity calculation (hide)'!$BK$110:$DK$111,2,0)</f>
        <v>2.1153846153846154</v>
      </c>
      <c r="K53" s="5">
        <f ca="1">IF(I53-IF(Setup!$I$15="Yes",$G53,0)-IF(Setup!$I$13="Yes",$H53,0)&lt;0,0,I53-IF(Setup!$I$15="Yes",$G53,0)-IF(Setup!$I$13="Yes",$H53,0))</f>
        <v>13.038461538461538</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13.038461538461538</v>
      </c>
      <c r="Q53" s="5">
        <f t="shared" ca="1" si="5"/>
        <v>2.1153846153846154</v>
      </c>
      <c r="R53" s="5">
        <f t="shared" ca="1" si="6"/>
        <v>13.038461538461538</v>
      </c>
      <c r="S53" s="5">
        <f t="shared" ca="1" si="7"/>
        <v>2.1153846153846154</v>
      </c>
      <c r="T53" s="5">
        <f ca="1">M53/IF(Summary!$C$8&lt;&gt;"Patients",1,$I$9)</f>
        <v>13.421118881118881</v>
      </c>
      <c r="U53" s="5">
        <f ca="1">((N53-M53)/IF(Summary!$C$8&lt;&gt;"Patients",1,$I$9))</f>
        <v>2.7377622377622375</v>
      </c>
      <c r="V53" s="5">
        <f t="shared" si="8"/>
        <v>0</v>
      </c>
      <c r="X53" s="5">
        <f ca="1">(VLOOKUP(D53,'SPC background (hide)'!$AG$2:$AN$54,8,0)/IF(Summary!$C$8&lt;&gt;"Patients",1,$I$9))*(1-$I$4)*(1-$I$5+($I$6*$I$7))</f>
        <v>12.046153846153846</v>
      </c>
    </row>
    <row r="54" spans="1:24" x14ac:dyDescent="0.25">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13.038461538461538</v>
      </c>
      <c r="J54" s="5">
        <f ca="1">HLOOKUP(D54,'Capacity calculation (hide)'!$BK$110:$DK$111,2,0)</f>
        <v>2.1153846153846154</v>
      </c>
      <c r="K54" s="5">
        <f ca="1">IF(I54-IF(Setup!$I$15="Yes",$G54,0)-IF(Setup!$I$13="Yes",$H54,0)&lt;0,0,I54-IF(Setup!$I$15="Yes",$G54,0)-IF(Setup!$I$13="Yes",$H54,0))</f>
        <v>13.038461538461538</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13.038461538461538</v>
      </c>
      <c r="Q54" s="5">
        <f t="shared" ca="1" si="5"/>
        <v>2.1153846153846154</v>
      </c>
      <c r="R54" s="5">
        <f t="shared" ca="1" si="6"/>
        <v>13.038461538461538</v>
      </c>
      <c r="S54" s="5">
        <f t="shared" ca="1" si="7"/>
        <v>2.1153846153846154</v>
      </c>
      <c r="T54" s="5">
        <f ca="1">M54/IF(Summary!$C$8&lt;&gt;"Patients",1,$I$9)</f>
        <v>13.421118881118881</v>
      </c>
      <c r="U54" s="5">
        <f ca="1">((N54-M54)/IF(Summary!$C$8&lt;&gt;"Patients",1,$I$9))</f>
        <v>2.7377622377622375</v>
      </c>
      <c r="V54" s="5">
        <f t="shared" si="8"/>
        <v>0</v>
      </c>
      <c r="X54" s="5">
        <f ca="1">(VLOOKUP(D54,'SPC background (hide)'!$AG$2:$AN$54,8,0)/IF(Summary!$C$8&lt;&gt;"Patients",1,$I$9))*(1-$I$4)*(1-$I$5+($I$6*$I$7))</f>
        <v>12.046153846153846</v>
      </c>
    </row>
    <row r="55" spans="1:24" x14ac:dyDescent="0.25">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13.038461538461538</v>
      </c>
      <c r="J55" s="5">
        <f ca="1">HLOOKUP(D55,'Capacity calculation (hide)'!$BK$110:$DK$111,2,0)</f>
        <v>2.1153846153846154</v>
      </c>
      <c r="K55" s="5">
        <f ca="1">IF(I55-IF(Setup!$I$15="Yes",$G55,0)-IF(Setup!$I$13="Yes",$H55,0)&lt;0,0,I55-IF(Setup!$I$15="Yes",$G55,0)-IF(Setup!$I$13="Yes",$H55,0))</f>
        <v>13.038461538461538</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13.038461538461538</v>
      </c>
      <c r="Q55" s="5">
        <f t="shared" ca="1" si="5"/>
        <v>2.1153846153846154</v>
      </c>
      <c r="R55" s="5">
        <f t="shared" ca="1" si="6"/>
        <v>13.038461538461538</v>
      </c>
      <c r="S55" s="5">
        <f t="shared" ca="1" si="7"/>
        <v>2.1153846153846154</v>
      </c>
      <c r="T55" s="5">
        <f ca="1">M55/IF(Summary!$C$8&lt;&gt;"Patients",1,$I$9)</f>
        <v>13.421118881118881</v>
      </c>
      <c r="U55" s="5">
        <f ca="1">((N55-M55)/IF(Summary!$C$8&lt;&gt;"Patients",1,$I$9))</f>
        <v>2.7377622377622375</v>
      </c>
      <c r="V55" s="5">
        <f t="shared" si="8"/>
        <v>0</v>
      </c>
      <c r="X55" s="5">
        <f ca="1">(VLOOKUP(D55,'SPC background (hide)'!$AG$2:$AN$54,8,0)/IF(Summary!$C$8&lt;&gt;"Patients",1,$I$9))*(1-$I$4)*(1-$I$5+($I$6*$I$7))</f>
        <v>12.046153846153846</v>
      </c>
    </row>
    <row r="56" spans="1:24" x14ac:dyDescent="0.25">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13.038461538461538</v>
      </c>
      <c r="J56" s="5">
        <f ca="1">HLOOKUP(D56,'Capacity calculation (hide)'!$BK$110:$DK$111,2,0)</f>
        <v>2.1153846153846154</v>
      </c>
      <c r="K56" s="5">
        <f ca="1">IF(I56-IF(Setup!$I$15="Yes",$G56,0)-IF(Setup!$I$13="Yes",$H56,0)&lt;0,0,I56-IF(Setup!$I$15="Yes",$G56,0)-IF(Setup!$I$13="Yes",$H56,0))</f>
        <v>13.038461538461538</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13.038461538461538</v>
      </c>
      <c r="Q56" s="5">
        <f t="shared" ca="1" si="5"/>
        <v>2.1153846153846154</v>
      </c>
      <c r="R56" s="5">
        <f t="shared" ca="1" si="6"/>
        <v>13.038461538461538</v>
      </c>
      <c r="S56" s="5">
        <f t="shared" ca="1" si="7"/>
        <v>2.1153846153846154</v>
      </c>
      <c r="T56" s="5">
        <f ca="1">M56/IF(Summary!$C$8&lt;&gt;"Patients",1,$I$9)</f>
        <v>13.421118881118881</v>
      </c>
      <c r="U56" s="5">
        <f ca="1">((N56-M56)/IF(Summary!$C$8&lt;&gt;"Patients",1,$I$9))</f>
        <v>2.7377622377622375</v>
      </c>
      <c r="V56" s="5">
        <f t="shared" si="8"/>
        <v>0</v>
      </c>
      <c r="X56" s="5">
        <f ca="1">(VLOOKUP(D56,'SPC background (hide)'!$AG$2:$AN$54,8,0)/IF(Summary!$C$8&lt;&gt;"Patients",1,$I$9))*(1-$I$4)*(1-$I$5+($I$6*$I$7))</f>
        <v>12.046153846153846</v>
      </c>
    </row>
    <row r="57" spans="1:24" x14ac:dyDescent="0.25">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13.038461538461538</v>
      </c>
      <c r="J57" s="5">
        <f ca="1">HLOOKUP(D57,'Capacity calculation (hide)'!$BK$110:$DK$111,2,0)</f>
        <v>2.1153846153846154</v>
      </c>
      <c r="K57" s="5">
        <f ca="1">IF(I57-IF(Setup!$I$15="Yes",$G57,0)-IF(Setup!$I$13="Yes",$H57,0)&lt;0,0,I57-IF(Setup!$I$15="Yes",$G57,0)-IF(Setup!$I$13="Yes",$H57,0))</f>
        <v>13.038461538461538</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13.038461538461538</v>
      </c>
      <c r="Q57" s="5">
        <f t="shared" ca="1" si="5"/>
        <v>2.1153846153846154</v>
      </c>
      <c r="R57" s="5">
        <f t="shared" ca="1" si="6"/>
        <v>13.038461538461538</v>
      </c>
      <c r="S57" s="5">
        <f t="shared" ca="1" si="7"/>
        <v>2.1153846153846154</v>
      </c>
      <c r="T57" s="5">
        <f ca="1">M57/IF(Summary!$C$8&lt;&gt;"Patients",1,$I$9)</f>
        <v>13.421118881118881</v>
      </c>
      <c r="U57" s="5">
        <f ca="1">((N57-M57)/IF(Summary!$C$8&lt;&gt;"Patients",1,$I$9))</f>
        <v>2.7377622377622375</v>
      </c>
      <c r="V57" s="5">
        <f t="shared" si="8"/>
        <v>0</v>
      </c>
      <c r="X57" s="5">
        <f ca="1">(VLOOKUP(D57,'SPC background (hide)'!$AG$2:$AN$54,8,0)/IF(Summary!$C$8&lt;&gt;"Patients",1,$I$9))*(1-$I$4)*(1-$I$5+($I$6*$I$7))</f>
        <v>12.046153846153846</v>
      </c>
    </row>
    <row r="58" spans="1:24" x14ac:dyDescent="0.25">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13.038461538461538</v>
      </c>
      <c r="J58" s="5">
        <f ca="1">HLOOKUP(D58,'Capacity calculation (hide)'!$BK$110:$DK$111,2,0)</f>
        <v>2.1153846153846154</v>
      </c>
      <c r="K58" s="5">
        <f ca="1">IF(I58-IF(Setup!$I$15="Yes",$G58,0)-IF(Setup!$I$13="Yes",$H58,0)&lt;0,0,I58-IF(Setup!$I$15="Yes",$G58,0)-IF(Setup!$I$13="Yes",$H58,0))</f>
        <v>13.038461538461538</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13.038461538461538</v>
      </c>
      <c r="Q58" s="5">
        <f t="shared" ca="1" si="5"/>
        <v>2.1153846153846154</v>
      </c>
      <c r="R58" s="5">
        <f t="shared" ca="1" si="6"/>
        <v>13.038461538461538</v>
      </c>
      <c r="S58" s="5">
        <f t="shared" ca="1" si="7"/>
        <v>2.1153846153846154</v>
      </c>
      <c r="T58" s="5">
        <f ca="1">M58/IF(Summary!$C$8&lt;&gt;"Patients",1,$I$9)</f>
        <v>13.421118881118881</v>
      </c>
      <c r="U58" s="5">
        <f ca="1">((N58-M58)/IF(Summary!$C$8&lt;&gt;"Patients",1,$I$9))</f>
        <v>2.7377622377622375</v>
      </c>
      <c r="V58" s="5">
        <f t="shared" si="8"/>
        <v>0</v>
      </c>
      <c r="X58" s="5">
        <f ca="1">(VLOOKUP(D58,'SPC background (hide)'!$AG$2:$AN$54,8,0)/IF(Summary!$C$8&lt;&gt;"Patients",1,$I$9))*(1-$I$4)*(1-$I$5+($I$6*$I$7))</f>
        <v>12.046153846153846</v>
      </c>
    </row>
    <row r="59" spans="1:24" x14ac:dyDescent="0.25">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13.038461538461538</v>
      </c>
      <c r="J59" s="5">
        <f ca="1">HLOOKUP(D59,'Capacity calculation (hide)'!$BK$110:$DK$111,2,0)</f>
        <v>2.1153846153846154</v>
      </c>
      <c r="K59" s="5">
        <f ca="1">IF(I59-IF(Setup!$I$15="Yes",$G59,0)-IF(Setup!$I$13="Yes",$H59,0)&lt;0,0,I59-IF(Setup!$I$15="Yes",$G59,0)-IF(Setup!$I$13="Yes",$H59,0))</f>
        <v>13.038461538461538</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13.038461538461538</v>
      </c>
      <c r="Q59" s="5">
        <f t="shared" ca="1" si="5"/>
        <v>2.1153846153846154</v>
      </c>
      <c r="R59" s="5">
        <f t="shared" ca="1" si="6"/>
        <v>13.038461538461538</v>
      </c>
      <c r="S59" s="5">
        <f t="shared" ca="1" si="7"/>
        <v>2.1153846153846154</v>
      </c>
      <c r="T59" s="5">
        <f ca="1">M59/IF(Summary!$C$8&lt;&gt;"Patients",1,$I$9)</f>
        <v>13.421118881118881</v>
      </c>
      <c r="U59" s="5">
        <f ca="1">((N59-M59)/IF(Summary!$C$8&lt;&gt;"Patients",1,$I$9))</f>
        <v>2.7377622377622375</v>
      </c>
      <c r="V59" s="5">
        <f t="shared" si="8"/>
        <v>0</v>
      </c>
      <c r="X59" s="5">
        <f ca="1">(VLOOKUP(D59,'SPC background (hide)'!$AG$2:$AN$54,8,0)/IF(Summary!$C$8&lt;&gt;"Patients",1,$I$9))*(1-$I$4)*(1-$I$5+($I$6*$I$7))</f>
        <v>12.046153846153846</v>
      </c>
    </row>
    <row r="60" spans="1:24" x14ac:dyDescent="0.25">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13.038461538461538</v>
      </c>
      <c r="J60" s="5">
        <f ca="1">HLOOKUP(D60,'Capacity calculation (hide)'!$BK$110:$DK$111,2,0)</f>
        <v>2.1153846153846154</v>
      </c>
      <c r="K60" s="5">
        <f ca="1">IF(I60-IF(Setup!$I$15="Yes",$G60,0)-IF(Setup!$I$13="Yes",$H60,0)&lt;0,0,I60-IF(Setup!$I$15="Yes",$G60,0)-IF(Setup!$I$13="Yes",$H60,0))</f>
        <v>13.038461538461538</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13.038461538461538</v>
      </c>
      <c r="Q60" s="5">
        <f t="shared" ca="1" si="5"/>
        <v>2.1153846153846154</v>
      </c>
      <c r="R60" s="5">
        <f t="shared" ca="1" si="6"/>
        <v>13.038461538461538</v>
      </c>
      <c r="S60" s="5">
        <f t="shared" ca="1" si="7"/>
        <v>2.1153846153846154</v>
      </c>
      <c r="T60" s="5">
        <f ca="1">M60/IF(Summary!$C$8&lt;&gt;"Patients",1,$I$9)</f>
        <v>13.421118881118881</v>
      </c>
      <c r="U60" s="5">
        <f ca="1">((N60-M60)/IF(Summary!$C$8&lt;&gt;"Patients",1,$I$9))</f>
        <v>2.7377622377622375</v>
      </c>
      <c r="V60" s="5">
        <f t="shared" si="8"/>
        <v>0</v>
      </c>
      <c r="X60" s="5">
        <f ca="1">(VLOOKUP(D60,'SPC background (hide)'!$AG$2:$AN$54,8,0)/IF(Summary!$C$8&lt;&gt;"Patients",1,$I$9))*(1-$I$4)*(1-$I$5+($I$6*$I$7))</f>
        <v>12.046153846153846</v>
      </c>
    </row>
    <row r="61" spans="1:24" x14ac:dyDescent="0.25">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13.421118881118881</v>
      </c>
      <c r="U61" s="5">
        <f ca="1">((N61-M61)/IF(Summary!$C$8&lt;&gt;"Patients",1,$I$9))</f>
        <v>2.7377622377622375</v>
      </c>
      <c r="V61" s="5">
        <f t="shared" si="8"/>
        <v>0</v>
      </c>
      <c r="X61" s="5">
        <f ca="1">(VLOOKUP(D61,'SPC background (hide)'!$AG$2:$AN$54,8,0)/IF(Summary!$C$8&lt;&gt;"Patients",1,$I$9))*(1-$I$4)*(1-$I$5+($I$6*$I$7))</f>
        <v>12.046153846153846</v>
      </c>
    </row>
    <row r="62" spans="1:24" x14ac:dyDescent="0.25">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13.421118881118881</v>
      </c>
      <c r="U62" s="5">
        <f ca="1">((N62-M62)/IF(Summary!$C$8&lt;&gt;"Patients",1,$I$9))</f>
        <v>2.7377622377622375</v>
      </c>
      <c r="V62" s="5">
        <f t="shared" si="8"/>
        <v>0</v>
      </c>
      <c r="X62" s="5">
        <f ca="1">(VLOOKUP(D62,'SPC background (hide)'!$AG$2:$AN$54,8,0)/IF(Summary!$C$8&lt;&gt;"Patients",1,$I$9))*(1-$I$4)*(1-$I$5+($I$6*$I$7))</f>
        <v>12.046153846153846</v>
      </c>
    </row>
    <row r="63" spans="1:24" x14ac:dyDescent="0.25">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13.421118881118881</v>
      </c>
      <c r="U63" s="5">
        <f ca="1">((N63-M63)/IF(Summary!$C$8&lt;&gt;"Patients",1,$I$9))</f>
        <v>2.7377622377622375</v>
      </c>
      <c r="V63" s="5">
        <f t="shared" si="8"/>
        <v>0</v>
      </c>
      <c r="X63" s="5">
        <f ca="1">(VLOOKUP(D63,'SPC background (hide)'!$AG$2:$AN$54,8,0)/IF(Summary!$C$8&lt;&gt;"Patients",1,$I$9))*(1-$I$4)*(1-$I$5+($I$6*$I$7))</f>
        <v>12.046153846153846</v>
      </c>
    </row>
    <row r="64" spans="1:24" x14ac:dyDescent="0.25">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13.421118881118881</v>
      </c>
      <c r="U64" s="5">
        <f ca="1">((N64-M64)/IF(Summary!$C$8&lt;&gt;"Patients",1,$I$9))</f>
        <v>2.7377622377622375</v>
      </c>
      <c r="V64" s="5">
        <f t="shared" si="8"/>
        <v>0</v>
      </c>
      <c r="X64" s="5">
        <f ca="1">(VLOOKUP(D64,'SPC background (hide)'!$AG$2:$AN$54,8,0)/IF(Summary!$C$8&lt;&gt;"Patients",1,$I$9))*(1-$I$4)*(1-$I$5+($I$6*$I$7))</f>
        <v>12.046153846153846</v>
      </c>
    </row>
    <row r="65" spans="1:24" x14ac:dyDescent="0.25">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13.421118881118881</v>
      </c>
      <c r="U65" s="5">
        <f ca="1">((N65-M65)/IF(Summary!$C$8&lt;&gt;"Patients",1,$I$9))</f>
        <v>2.7377622377622375</v>
      </c>
      <c r="V65" s="5">
        <f t="shared" si="8"/>
        <v>0</v>
      </c>
      <c r="X65" s="5">
        <f ca="1">(VLOOKUP(D65,'SPC background (hide)'!$AG$2:$AN$54,8,0)/IF(Summary!$C$8&lt;&gt;"Patients",1,$I$9))*(1-$I$4)*(1-$I$5+($I$6*$I$7))</f>
        <v>12.046153846153846</v>
      </c>
    </row>
    <row r="66" spans="1:24" x14ac:dyDescent="0.25">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13.421118881118881</v>
      </c>
      <c r="U66" s="5">
        <f ca="1">((N66-M66)/IF(Summary!$C$8&lt;&gt;"Patients",1,$I$9))</f>
        <v>2.7377622377622375</v>
      </c>
      <c r="V66" s="5">
        <f t="shared" si="8"/>
        <v>0</v>
      </c>
      <c r="X66" s="5">
        <f ca="1">(VLOOKUP(D66,'SPC background (hide)'!$AG$2:$AN$54,8,0)/IF(Summary!$C$8&lt;&gt;"Patients",1,$I$9))*(1-$I$4)*(1-$I$5+($I$6*$I$7))</f>
        <v>12.046153846153846</v>
      </c>
    </row>
    <row r="67" spans="1:24" x14ac:dyDescent="0.25">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13.038461538461538</v>
      </c>
      <c r="J67" s="5">
        <f ca="1">HLOOKUP(D67,'Capacity calculation (hide)'!$BK$110:$DK$111,2,0)</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13.421118881118881</v>
      </c>
      <c r="U67" s="5">
        <f ca="1">((N67-M67)/IF(Summary!$C$8&lt;&gt;"Patients",1,$I$9))</f>
        <v>2.7377622377622375</v>
      </c>
      <c r="V67" s="5">
        <f t="shared" ref="V67" si="18">SUM(G67:H67)</f>
        <v>0</v>
      </c>
      <c r="W67" s="67"/>
      <c r="X67" s="5">
        <f ca="1">(VLOOKUP(D67,'SPC background (hide)'!$AG$2:$AN$54,8,0)/IF(Summary!$C$8&lt;&gt;"Patients",1,$I$9))*(1-$I$4)*(1-$I$5+($I$6*$I$7))</f>
        <v>12.046153846153846</v>
      </c>
    </row>
    <row r="68" spans="1:24" s="67" customFormat="1" x14ac:dyDescent="0.25">
      <c r="X68" s="5"/>
    </row>
    <row r="69" spans="1:24" x14ac:dyDescent="0.25">
      <c r="X69" s="5"/>
    </row>
    <row r="70" spans="1:24" x14ac:dyDescent="0.25">
      <c r="D70" t="s">
        <v>290</v>
      </c>
      <c r="E70" s="5">
        <f ca="1">AVERAGE(E15:E67)</f>
        <v>551.5</v>
      </c>
      <c r="F70" s="5">
        <f ca="1">AVERAGE(F15:F67)</f>
        <v>664</v>
      </c>
      <c r="G70" s="5" t="str">
        <f>IF(Setup!$I$15="Yes",AVERAGE(G15:G67),"")</f>
        <v/>
      </c>
      <c r="H70" s="5" t="str">
        <f>IF(Setup!$I$13="Yes",AVERAGE(H15:H67),"")</f>
        <v/>
      </c>
      <c r="I70" s="5">
        <f ca="1">AVERAGE(I15:I67)</f>
        <v>13.038461538461545</v>
      </c>
      <c r="J70" s="5">
        <f ca="1">AVERAGE(J15:J67)</f>
        <v>2.1153846153846141</v>
      </c>
      <c r="K70" s="5">
        <f ca="1">AVERAGE(K15:K67)</f>
        <v>13.038461538461545</v>
      </c>
      <c r="L70" s="5">
        <f ca="1">AVERAGE(L15:L67)</f>
        <v>2.1153846153846141</v>
      </c>
      <c r="M70" s="104">
        <f ca="1">IF(Summary!B15=0,AVERAGE(M15:M67)/IF(Summary!$C$8&lt;&gt;"Patients",1,$I$9),AVERAGE('Planning (hide)'!C4:C55))</f>
        <v>13.42111888111887</v>
      </c>
      <c r="N70" s="104" cm="1">
        <f t="array" aca="1" ref="N70" ca="1">IF(Summary!B15=0,AVERAGE(N15:N67)/IF(Summary!$C$8&lt;&gt;"Patients",1,$I$9),AVERAGE('Planning (hide)'!C4:C55+'Planning (hide)'!D4:D55))</f>
        <v>16.158881118881101</v>
      </c>
      <c r="R70" s="5">
        <f ca="1">AVERAGE(R15:R67)</f>
        <v>13.038461538461545</v>
      </c>
      <c r="S70" s="5">
        <f ca="1">AVERAGE(S15:S67)</f>
        <v>2.1153846153846141</v>
      </c>
      <c r="V70" s="104">
        <f>IF(AND(Setup!$I$13="No",Setup!$I$15="No"),0,IF(H70&lt;&gt;"",H70,0)+IF(G70&lt;&gt;"",G70,0))</f>
        <v>0</v>
      </c>
      <c r="X70" s="5">
        <f ca="1">AVERAGE(X15:X67)</f>
        <v>12.046153846153853</v>
      </c>
    </row>
    <row r="71" spans="1:24" x14ac:dyDescent="0.25">
      <c r="E71" s="60"/>
      <c r="I71" t="s">
        <v>308</v>
      </c>
      <c r="K71" s="104">
        <f ca="1">(K70)/IF(Summary!$C$8&lt;&gt;"Patients",1,$I$9)</f>
        <v>0.35255513717052195</v>
      </c>
      <c r="L71" s="104">
        <f ca="1">(L70)/IF(Summary!$C$8&lt;&gt;"Patients",1,$I$9)</f>
        <v>5.7199211045364851E-2</v>
      </c>
      <c r="M71" s="5"/>
      <c r="N71" s="5">
        <f ca="1">N70-M70</f>
        <v>2.7377622377622313</v>
      </c>
      <c r="R71" s="5">
        <f ca="1">SUM(R15:R67)</f>
        <v>691.03846153846189</v>
      </c>
      <c r="S71" s="5">
        <f ca="1">SUM(S15:S67)</f>
        <v>112.11538461538454</v>
      </c>
      <c r="V71" s="5">
        <f>SUM(V15:V67)</f>
        <v>0</v>
      </c>
      <c r="X71" s="5">
        <f ca="1">SUM(X15:X67)</f>
        <v>638.44615384615417</v>
      </c>
    </row>
    <row r="72" spans="1:24" x14ac:dyDescent="0.25">
      <c r="E72" s="5"/>
      <c r="F72" s="5"/>
      <c r="J72" s="5"/>
      <c r="K72" s="5"/>
      <c r="L72" s="5"/>
      <c r="M72" s="5"/>
      <c r="N72" s="5"/>
      <c r="X72" s="5">
        <f ca="1">AVERAGE(X15:X67)</f>
        <v>12.046153846153853</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1">
        <f>Summary!$D$42</f>
        <v>0</v>
      </c>
      <c r="H3" t="s">
        <v>153</v>
      </c>
      <c r="I3" t="s">
        <v>148</v>
      </c>
      <c r="J3" t="s">
        <v>149</v>
      </c>
      <c r="K3" t="s">
        <v>156</v>
      </c>
      <c r="L3" t="s">
        <v>1126</v>
      </c>
      <c r="M3" t="s">
        <v>531</v>
      </c>
      <c r="N3" t="s">
        <v>1127</v>
      </c>
    </row>
    <row r="4" spans="1:29" x14ac:dyDescent="0.25">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f ca="1">(VLOOKUP(K13,'Summary Calculations (hide)'!$D$15:$L$67,8,0)+VLOOKUP(K13,'Summary Calculations (hide)'!$D$15:$L$67,9,0))*IF(Summary!$C$8="Patients",'Summary Calculations (hide)'!$I$9,1)</f>
        <v>560.43103448275861</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5">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560.43103448275861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5">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560.43103448275861</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5">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560.43103448275861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5">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560.43103448275861</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5">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560.43103448275861</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5">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560.43103448275861</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5">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560.43103448275861</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5">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560.43103448275861</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5">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560.43103448275861</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5">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560.43103448275861</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5">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560.43103448275861</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5">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560.43103448275861</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x14ac:dyDescent="0.25">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560.43103448275861</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5">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560.43103448275861</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5">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560.43103448275861</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5">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560.43103448275861</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5">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560.43103448275861</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5">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560.43103448275861</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5">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560.43103448275861</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5">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560.43103448275861</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5">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560.43103448275861</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5">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560.43103448275861</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5">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560.43103448275861</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5">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560.43103448275861</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5">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560.43103448275861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5">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560.43103448275861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5">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560.43103448275861</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5">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560.43103448275861</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5">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560.43103448275861</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5">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560.43103448275861</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5">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560.43103448275861</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5">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560.43103448275861</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5">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560.43103448275861</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5">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560.43103448275861</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5">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560.43103448275861</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5">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560.43103448275861</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5">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560.43103448275861</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5">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560.43103448275861</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5">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560.43103448275861</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5">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560.43103448275861</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5">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560.43103448275861</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5">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560.43103448275861</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5">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560.43103448275861</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5">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560.43103448275861</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5">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560.43103448275861</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5">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560.43103448275861</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5">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560.43103448275861</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5">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560.43103448275861</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5">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560.43103448275861</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5">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560.43103448275861</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5">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560.43103448275861</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7968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6">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6">
        <f ca="1">'Summary Calculations (hide)'!X70</f>
        <v>12.046153846153853</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2"/>
      <c r="C13" s="346" t="str">
        <f>IF(C11&lt;&gt;"","New value","")</f>
        <v>New value</v>
      </c>
      <c r="D13" s="346">
        <f ca="1">IF(OR(C11="",C11=1),"",D12*(1+C11))</f>
        <v>12.648461538461547</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7"/>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7"/>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7"/>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7"/>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6" t="s">
        <v>512</v>
      </c>
      <c r="C22" s="490" t="s">
        <v>511</v>
      </c>
      <c r="D22" s="490"/>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8"/>
      <c r="C23" s="491"/>
      <c r="D23" s="49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9"/>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53340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796875" style="67" bestFit="1" customWidth="1"/>
    <col min="2" max="14" width="8.69921875" style="67"/>
    <col min="15" max="15" width="22" style="67" customWidth="1"/>
    <col min="16" max="16384" width="8.69921875" style="67"/>
  </cols>
  <sheetData>
    <row r="1" spans="1:10" x14ac:dyDescent="0.25">
      <c r="A1" s="67" t="s">
        <v>1266</v>
      </c>
      <c r="B1" s="67">
        <v>2</v>
      </c>
    </row>
    <row r="3" spans="1:10" x14ac:dyDescent="0.25">
      <c r="A3" s="67" t="s">
        <v>1245</v>
      </c>
      <c r="B3" s="67" t="s">
        <v>14</v>
      </c>
      <c r="C3" s="67" t="s">
        <v>1246</v>
      </c>
      <c r="D3" s="67" t="s">
        <v>1247</v>
      </c>
      <c r="E3" s="67" t="s">
        <v>529</v>
      </c>
      <c r="F3" s="67" t="s">
        <v>75</v>
      </c>
      <c r="G3" s="67" t="s">
        <v>1248</v>
      </c>
      <c r="H3" s="67" t="s">
        <v>99</v>
      </c>
      <c r="I3" s="67" t="s">
        <v>1249</v>
      </c>
      <c r="J3" s="67" t="s">
        <v>391</v>
      </c>
    </row>
    <row r="4" spans="1:10" x14ac:dyDescent="0.25">
      <c r="A4" t="s">
        <v>1267</v>
      </c>
      <c r="B4" t="s">
        <v>19</v>
      </c>
      <c r="C4" s="317">
        <v>44039</v>
      </c>
      <c r="D4" t="s">
        <v>20</v>
      </c>
      <c r="E4">
        <v>0.2</v>
      </c>
      <c r="F4">
        <v>0.05</v>
      </c>
      <c r="G4">
        <v>0.12</v>
      </c>
      <c r="H4">
        <v>0.05</v>
      </c>
      <c r="I4">
        <v>0.25</v>
      </c>
      <c r="J4" t="s">
        <v>22</v>
      </c>
    </row>
    <row r="5" spans="1:10" x14ac:dyDescent="0.25">
      <c r="A5" s="67" t="s">
        <v>1294</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3.8" x14ac:dyDescent="0.25"/>
  <cols>
    <col min="1" max="1" width="16.796875" bestFit="1" customWidth="1"/>
    <col min="2" max="2" width="9.796875" bestFit="1" customWidth="1"/>
    <col min="3" max="4" width="9" hidden="1" customWidth="1"/>
    <col min="7" max="7" width="9" style="67"/>
    <col min="8" max="8" width="9" style="67" hidden="1" customWidth="1"/>
    <col min="30" max="30" width="11.796875" bestFit="1" customWidth="1"/>
    <col min="31" max="31" width="10.7968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44186</v>
      </c>
      <c r="B4">
        <f ca="1">WEEKNUM(A4,21)</f>
        <v>52</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13.421118881118881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2.7377622377622375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13.421118881118881</v>
      </c>
      <c r="AE4" s="67">
        <f ca="1">VLOOKUP($B4,'Summary Calculations (hide)'!$D$15:$U$67,18,0)</f>
        <v>2.7377622377622375</v>
      </c>
    </row>
    <row r="5" spans="1:31" x14ac:dyDescent="0.25">
      <c r="A5" s="87">
        <f ca="1">A4+7</f>
        <v>44193</v>
      </c>
      <c r="B5" s="67">
        <f t="shared" ref="B5:B55" ca="1" si="0">WEEKNUM(A5,21)</f>
        <v>53</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13.421118881118881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2.7377622377622375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13.421118881118881</v>
      </c>
      <c r="AE5" s="67">
        <f ca="1">VLOOKUP($B5,'Summary Calculations (hide)'!$D$15:$U$67,18,0)</f>
        <v>2.7377622377622375</v>
      </c>
    </row>
    <row r="6" spans="1:31" x14ac:dyDescent="0.25">
      <c r="A6" s="87">
        <f t="shared" ref="A6:A55" ca="1" si="3">A5+7</f>
        <v>44200</v>
      </c>
      <c r="B6" s="67">
        <f t="shared" ca="1" si="0"/>
        <v>1</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13.421118881118881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2.7377622377622375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13.421118881118881</v>
      </c>
      <c r="AE6" s="67">
        <f ca="1">VLOOKUP($B6,'Summary Calculations (hide)'!$D$15:$U$67,18,0)</f>
        <v>2.7377622377622375</v>
      </c>
    </row>
    <row r="7" spans="1:31" x14ac:dyDescent="0.25">
      <c r="A7" s="87">
        <f t="shared" ca="1" si="3"/>
        <v>44207</v>
      </c>
      <c r="B7" s="67">
        <f t="shared" ca="1" si="0"/>
        <v>2</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13.421118881118881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2.7377622377622375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13.421118881118881</v>
      </c>
      <c r="AE7" s="67">
        <f ca="1">VLOOKUP($B7,'Summary Calculations (hide)'!$D$15:$U$67,18,0)</f>
        <v>2.7377622377622375</v>
      </c>
    </row>
    <row r="8" spans="1:31" x14ac:dyDescent="0.25">
      <c r="A8" s="87">
        <f t="shared" ca="1" si="3"/>
        <v>44214</v>
      </c>
      <c r="B8" s="67">
        <f t="shared" ca="1" si="0"/>
        <v>3</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13.421118881118881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2.7377622377622375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13.421118881118881</v>
      </c>
      <c r="AE8" s="67">
        <f ca="1">VLOOKUP($B8,'Summary Calculations (hide)'!$D$15:$U$67,18,0)</f>
        <v>2.7377622377622375</v>
      </c>
    </row>
    <row r="9" spans="1:31" x14ac:dyDescent="0.25">
      <c r="A9" s="87">
        <f t="shared" ca="1" si="3"/>
        <v>44221</v>
      </c>
      <c r="B9" s="67">
        <f t="shared" ca="1" si="0"/>
        <v>4</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13.421118881118881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2.7377622377622375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13.421118881118881</v>
      </c>
      <c r="AE9" s="67">
        <f ca="1">VLOOKUP($B9,'Summary Calculations (hide)'!$D$15:$U$67,18,0)</f>
        <v>2.7377622377622375</v>
      </c>
    </row>
    <row r="10" spans="1:31" x14ac:dyDescent="0.25">
      <c r="A10" s="87">
        <f t="shared" ca="1" si="3"/>
        <v>44228</v>
      </c>
      <c r="B10" s="67">
        <f t="shared" ca="1" si="0"/>
        <v>5</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13.421118881118881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2.7377622377622375</v>
      </c>
      <c r="E10" s="5">
        <f ca="1">VLOOKUP($B10,'Summary Calculations (hide)'!$D$15:$U$67,15,0)</f>
        <v>13.038461538461538</v>
      </c>
      <c r="F10" s="5">
        <f ca="1">VLOOKUP($B10,'Summary Calculations (hide)'!$D$15:$U$67,16,0)</f>
        <v>2.1153846153846154</v>
      </c>
      <c r="G10" s="5">
        <f t="shared" ca="1" si="1"/>
        <v>15.153846153846153</v>
      </c>
      <c r="H10" s="5">
        <f t="shared" ca="1" si="2"/>
        <v>117.15384615384616</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13.421118881118881</v>
      </c>
      <c r="AE10" s="67">
        <f ca="1">VLOOKUP($B10,'Summary Calculations (hide)'!$D$15:$U$67,18,0)</f>
        <v>2.7377622377622375</v>
      </c>
    </row>
    <row r="11" spans="1:31" x14ac:dyDescent="0.25">
      <c r="A11" s="87">
        <f t="shared" ca="1" si="3"/>
        <v>44235</v>
      </c>
      <c r="B11" s="67">
        <f t="shared" ca="1" si="0"/>
        <v>6</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13.421118881118881</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2.7377622377622375</v>
      </c>
      <c r="E11" s="5">
        <f ca="1">VLOOKUP($B11,'Summary Calculations (hide)'!$D$15:$U$67,15,0)</f>
        <v>13.038461538461538</v>
      </c>
      <c r="F11" s="5">
        <f ca="1">VLOOKUP($B11,'Summary Calculations (hide)'!$D$15:$U$67,16,0)</f>
        <v>2.1153846153846154</v>
      </c>
      <c r="G11" s="5">
        <f t="shared" ca="1" si="1"/>
        <v>15.153846153846153</v>
      </c>
      <c r="H11" s="5">
        <f t="shared" ca="1" si="2"/>
        <v>15.153846153846153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13.421118881118881</v>
      </c>
      <c r="AE11" s="67">
        <f ca="1">VLOOKUP($B11,'Summary Calculations (hide)'!$D$15:$U$67,18,0)</f>
        <v>2.7377622377622375</v>
      </c>
    </row>
    <row r="12" spans="1:31" x14ac:dyDescent="0.25">
      <c r="A12" s="87">
        <f t="shared" ca="1" si="3"/>
        <v>44242</v>
      </c>
      <c r="B12" s="67">
        <f t="shared" ca="1" si="0"/>
        <v>7</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13.421118881118881</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2.7377622377622375</v>
      </c>
      <c r="E12" s="5">
        <f ca="1">VLOOKUP($B12,'Summary Calculations (hide)'!$D$15:$U$67,15,0)</f>
        <v>13.038461538461538</v>
      </c>
      <c r="F12" s="5">
        <f ca="1">VLOOKUP($B12,'Summary Calculations (hide)'!$D$15:$U$67,16,0)</f>
        <v>2.1153846153846154</v>
      </c>
      <c r="G12" s="5">
        <f t="shared" ca="1" si="1"/>
        <v>15.153846153846153</v>
      </c>
      <c r="H12" s="5">
        <f t="shared" ca="1" si="2"/>
        <v>117.15384615384616</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13.421118881118881</v>
      </c>
      <c r="AE12" s="67">
        <f ca="1">VLOOKUP($B12,'Summary Calculations (hide)'!$D$15:$U$67,18,0)</f>
        <v>2.7377622377622375</v>
      </c>
    </row>
    <row r="13" spans="1:31" x14ac:dyDescent="0.25">
      <c r="A13" s="87">
        <f t="shared" ca="1" si="3"/>
        <v>44249</v>
      </c>
      <c r="B13" s="67">
        <f t="shared" ca="1" si="0"/>
        <v>8</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13.421118881118881</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2.7377622377622375</v>
      </c>
      <c r="E13" s="5">
        <f ca="1">VLOOKUP($B13,'Summary Calculations (hide)'!$D$15:$U$67,15,0)</f>
        <v>13.038461538461538</v>
      </c>
      <c r="F13" s="5">
        <f ca="1">VLOOKUP($B13,'Summary Calculations (hide)'!$D$15:$U$67,16,0)</f>
        <v>2.1153846153846154</v>
      </c>
      <c r="G13" s="5">
        <f t="shared" ca="1" si="1"/>
        <v>15.153846153846153</v>
      </c>
      <c r="H13" s="5">
        <f t="shared" ca="1" si="2"/>
        <v>100.15384615384616</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13.421118881118881</v>
      </c>
      <c r="AE13" s="67">
        <f ca="1">VLOOKUP($B13,'Summary Calculations (hide)'!$D$15:$U$67,18,0)</f>
        <v>2.7377622377622375</v>
      </c>
    </row>
    <row r="14" spans="1:31" x14ac:dyDescent="0.25">
      <c r="A14" s="87">
        <f t="shared" ca="1" si="3"/>
        <v>44256</v>
      </c>
      <c r="B14" s="67">
        <f t="shared" ca="1" si="0"/>
        <v>9</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13.421118881118881</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2.7377622377622375</v>
      </c>
      <c r="E14" s="5">
        <f ca="1">VLOOKUP($B14,'Summary Calculations (hide)'!$D$15:$U$67,15,0)</f>
        <v>13.038461538461538</v>
      </c>
      <c r="F14" s="5">
        <f ca="1">VLOOKUP($B14,'Summary Calculations (hide)'!$D$15:$U$67,16,0)</f>
        <v>2.1153846153846154</v>
      </c>
      <c r="G14" s="5">
        <f t="shared" ca="1" si="1"/>
        <v>15.153846153846153</v>
      </c>
      <c r="H14" s="5">
        <f t="shared" ca="1" si="2"/>
        <v>15.153846153846153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13.421118881118881</v>
      </c>
      <c r="AE14" s="67">
        <f ca="1">VLOOKUP($B14,'Summary Calculations (hide)'!$D$15:$U$67,18,0)</f>
        <v>2.7377622377622375</v>
      </c>
    </row>
    <row r="15" spans="1:31" x14ac:dyDescent="0.25">
      <c r="A15" s="87">
        <f t="shared" ca="1" si="3"/>
        <v>44263</v>
      </c>
      <c r="B15" s="67">
        <f t="shared" ca="1" si="0"/>
        <v>10</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13.421118881118881</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2.7377622377622375</v>
      </c>
      <c r="E15" s="5">
        <f ca="1">VLOOKUP($B15,'Summary Calculations (hide)'!$D$15:$U$67,15,0)</f>
        <v>13.038461538461538</v>
      </c>
      <c r="F15" s="5">
        <f ca="1">VLOOKUP($B15,'Summary Calculations (hide)'!$D$15:$U$67,16,0)</f>
        <v>2.1153846153846154</v>
      </c>
      <c r="G15" s="5">
        <f t="shared" ca="1" si="1"/>
        <v>15.153846153846153</v>
      </c>
      <c r="H15" s="5">
        <f t="shared" ca="1" si="2"/>
        <v>15.153846153846153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13.421118881118881</v>
      </c>
      <c r="AE15" s="67">
        <f ca="1">VLOOKUP($B15,'Summary Calculations (hide)'!$D$15:$U$67,18,0)</f>
        <v>2.7377622377622375</v>
      </c>
    </row>
    <row r="16" spans="1:31" x14ac:dyDescent="0.25">
      <c r="A16" s="87">
        <f t="shared" ca="1" si="3"/>
        <v>44270</v>
      </c>
      <c r="B16" s="67">
        <f t="shared" ca="1" si="0"/>
        <v>11</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13.421118881118881</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2.7377622377622375</v>
      </c>
      <c r="E16" s="5">
        <f ca="1">VLOOKUP($B16,'Summary Calculations (hide)'!$D$15:$U$67,15,0)</f>
        <v>13.038461538461538</v>
      </c>
      <c r="F16" s="5">
        <f ca="1">VLOOKUP($B16,'Summary Calculations (hide)'!$D$15:$U$67,16,0)</f>
        <v>2.1153846153846154</v>
      </c>
      <c r="G16" s="5">
        <f t="shared" ca="1" si="1"/>
        <v>15.153846153846153</v>
      </c>
      <c r="H16" s="5">
        <f t="shared" ca="1" si="2"/>
        <v>117.15384615384616</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13.421118881118881</v>
      </c>
      <c r="AE16" s="67">
        <f ca="1">VLOOKUP($B16,'Summary Calculations (hide)'!$D$15:$U$67,18,0)</f>
        <v>2.7377622377622375</v>
      </c>
    </row>
    <row r="17" spans="1:31" x14ac:dyDescent="0.25">
      <c r="A17" s="87">
        <f t="shared" ca="1" si="3"/>
        <v>44277</v>
      </c>
      <c r="B17" s="67">
        <f t="shared" ca="1" si="0"/>
        <v>12</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13.421118881118881</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2.7377622377622375</v>
      </c>
      <c r="E17" s="5">
        <f ca="1">VLOOKUP($B17,'Summary Calculations (hide)'!$D$15:$U$67,15,0)</f>
        <v>13.038461538461538</v>
      </c>
      <c r="F17" s="5">
        <f ca="1">VLOOKUP($B17,'Summary Calculations (hide)'!$D$15:$U$67,16,0)</f>
        <v>2.1153846153846154</v>
      </c>
      <c r="G17" s="5">
        <f t="shared" ca="1" si="1"/>
        <v>15.153846153846153</v>
      </c>
      <c r="H17" s="5">
        <f t="shared" ca="1" si="2"/>
        <v>15.153846153846153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13.421118881118881</v>
      </c>
      <c r="AE17" s="67">
        <f ca="1">VLOOKUP($B17,'Summary Calculations (hide)'!$D$15:$U$67,18,0)</f>
        <v>2.7377622377622375</v>
      </c>
    </row>
    <row r="18" spans="1:31" x14ac:dyDescent="0.25">
      <c r="A18" s="87">
        <f t="shared" ca="1" si="3"/>
        <v>44284</v>
      </c>
      <c r="B18" s="67">
        <f t="shared" ca="1" si="0"/>
        <v>13</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13.421118881118881</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2.7377622377622375</v>
      </c>
      <c r="E18" s="5">
        <f ca="1">VLOOKUP($B18,'Summary Calculations (hide)'!$D$15:$U$67,15,0)</f>
        <v>13.038461538461538</v>
      </c>
      <c r="F18" s="5">
        <f ca="1">VLOOKUP($B18,'Summary Calculations (hide)'!$D$15:$U$67,16,0)</f>
        <v>2.1153846153846154</v>
      </c>
      <c r="G18" s="5">
        <f t="shared" ca="1" si="1"/>
        <v>15.153846153846153</v>
      </c>
      <c r="H18" s="5">
        <f t="shared" ca="1" si="2"/>
        <v>15.153846153846153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13.421118881118881</v>
      </c>
      <c r="AE18" s="67">
        <f ca="1">VLOOKUP($B18,'Summary Calculations (hide)'!$D$15:$U$67,18,0)</f>
        <v>2.7377622377622375</v>
      </c>
    </row>
    <row r="19" spans="1:31" x14ac:dyDescent="0.25">
      <c r="A19" s="87">
        <f t="shared" ca="1" si="3"/>
        <v>44291</v>
      </c>
      <c r="B19" s="67">
        <f t="shared" ca="1" si="0"/>
        <v>14</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13.421118881118881</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2.7377622377622375</v>
      </c>
      <c r="E19" s="5">
        <f ca="1">VLOOKUP($B19,'Summary Calculations (hide)'!$D$15:$U$67,15,0)</f>
        <v>13.038461538461538</v>
      </c>
      <c r="F19" s="5">
        <f ca="1">VLOOKUP($B19,'Summary Calculations (hide)'!$D$15:$U$67,16,0)</f>
        <v>2.1153846153846154</v>
      </c>
      <c r="G19" s="5">
        <f t="shared" ca="1" si="1"/>
        <v>15.153846153846153</v>
      </c>
      <c r="H19" s="5">
        <f t="shared" ca="1" si="2"/>
        <v>100.15384615384616</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13.421118881118881</v>
      </c>
      <c r="AE19" s="67">
        <f ca="1">VLOOKUP($B19,'Summary Calculations (hide)'!$D$15:$U$67,18,0)</f>
        <v>2.7377622377622375</v>
      </c>
    </row>
    <row r="20" spans="1:31" x14ac:dyDescent="0.25">
      <c r="A20" s="87">
        <f t="shared" ca="1" si="3"/>
        <v>44298</v>
      </c>
      <c r="B20" s="67">
        <f t="shared" ca="1" si="0"/>
        <v>15</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13.421118881118881</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2.7377622377622375</v>
      </c>
      <c r="E20" s="5">
        <f ca="1">VLOOKUP($B20,'Summary Calculations (hide)'!$D$15:$U$67,15,0)</f>
        <v>13.038461538461538</v>
      </c>
      <c r="F20" s="5">
        <f ca="1">VLOOKUP($B20,'Summary Calculations (hide)'!$D$15:$U$67,16,0)</f>
        <v>2.1153846153846154</v>
      </c>
      <c r="G20" s="5">
        <f t="shared" ca="1" si="1"/>
        <v>15.153846153846153</v>
      </c>
      <c r="H20" s="5">
        <f t="shared" ca="1" si="2"/>
        <v>100.15384615384616</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13.421118881118881</v>
      </c>
      <c r="AE20" s="67">
        <f ca="1">VLOOKUP($B20,'Summary Calculations (hide)'!$D$15:$U$67,18,0)</f>
        <v>2.7377622377622375</v>
      </c>
    </row>
    <row r="21" spans="1:31" x14ac:dyDescent="0.25">
      <c r="A21" s="87">
        <f t="shared" ca="1" si="3"/>
        <v>44305</v>
      </c>
      <c r="B21" s="67">
        <f t="shared" ca="1" si="0"/>
        <v>16</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13.421118881118881</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2.7377622377622375</v>
      </c>
      <c r="E21" s="5">
        <f ca="1">VLOOKUP($B21,'Summary Calculations (hide)'!$D$15:$U$67,15,0)</f>
        <v>13.038461538461538</v>
      </c>
      <c r="F21" s="5">
        <f ca="1">VLOOKUP($B21,'Summary Calculations (hide)'!$D$15:$U$67,16,0)</f>
        <v>2.1153846153846154</v>
      </c>
      <c r="G21" s="5">
        <f t="shared" ca="1" si="1"/>
        <v>15.153846153846153</v>
      </c>
      <c r="H21" s="5">
        <f t="shared" ca="1" si="2"/>
        <v>100.15384615384616</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13.421118881118881</v>
      </c>
      <c r="AE21" s="67">
        <f ca="1">VLOOKUP($B21,'Summary Calculations (hide)'!$D$15:$U$67,18,0)</f>
        <v>2.7377622377622375</v>
      </c>
    </row>
    <row r="22" spans="1:31" x14ac:dyDescent="0.25">
      <c r="A22" s="87">
        <f t="shared" ca="1" si="3"/>
        <v>44312</v>
      </c>
      <c r="B22" s="67">
        <f t="shared" ca="1" si="0"/>
        <v>17</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13.421118881118881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2.7377622377622375</v>
      </c>
      <c r="E22" s="5">
        <f ca="1">VLOOKUP($B22,'Summary Calculations (hide)'!$D$15:$U$67,15,0)</f>
        <v>13.038461538461538</v>
      </c>
      <c r="F22" s="5">
        <f ca="1">VLOOKUP($B22,'Summary Calculations (hide)'!$D$15:$U$67,16,0)</f>
        <v>2.1153846153846154</v>
      </c>
      <c r="G22" s="5">
        <f t="shared" ca="1" si="1"/>
        <v>15.153846153846153</v>
      </c>
      <c r="H22" s="5">
        <f t="shared" ca="1" si="2"/>
        <v>100.15384615384616</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13.421118881118881</v>
      </c>
      <c r="AE22" s="67">
        <f ca="1">VLOOKUP($B22,'Summary Calculations (hide)'!$D$15:$U$67,18,0)</f>
        <v>2.7377622377622375</v>
      </c>
    </row>
    <row r="23" spans="1:31" x14ac:dyDescent="0.25">
      <c r="A23" s="87">
        <f t="shared" ca="1" si="3"/>
        <v>44319</v>
      </c>
      <c r="B23" s="67">
        <f t="shared" ca="1" si="0"/>
        <v>18</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13.421118881118881</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2.7377622377622375</v>
      </c>
      <c r="E23" s="5">
        <f ca="1">VLOOKUP($B23,'Summary Calculations (hide)'!$D$15:$U$67,15,0)</f>
        <v>13.038461538461538</v>
      </c>
      <c r="F23" s="5">
        <f ca="1">VLOOKUP($B23,'Summary Calculations (hide)'!$D$15:$U$67,16,0)</f>
        <v>2.1153846153846154</v>
      </c>
      <c r="G23" s="5">
        <f t="shared" ca="1" si="1"/>
        <v>15.153846153846153</v>
      </c>
      <c r="H23" s="5">
        <f t="shared" ca="1" si="2"/>
        <v>15.153846153846153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13.421118881118881</v>
      </c>
      <c r="AE23" s="67">
        <f ca="1">VLOOKUP($B23,'Summary Calculations (hide)'!$D$15:$U$67,18,0)</f>
        <v>2.7377622377622375</v>
      </c>
    </row>
    <row r="24" spans="1:31" x14ac:dyDescent="0.25">
      <c r="A24" s="87">
        <f t="shared" ca="1" si="3"/>
        <v>44326</v>
      </c>
      <c r="B24" s="67">
        <f t="shared" ca="1" si="0"/>
        <v>19</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13.421118881118881</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2.7377622377622375</v>
      </c>
      <c r="E24" s="5">
        <f ca="1">VLOOKUP($B24,'Summary Calculations (hide)'!$D$15:$U$67,15,0)</f>
        <v>13.038461538461538</v>
      </c>
      <c r="F24" s="5">
        <f ca="1">VLOOKUP($B24,'Summary Calculations (hide)'!$D$15:$U$67,16,0)</f>
        <v>2.1153846153846154</v>
      </c>
      <c r="G24" s="5">
        <f t="shared" ca="1" si="1"/>
        <v>15.153846153846153</v>
      </c>
      <c r="H24" s="5">
        <f t="shared" ca="1" si="2"/>
        <v>117.15384615384616</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13.421118881118881</v>
      </c>
      <c r="AE24" s="67">
        <f ca="1">VLOOKUP($B24,'Summary Calculations (hide)'!$D$15:$U$67,18,0)</f>
        <v>2.7377622377622375</v>
      </c>
    </row>
    <row r="25" spans="1:31" x14ac:dyDescent="0.25">
      <c r="A25" s="87">
        <f t="shared" ca="1" si="3"/>
        <v>44333</v>
      </c>
      <c r="B25" s="67">
        <f t="shared" ca="1" si="0"/>
        <v>20</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13.421118881118881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2.7377622377622375</v>
      </c>
      <c r="E25" s="5">
        <f ca="1">VLOOKUP($B25,'Summary Calculations (hide)'!$D$15:$U$67,15,0)</f>
        <v>13.038461538461538</v>
      </c>
      <c r="F25" s="5">
        <f ca="1">VLOOKUP($B25,'Summary Calculations (hide)'!$D$15:$U$67,16,0)</f>
        <v>2.1153846153846154</v>
      </c>
      <c r="G25" s="5">
        <f t="shared" ca="1" si="1"/>
        <v>15.153846153846153</v>
      </c>
      <c r="H25" s="5">
        <f t="shared" ca="1" si="2"/>
        <v>117.15384615384616</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13.421118881118881</v>
      </c>
      <c r="AE25" s="67">
        <f ca="1">VLOOKUP($B25,'Summary Calculations (hide)'!$D$15:$U$67,18,0)</f>
        <v>2.7377622377622375</v>
      </c>
    </row>
    <row r="26" spans="1:31" x14ac:dyDescent="0.25">
      <c r="A26" s="87">
        <f t="shared" ca="1" si="3"/>
        <v>44340</v>
      </c>
      <c r="B26" s="67">
        <f t="shared" ca="1" si="0"/>
        <v>21</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13.421118881118881</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2.7377622377622375</v>
      </c>
      <c r="E26" s="5">
        <f ca="1">VLOOKUP($B26,'Summary Calculations (hide)'!$D$15:$U$67,15,0)</f>
        <v>13.038461538461538</v>
      </c>
      <c r="F26" s="5">
        <f ca="1">VLOOKUP($B26,'Summary Calculations (hide)'!$D$15:$U$67,16,0)</f>
        <v>2.1153846153846154</v>
      </c>
      <c r="G26" s="5">
        <f t="shared" ca="1" si="1"/>
        <v>15.153846153846153</v>
      </c>
      <c r="H26" s="5">
        <f t="shared" ca="1" si="2"/>
        <v>15.153846153846153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13.421118881118881</v>
      </c>
      <c r="AE26" s="67">
        <f ca="1">VLOOKUP($B26,'Summary Calculations (hide)'!$D$15:$U$67,18,0)</f>
        <v>2.7377622377622375</v>
      </c>
    </row>
    <row r="27" spans="1:31" x14ac:dyDescent="0.25">
      <c r="A27" s="87">
        <f t="shared" ca="1" si="3"/>
        <v>44347</v>
      </c>
      <c r="B27" s="67">
        <f t="shared" ca="1" si="0"/>
        <v>22</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13.421118881118881</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2.7377622377622375</v>
      </c>
      <c r="E27" s="5">
        <f ca="1">VLOOKUP($B27,'Summary Calculations (hide)'!$D$15:$U$67,15,0)</f>
        <v>13.038461538461538</v>
      </c>
      <c r="F27" s="5">
        <f ca="1">VLOOKUP($B27,'Summary Calculations (hide)'!$D$15:$U$67,16,0)</f>
        <v>2.1153846153846154</v>
      </c>
      <c r="G27" s="5">
        <f t="shared" ca="1" si="1"/>
        <v>15.153846153846153</v>
      </c>
      <c r="H27" s="5">
        <f t="shared" ca="1" si="2"/>
        <v>15.153846153846153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13.421118881118881</v>
      </c>
      <c r="AE27" s="67">
        <f ca="1">VLOOKUP($B27,'Summary Calculations (hide)'!$D$15:$U$67,18,0)</f>
        <v>2.7377622377622375</v>
      </c>
    </row>
    <row r="28" spans="1:31" x14ac:dyDescent="0.25">
      <c r="A28" s="87">
        <f t="shared" ca="1" si="3"/>
        <v>44354</v>
      </c>
      <c r="B28" s="67">
        <f t="shared" ca="1" si="0"/>
        <v>23</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13.421118881118881</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2.7377622377622375</v>
      </c>
      <c r="E28" s="5">
        <f ca="1">VLOOKUP($B28,'Summary Calculations (hide)'!$D$15:$U$67,15,0)</f>
        <v>13.038461538461538</v>
      </c>
      <c r="F28" s="5">
        <f ca="1">VLOOKUP($B28,'Summary Calculations (hide)'!$D$15:$U$67,16,0)</f>
        <v>2.1153846153846154</v>
      </c>
      <c r="G28" s="5">
        <f t="shared" ca="1" si="1"/>
        <v>15.153846153846153</v>
      </c>
      <c r="H28" s="5">
        <f t="shared" ca="1" si="2"/>
        <v>15.153846153846153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13.421118881118881</v>
      </c>
      <c r="AE28" s="67">
        <f ca="1">VLOOKUP($B28,'Summary Calculations (hide)'!$D$15:$U$67,18,0)</f>
        <v>2.7377622377622375</v>
      </c>
    </row>
    <row r="29" spans="1:31" x14ac:dyDescent="0.25">
      <c r="A29" s="87">
        <f t="shared" ca="1" si="3"/>
        <v>44361</v>
      </c>
      <c r="B29" s="67">
        <f t="shared" ca="1" si="0"/>
        <v>24</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13.421118881118881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2.7377622377622375</v>
      </c>
      <c r="E29" s="5">
        <f ca="1">VLOOKUP($B29,'Summary Calculations (hide)'!$D$15:$U$67,15,0)</f>
        <v>13.038461538461538</v>
      </c>
      <c r="F29" s="5">
        <f ca="1">VLOOKUP($B29,'Summary Calculations (hide)'!$D$15:$U$67,16,0)</f>
        <v>2.1153846153846154</v>
      </c>
      <c r="G29" s="5">
        <f t="shared" ca="1" si="1"/>
        <v>15.153846153846153</v>
      </c>
      <c r="H29" s="5">
        <f t="shared" ca="1" si="2"/>
        <v>15.153846153846153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13.421118881118881</v>
      </c>
      <c r="AE29" s="67">
        <f ca="1">VLOOKUP($B29,'Summary Calculations (hide)'!$D$15:$U$67,18,0)</f>
        <v>2.7377622377622375</v>
      </c>
    </row>
    <row r="30" spans="1:31" x14ac:dyDescent="0.25">
      <c r="A30" s="87">
        <f t="shared" ca="1" si="3"/>
        <v>44368</v>
      </c>
      <c r="B30" s="67">
        <f t="shared" ca="1" si="0"/>
        <v>25</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13.421118881118881</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2.7377622377622375</v>
      </c>
      <c r="E30" s="5">
        <f ca="1">VLOOKUP($B30,'Summary Calculations (hide)'!$D$15:$U$67,15,0)</f>
        <v>13.038461538461538</v>
      </c>
      <c r="F30" s="5">
        <f ca="1">VLOOKUP($B30,'Summary Calculations (hide)'!$D$15:$U$67,16,0)</f>
        <v>2.1153846153846154</v>
      </c>
      <c r="G30" s="5">
        <f t="shared" ca="1" si="1"/>
        <v>15.153846153846153</v>
      </c>
      <c r="H30" s="5">
        <f t="shared" ca="1" si="2"/>
        <v>15.153846153846153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13.421118881118881</v>
      </c>
      <c r="AE30" s="67">
        <f ca="1">VLOOKUP($B30,'Summary Calculations (hide)'!$D$15:$U$67,18,0)</f>
        <v>2.7377622377622375</v>
      </c>
    </row>
    <row r="31" spans="1:31" x14ac:dyDescent="0.25">
      <c r="A31" s="87">
        <f t="shared" ca="1" si="3"/>
        <v>44375</v>
      </c>
      <c r="B31" s="67">
        <f t="shared" ca="1" si="0"/>
        <v>26</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13.421118881118881</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2.7377622377622375</v>
      </c>
      <c r="E31" s="5">
        <f ca="1">VLOOKUP($B31,'Summary Calculations (hide)'!$D$15:$U$67,15,0)</f>
        <v>13.038461538461538</v>
      </c>
      <c r="F31" s="5">
        <f ca="1">VLOOKUP($B31,'Summary Calculations (hide)'!$D$15:$U$67,16,0)</f>
        <v>2.1153846153846154</v>
      </c>
      <c r="G31" s="5">
        <f t="shared" ca="1" si="1"/>
        <v>15.153846153846153</v>
      </c>
      <c r="H31" s="5">
        <f t="shared" ca="1" si="2"/>
        <v>15.153846153846153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13.421118881118881</v>
      </c>
      <c r="AE31" s="67">
        <f ca="1">VLOOKUP($B31,'Summary Calculations (hide)'!$D$15:$U$67,18,0)</f>
        <v>2.7377622377622375</v>
      </c>
    </row>
    <row r="32" spans="1:31" x14ac:dyDescent="0.25">
      <c r="A32" s="87">
        <f t="shared" ca="1" si="3"/>
        <v>44382</v>
      </c>
      <c r="B32" s="67">
        <f t="shared" ca="1" si="0"/>
        <v>27</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13.421118881118881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2.7377622377622375</v>
      </c>
      <c r="E32" s="5">
        <f ca="1">VLOOKUP($B32,'Summary Calculations (hide)'!$D$15:$U$67,15,0)</f>
        <v>13.038461538461538</v>
      </c>
      <c r="F32" s="5">
        <f ca="1">VLOOKUP($B32,'Summary Calculations (hide)'!$D$15:$U$67,16,0)</f>
        <v>2.1153846153846154</v>
      </c>
      <c r="G32" s="5">
        <f t="shared" ca="1" si="1"/>
        <v>15.153846153846153</v>
      </c>
      <c r="H32" s="5">
        <f t="shared" ca="1" si="2"/>
        <v>15.153846153846153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13.421118881118881</v>
      </c>
      <c r="AE32" s="67">
        <f ca="1">VLOOKUP($B32,'Summary Calculations (hide)'!$D$15:$U$67,18,0)</f>
        <v>2.7377622377622375</v>
      </c>
    </row>
    <row r="33" spans="1:31" x14ac:dyDescent="0.25">
      <c r="A33" s="87">
        <f t="shared" ca="1" si="3"/>
        <v>44389</v>
      </c>
      <c r="B33" s="67">
        <f t="shared" ca="1" si="0"/>
        <v>28</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13.421118881118881</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2.7377622377622375</v>
      </c>
      <c r="E33" s="5">
        <f ca="1">VLOOKUP($B33,'Summary Calculations (hide)'!$D$15:$U$67,15,0)</f>
        <v>13.038461538461538</v>
      </c>
      <c r="F33" s="5">
        <f ca="1">VLOOKUP($B33,'Summary Calculations (hide)'!$D$15:$U$67,16,0)</f>
        <v>2.1153846153846154</v>
      </c>
      <c r="G33" s="5">
        <f t="shared" ca="1" si="1"/>
        <v>15.153846153846153</v>
      </c>
      <c r="H33" s="5">
        <f t="shared" ca="1" si="2"/>
        <v>15.153846153846153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13.421118881118881</v>
      </c>
      <c r="AE33" s="67">
        <f ca="1">VLOOKUP($B33,'Summary Calculations (hide)'!$D$15:$U$67,18,0)</f>
        <v>2.7377622377622375</v>
      </c>
    </row>
    <row r="34" spans="1:31" x14ac:dyDescent="0.25">
      <c r="A34" s="87">
        <f t="shared" ca="1" si="3"/>
        <v>44396</v>
      </c>
      <c r="B34" s="67">
        <f t="shared" ca="1" si="0"/>
        <v>29</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13.421118881118881</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2.7377622377622375</v>
      </c>
      <c r="E34" s="5">
        <f ca="1">VLOOKUP($B34,'Summary Calculations (hide)'!$D$15:$U$67,15,0)</f>
        <v>13.038461538461538</v>
      </c>
      <c r="F34" s="5">
        <f ca="1">VLOOKUP($B34,'Summary Calculations (hide)'!$D$15:$U$67,16,0)</f>
        <v>2.1153846153846154</v>
      </c>
      <c r="G34" s="5">
        <f t="shared" ca="1" si="1"/>
        <v>15.153846153846153</v>
      </c>
      <c r="H34" s="5">
        <f t="shared" ca="1" si="2"/>
        <v>15.153846153846153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13.421118881118881</v>
      </c>
      <c r="AE34" s="67">
        <f ca="1">VLOOKUP($B34,'Summary Calculations (hide)'!$D$15:$U$67,18,0)</f>
        <v>2.7377622377622375</v>
      </c>
    </row>
    <row r="35" spans="1:31" x14ac:dyDescent="0.25">
      <c r="A35" s="87">
        <f t="shared" ca="1" si="3"/>
        <v>44403</v>
      </c>
      <c r="B35" s="67">
        <f t="shared" ca="1" si="0"/>
        <v>30</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13.421118881118881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2.7377622377622375</v>
      </c>
      <c r="E35" s="5">
        <f ca="1">VLOOKUP($B35,'Summary Calculations (hide)'!$D$15:$U$67,15,0)</f>
        <v>13.038461538461538</v>
      </c>
      <c r="F35" s="5">
        <f ca="1">VLOOKUP($B35,'Summary Calculations (hide)'!$D$15:$U$67,16,0)</f>
        <v>2.1153846153846154</v>
      </c>
      <c r="G35" s="5">
        <f t="shared" ca="1" si="1"/>
        <v>15.153846153846153</v>
      </c>
      <c r="H35" s="5">
        <f t="shared" ca="1" si="2"/>
        <v>15.153846153846153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13.421118881118881</v>
      </c>
      <c r="AE35" s="67">
        <f ca="1">VLOOKUP($B35,'Summary Calculations (hide)'!$D$15:$U$67,18,0)</f>
        <v>2.7377622377622375</v>
      </c>
    </row>
    <row r="36" spans="1:31" x14ac:dyDescent="0.25">
      <c r="A36" s="87">
        <f t="shared" ca="1" si="3"/>
        <v>44410</v>
      </c>
      <c r="B36" s="67">
        <f t="shared" ca="1" si="0"/>
        <v>31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13.421118881118881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2.7377622377622375</v>
      </c>
      <c r="E36" s="5">
        <f ca="1">VLOOKUP($B36,'Summary Calculations (hide)'!$D$15:$U$67,15,0)</f>
        <v>13.038461538461538</v>
      </c>
      <c r="F36" s="5">
        <f ca="1">VLOOKUP($B36,'Summary Calculations (hide)'!$D$15:$U$67,16,0)</f>
        <v>2.1153846153846154</v>
      </c>
      <c r="G36" s="5">
        <f t="shared" ca="1" si="1"/>
        <v>15.153846153846153</v>
      </c>
      <c r="H36" s="5">
        <f t="shared" ca="1" si="2"/>
        <v>15.153846153846153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13.421118881118881</v>
      </c>
      <c r="AE36" s="67">
        <f ca="1">VLOOKUP($B36,'Summary Calculations (hide)'!$D$15:$U$67,18,0)</f>
        <v>2.7377622377622375</v>
      </c>
    </row>
    <row r="37" spans="1:31" x14ac:dyDescent="0.25">
      <c r="A37" s="87">
        <f t="shared" ca="1" si="3"/>
        <v>44417</v>
      </c>
      <c r="B37" s="67">
        <f t="shared" ca="1" si="0"/>
        <v>32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13.421118881118881</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2.7377622377622375</v>
      </c>
      <c r="E37" s="5">
        <f ca="1">VLOOKUP($B37,'Summary Calculations (hide)'!$D$15:$U$67,15,0)</f>
        <v>13.038461538461538</v>
      </c>
      <c r="F37" s="5">
        <f ca="1">VLOOKUP($B37,'Summary Calculations (hide)'!$D$15:$U$67,16,0)</f>
        <v>2.1153846153846154</v>
      </c>
      <c r="G37" s="5">
        <f t="shared" ca="1" si="1"/>
        <v>15.153846153846153</v>
      </c>
      <c r="H37" s="5">
        <f t="shared" ca="1" si="2"/>
        <v>15.153846153846153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13.421118881118881</v>
      </c>
      <c r="AE37" s="67">
        <f ca="1">VLOOKUP($B37,'Summary Calculations (hide)'!$D$15:$U$67,18,0)</f>
        <v>2.7377622377622375</v>
      </c>
    </row>
    <row r="38" spans="1:31" x14ac:dyDescent="0.25">
      <c r="A38" s="87">
        <f t="shared" ca="1" si="3"/>
        <v>44424</v>
      </c>
      <c r="B38" s="67">
        <f t="shared" ca="1" si="0"/>
        <v>33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13.421118881118881</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2.7377622377622375</v>
      </c>
      <c r="E38" s="5">
        <f ca="1">VLOOKUP($B38,'Summary Calculations (hide)'!$D$15:$U$67,15,0)</f>
        <v>13.038461538461538</v>
      </c>
      <c r="F38" s="5">
        <f ca="1">VLOOKUP($B38,'Summary Calculations (hide)'!$D$15:$U$67,16,0)</f>
        <v>2.1153846153846154</v>
      </c>
      <c r="G38" s="5">
        <f t="shared" ca="1" si="1"/>
        <v>15.153846153846153</v>
      </c>
      <c r="H38" s="5">
        <f t="shared" ca="1" si="2"/>
        <v>15.153846153846153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13.421118881118881</v>
      </c>
      <c r="AE38" s="67">
        <f ca="1">VLOOKUP($B38,'Summary Calculations (hide)'!$D$15:$U$67,18,0)</f>
        <v>2.7377622377622375</v>
      </c>
    </row>
    <row r="39" spans="1:31" x14ac:dyDescent="0.25">
      <c r="A39" s="87">
        <f t="shared" ca="1" si="3"/>
        <v>44431</v>
      </c>
      <c r="B39" s="67">
        <f t="shared" ca="1" si="0"/>
        <v>34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13.421118881118881</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2.7377622377622375</v>
      </c>
      <c r="E39" s="5">
        <f ca="1">VLOOKUP($B39,'Summary Calculations (hide)'!$D$15:$U$67,15,0)</f>
        <v>13.038461538461538</v>
      </c>
      <c r="F39" s="5">
        <f ca="1">VLOOKUP($B39,'Summary Calculations (hide)'!$D$15:$U$67,16,0)</f>
        <v>2.1153846153846154</v>
      </c>
      <c r="G39" s="5">
        <f t="shared" ca="1" si="1"/>
        <v>15.153846153846153</v>
      </c>
      <c r="H39" s="5">
        <f t="shared" ca="1" si="2"/>
        <v>15.153846153846153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13.421118881118881</v>
      </c>
      <c r="AE39" s="67">
        <f ca="1">VLOOKUP($B39,'Summary Calculations (hide)'!$D$15:$U$67,18,0)</f>
        <v>2.7377622377622375</v>
      </c>
    </row>
    <row r="40" spans="1:31" x14ac:dyDescent="0.25">
      <c r="A40" s="87">
        <f t="shared" ca="1" si="3"/>
        <v>44438</v>
      </c>
      <c r="B40" s="67">
        <f t="shared" ca="1" si="0"/>
        <v>35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13.421118881118881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2.7377622377622375</v>
      </c>
      <c r="E40" s="5">
        <f ca="1">VLOOKUP($B40,'Summary Calculations (hide)'!$D$15:$U$67,15,0)</f>
        <v>13.038461538461538</v>
      </c>
      <c r="F40" s="5">
        <f ca="1">VLOOKUP($B40,'Summary Calculations (hide)'!$D$15:$U$67,16,0)</f>
        <v>2.1153846153846154</v>
      </c>
      <c r="G40" s="5">
        <f t="shared" ca="1" si="1"/>
        <v>15.153846153846153</v>
      </c>
      <c r="H40" s="5">
        <f t="shared" ca="1" si="2"/>
        <v>15.153846153846153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13.421118881118881</v>
      </c>
      <c r="AE40" s="67">
        <f ca="1">VLOOKUP($B40,'Summary Calculations (hide)'!$D$15:$U$67,18,0)</f>
        <v>2.7377622377622375</v>
      </c>
    </row>
    <row r="41" spans="1:31" x14ac:dyDescent="0.25">
      <c r="A41" s="87">
        <f t="shared" ca="1" si="3"/>
        <v>44445</v>
      </c>
      <c r="B41" s="67">
        <f t="shared" ca="1" si="0"/>
        <v>36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13.421118881118881</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2.7377622377622375</v>
      </c>
      <c r="E41" s="5">
        <f ca="1">VLOOKUP($B41,'Summary Calculations (hide)'!$D$15:$U$67,15,0)</f>
        <v>13.038461538461538</v>
      </c>
      <c r="F41" s="5">
        <f ca="1">VLOOKUP($B41,'Summary Calculations (hide)'!$D$15:$U$67,16,0)</f>
        <v>2.1153846153846154</v>
      </c>
      <c r="G41" s="5">
        <f t="shared" ca="1" si="1"/>
        <v>15.153846153846153</v>
      </c>
      <c r="H41" s="5">
        <f t="shared" ca="1" si="2"/>
        <v>15.153846153846153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13.421118881118881</v>
      </c>
      <c r="AE41" s="67">
        <f ca="1">VLOOKUP($B41,'Summary Calculations (hide)'!$D$15:$U$67,18,0)</f>
        <v>2.7377622377622375</v>
      </c>
    </row>
    <row r="42" spans="1:31" x14ac:dyDescent="0.25">
      <c r="A42" s="87">
        <f ca="1">A41+7</f>
        <v>44452</v>
      </c>
      <c r="B42" s="67">
        <f t="shared" ca="1" si="0"/>
        <v>37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13.421118881118881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2.7377622377622375</v>
      </c>
      <c r="E42" s="5">
        <f ca="1">VLOOKUP($B42,'Summary Calculations (hide)'!$D$15:$U$67,15,0)</f>
        <v>13.038461538461538</v>
      </c>
      <c r="F42" s="5">
        <f ca="1">VLOOKUP($B42,'Summary Calculations (hide)'!$D$15:$U$67,16,0)</f>
        <v>2.1153846153846154</v>
      </c>
      <c r="G42" s="5">
        <f t="shared" ca="1" si="1"/>
        <v>15.153846153846153</v>
      </c>
      <c r="H42" s="5">
        <f t="shared" ca="1" si="2"/>
        <v>15.153846153846153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13.421118881118881</v>
      </c>
      <c r="AE42" s="67">
        <f ca="1">VLOOKUP($B42,'Summary Calculations (hide)'!$D$15:$U$67,18,0)</f>
        <v>2.7377622377622375</v>
      </c>
    </row>
    <row r="43" spans="1:31" x14ac:dyDescent="0.25">
      <c r="A43" s="87">
        <f t="shared" ca="1" si="3"/>
        <v>44459</v>
      </c>
      <c r="B43" s="67">
        <f t="shared" ca="1" si="0"/>
        <v>38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13.421118881118881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2.7377622377622375</v>
      </c>
      <c r="E43" s="5">
        <f ca="1">VLOOKUP($B43,'Summary Calculations (hide)'!$D$15:$U$67,15,0)</f>
        <v>13.038461538461538</v>
      </c>
      <c r="F43" s="5">
        <f ca="1">VLOOKUP($B43,'Summary Calculations (hide)'!$D$15:$U$67,16,0)</f>
        <v>2.1153846153846154</v>
      </c>
      <c r="G43" s="5">
        <f t="shared" ca="1" si="1"/>
        <v>15.153846153846153</v>
      </c>
      <c r="H43" s="5">
        <f t="shared" ca="1" si="2"/>
        <v>15.153846153846153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13.421118881118881</v>
      </c>
      <c r="AE43" s="67">
        <f ca="1">VLOOKUP($B43,'Summary Calculations (hide)'!$D$15:$U$67,18,0)</f>
        <v>2.7377622377622375</v>
      </c>
    </row>
    <row r="44" spans="1:31" x14ac:dyDescent="0.25">
      <c r="A44" s="87">
        <f t="shared" ca="1" si="3"/>
        <v>44466</v>
      </c>
      <c r="B44" s="67">
        <f t="shared" ca="1" si="0"/>
        <v>39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13.421118881118881</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2.7377622377622375</v>
      </c>
      <c r="E44" s="5">
        <f ca="1">VLOOKUP($B44,'Summary Calculations (hide)'!$D$15:$U$67,15,0)</f>
        <v>13.038461538461538</v>
      </c>
      <c r="F44" s="5">
        <f ca="1">VLOOKUP($B44,'Summary Calculations (hide)'!$D$15:$U$67,16,0)</f>
        <v>2.1153846153846154</v>
      </c>
      <c r="G44" s="5">
        <f t="shared" ca="1" si="1"/>
        <v>15.153846153846153</v>
      </c>
      <c r="H44" s="5">
        <f t="shared" ca="1" si="2"/>
        <v>15.153846153846153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13.421118881118881</v>
      </c>
      <c r="AE44" s="67">
        <f ca="1">VLOOKUP($B44,'Summary Calculations (hide)'!$D$15:$U$67,18,0)</f>
        <v>2.7377622377622375</v>
      </c>
    </row>
    <row r="45" spans="1:31" x14ac:dyDescent="0.25">
      <c r="A45" s="87">
        <f t="shared" ca="1" si="3"/>
        <v>44473</v>
      </c>
      <c r="B45" s="67">
        <f t="shared" ca="1" si="0"/>
        <v>40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13.421118881118881</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2.7377622377622375</v>
      </c>
      <c r="E45" s="5">
        <f ca="1">VLOOKUP($B45,'Summary Calculations (hide)'!$D$15:$U$67,15,0)</f>
        <v>13.038461538461538</v>
      </c>
      <c r="F45" s="5">
        <f ca="1">VLOOKUP($B45,'Summary Calculations (hide)'!$D$15:$U$67,16,0)</f>
        <v>2.1153846153846154</v>
      </c>
      <c r="G45" s="5">
        <f t="shared" ca="1" si="1"/>
        <v>15.153846153846153</v>
      </c>
      <c r="H45" s="5">
        <f t="shared" ca="1" si="2"/>
        <v>15.153846153846153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13.421118881118881</v>
      </c>
      <c r="AE45" s="67">
        <f ca="1">VLOOKUP($B45,'Summary Calculations (hide)'!$D$15:$U$67,18,0)</f>
        <v>2.7377622377622375</v>
      </c>
    </row>
    <row r="46" spans="1:31" x14ac:dyDescent="0.25">
      <c r="A46" s="87">
        <f t="shared" ca="1" si="3"/>
        <v>44480</v>
      </c>
      <c r="B46" s="67">
        <f t="shared" ca="1" si="0"/>
        <v>41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13.421118881118881</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2.7377622377622375</v>
      </c>
      <c r="E46" s="5">
        <f ca="1">VLOOKUP($B46,'Summary Calculations (hide)'!$D$15:$U$67,15,0)</f>
        <v>13.038461538461538</v>
      </c>
      <c r="F46" s="5">
        <f ca="1">VLOOKUP($B46,'Summary Calculations (hide)'!$D$15:$U$67,16,0)</f>
        <v>2.1153846153846154</v>
      </c>
      <c r="G46" s="5">
        <f t="shared" ca="1" si="1"/>
        <v>15.153846153846153</v>
      </c>
      <c r="H46" s="5">
        <f t="shared" ca="1" si="2"/>
        <v>15.153846153846153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13.421118881118881</v>
      </c>
      <c r="AE46" s="67">
        <f ca="1">VLOOKUP($B46,'Summary Calculations (hide)'!$D$15:$U$67,18,0)</f>
        <v>2.7377622377622375</v>
      </c>
    </row>
    <row r="47" spans="1:31" x14ac:dyDescent="0.25">
      <c r="A47" s="87">
        <f t="shared" ca="1" si="3"/>
        <v>44487</v>
      </c>
      <c r="B47" s="67">
        <f t="shared" ca="1" si="0"/>
        <v>42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13.421118881118881</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2.7377622377622375</v>
      </c>
      <c r="E47" s="5">
        <f ca="1">VLOOKUP($B47,'Summary Calculations (hide)'!$D$15:$U$67,15,0)</f>
        <v>13.038461538461538</v>
      </c>
      <c r="F47" s="5">
        <f ca="1">VLOOKUP($B47,'Summary Calculations (hide)'!$D$15:$U$67,16,0)</f>
        <v>2.1153846153846154</v>
      </c>
      <c r="G47" s="5">
        <f t="shared" ca="1" si="1"/>
        <v>15.153846153846153</v>
      </c>
      <c r="H47" s="5">
        <f t="shared" ca="1" si="2"/>
        <v>15.153846153846153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13.421118881118881</v>
      </c>
      <c r="AE47" s="67">
        <f ca="1">VLOOKUP($B47,'Summary Calculations (hide)'!$D$15:$U$67,18,0)</f>
        <v>2.7377622377622375</v>
      </c>
    </row>
    <row r="48" spans="1:31" x14ac:dyDescent="0.25">
      <c r="A48" s="87">
        <f t="shared" ca="1" si="3"/>
        <v>44494</v>
      </c>
      <c r="B48" s="67">
        <f t="shared" ca="1" si="0"/>
        <v>43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13.421118881118881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2.7377622377622375</v>
      </c>
      <c r="E48" s="5">
        <f ca="1">VLOOKUP($B48,'Summary Calculations (hide)'!$D$15:$U$67,15,0)</f>
        <v>13.038461538461538</v>
      </c>
      <c r="F48" s="5">
        <f ca="1">VLOOKUP($B48,'Summary Calculations (hide)'!$D$15:$U$67,16,0)</f>
        <v>2.1153846153846154</v>
      </c>
      <c r="G48" s="5">
        <f t="shared" ca="1" si="1"/>
        <v>15.153846153846153</v>
      </c>
      <c r="H48" s="5">
        <f t="shared" ca="1" si="2"/>
        <v>117.15384615384616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13.421118881118881</v>
      </c>
      <c r="AE48" s="67">
        <f ca="1">VLOOKUP($B48,'Summary Calculations (hide)'!$D$15:$U$67,18,0)</f>
        <v>2.7377622377622375</v>
      </c>
    </row>
    <row r="49" spans="1:31" x14ac:dyDescent="0.25">
      <c r="A49" s="87">
        <f t="shared" ca="1" si="3"/>
        <v>44501</v>
      </c>
      <c r="B49" s="67">
        <f t="shared" ca="1" si="0"/>
        <v>44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13.421118881118881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2.7377622377622375</v>
      </c>
      <c r="E49" s="5">
        <f ca="1">VLOOKUP($B49,'Summary Calculations (hide)'!$D$15:$U$67,15,0)</f>
        <v>13.038461538461538</v>
      </c>
      <c r="F49" s="5">
        <f ca="1">VLOOKUP($B49,'Summary Calculations (hide)'!$D$15:$U$67,16,0)</f>
        <v>2.1153846153846154</v>
      </c>
      <c r="G49" s="5">
        <f t="shared" ca="1" si="1"/>
        <v>15.153846153846153</v>
      </c>
      <c r="H49" s="5">
        <f t="shared" ca="1" si="2"/>
        <v>117.15384615384616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13.421118881118881</v>
      </c>
      <c r="AE49" s="67">
        <f ca="1">VLOOKUP($B49,'Summary Calculations (hide)'!$D$15:$U$67,18,0)</f>
        <v>2.7377622377622375</v>
      </c>
    </row>
    <row r="50" spans="1:31" x14ac:dyDescent="0.25">
      <c r="A50" s="87">
        <f t="shared" ca="1" si="3"/>
        <v>44508</v>
      </c>
      <c r="B50" s="67">
        <f t="shared" ca="1" si="0"/>
        <v>45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13.421118881118881</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2.7377622377622375</v>
      </c>
      <c r="E50" s="5">
        <f ca="1">VLOOKUP($B50,'Summary Calculations (hide)'!$D$15:$U$67,15,0)</f>
        <v>13.038461538461538</v>
      </c>
      <c r="F50" s="5">
        <f ca="1">VLOOKUP($B50,'Summary Calculations (hide)'!$D$15:$U$67,16,0)</f>
        <v>2.1153846153846154</v>
      </c>
      <c r="G50" s="5">
        <f t="shared" ca="1" si="1"/>
        <v>15.153846153846153</v>
      </c>
      <c r="H50" s="5">
        <f t="shared" ca="1" si="2"/>
        <v>15.153846153846153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13.421118881118881</v>
      </c>
      <c r="AE50" s="67">
        <f ca="1">VLOOKUP($B50,'Summary Calculations (hide)'!$D$15:$U$67,18,0)</f>
        <v>2.7377622377622375</v>
      </c>
    </row>
    <row r="51" spans="1:31" x14ac:dyDescent="0.25">
      <c r="A51" s="87">
        <f t="shared" ca="1" si="3"/>
        <v>44515</v>
      </c>
      <c r="B51" s="67">
        <f t="shared" ca="1" si="0"/>
        <v>46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13.421118881118881</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2.7377622377622375</v>
      </c>
      <c r="E51" s="5">
        <f ca="1">VLOOKUP($B51,'Summary Calculations (hide)'!$D$15:$U$67,15,0)</f>
        <v>13.038461538461538</v>
      </c>
      <c r="F51" s="5">
        <f ca="1">VLOOKUP($B51,'Summary Calculations (hide)'!$D$15:$U$67,16,0)</f>
        <v>2.1153846153846154</v>
      </c>
      <c r="G51" s="5">
        <f t="shared" ca="1" si="1"/>
        <v>15.153846153846153</v>
      </c>
      <c r="H51" s="5">
        <f t="shared" ca="1" si="2"/>
        <v>15.153846153846153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13.421118881118881</v>
      </c>
      <c r="AE51" s="67">
        <f ca="1">VLOOKUP($B51,'Summary Calculations (hide)'!$D$15:$U$67,18,0)</f>
        <v>2.7377622377622375</v>
      </c>
    </row>
    <row r="52" spans="1:31" x14ac:dyDescent="0.25">
      <c r="A52" s="87">
        <f t="shared" ca="1" si="3"/>
        <v>44522</v>
      </c>
      <c r="B52" s="67">
        <f t="shared" ca="1" si="0"/>
        <v>47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13.421118881118881</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2.7377622377622375</v>
      </c>
      <c r="E52" s="5">
        <f ca="1">VLOOKUP($B52,'Summary Calculations (hide)'!$D$15:$U$67,15,0)</f>
        <v>13.038461538461538</v>
      </c>
      <c r="F52" s="5">
        <f ca="1">VLOOKUP($B52,'Summary Calculations (hide)'!$D$15:$U$67,16,0)</f>
        <v>2.1153846153846154</v>
      </c>
      <c r="G52" s="5">
        <f t="shared" ca="1" si="1"/>
        <v>15.153846153846153</v>
      </c>
      <c r="H52" s="5">
        <f t="shared" ca="1" si="2"/>
        <v>15.153846153846153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13.421118881118881</v>
      </c>
      <c r="AE52" s="67">
        <f ca="1">VLOOKUP($B52,'Summary Calculations (hide)'!$D$15:$U$67,18,0)</f>
        <v>2.7377622377622375</v>
      </c>
    </row>
    <row r="53" spans="1:31" x14ac:dyDescent="0.25">
      <c r="A53" s="87">
        <f t="shared" ca="1" si="3"/>
        <v>44529</v>
      </c>
      <c r="B53" s="67">
        <f t="shared" ca="1" si="0"/>
        <v>48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13.421118881118881</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2.7377622377622375</v>
      </c>
      <c r="E53" s="5">
        <f ca="1">VLOOKUP($B53,'Summary Calculations (hide)'!$D$15:$U$67,15,0)</f>
        <v>13.038461538461538</v>
      </c>
      <c r="F53" s="5">
        <f ca="1">VLOOKUP($B53,'Summary Calculations (hide)'!$D$15:$U$67,16,0)</f>
        <v>2.1153846153846154</v>
      </c>
      <c r="G53" s="5">
        <f t="shared" ca="1" si="1"/>
        <v>15.153846153846153</v>
      </c>
      <c r="H53" s="5">
        <f t="shared" ca="1" si="2"/>
        <v>15.153846153846153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13.421118881118881</v>
      </c>
      <c r="AE53" s="67">
        <f ca="1">VLOOKUP($B53,'Summary Calculations (hide)'!$D$15:$U$67,18,0)</f>
        <v>2.7377622377622375</v>
      </c>
    </row>
    <row r="54" spans="1:31" x14ac:dyDescent="0.25">
      <c r="A54" s="87">
        <f t="shared" ca="1" si="3"/>
        <v>44536</v>
      </c>
      <c r="B54" s="67">
        <f t="shared" ca="1" si="0"/>
        <v>49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13.421118881118881</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2.7377622377622375</v>
      </c>
      <c r="E54" s="5">
        <f ca="1">VLOOKUP($B54,'Summary Calculations (hide)'!$D$15:$U$67,15,0)</f>
        <v>13.038461538461538</v>
      </c>
      <c r="F54" s="5">
        <f ca="1">VLOOKUP($B54,'Summary Calculations (hide)'!$D$15:$U$67,16,0)</f>
        <v>2.1153846153846154</v>
      </c>
      <c r="G54" s="5">
        <f t="shared" ca="1" si="1"/>
        <v>15.153846153846153</v>
      </c>
      <c r="H54" s="5">
        <f t="shared" ca="1" si="2"/>
        <v>15.153846153846153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13.421118881118881</v>
      </c>
      <c r="AE54" s="67">
        <f ca="1">VLOOKUP($B54,'Summary Calculations (hide)'!$D$15:$U$67,18,0)</f>
        <v>2.7377622377622375</v>
      </c>
    </row>
    <row r="55" spans="1:31" x14ac:dyDescent="0.25">
      <c r="A55" s="87">
        <f t="shared" ca="1" si="3"/>
        <v>44543</v>
      </c>
      <c r="B55" s="67">
        <f t="shared" ca="1" si="0"/>
        <v>50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13.421118881118881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2.7377622377622375</v>
      </c>
      <c r="E55" s="5">
        <f ca="1">VLOOKUP($B55,'Summary Calculations (hide)'!$D$15:$U$67,15,0)</f>
        <v>13.038461538461538</v>
      </c>
      <c r="F55" s="5">
        <f ca="1">VLOOKUP($B55,'Summary Calculations (hide)'!$D$15:$U$67,16,0)</f>
        <v>2.1153846153846154</v>
      </c>
      <c r="G55" s="5">
        <f t="shared" ca="1" si="1"/>
        <v>15.153846153846153</v>
      </c>
      <c r="H55" s="5">
        <f t="shared" ca="1" si="2"/>
        <v>15.153846153846153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13.421118881118881</v>
      </c>
      <c r="AE55" s="67">
        <f ca="1">VLOOKUP($B55,'Summary Calculations (hide)'!$D$15:$U$67,18,0)</f>
        <v>2.7377622377622375</v>
      </c>
    </row>
    <row r="62" spans="1:31" x14ac:dyDescent="0.25">
      <c r="C62" s="5"/>
    </row>
    <row r="63" spans="1:31" x14ac:dyDescent="0.25">
      <c r="C63" s="5"/>
    </row>
    <row r="64" spans="1:31" x14ac:dyDescent="0.25">
      <c r="C64" s="5"/>
    </row>
    <row r="65" spans="3:3" x14ac:dyDescent="0.25">
      <c r="C65" s="5"/>
    </row>
    <row r="66" spans="3:3" x14ac:dyDescent="0.25">
      <c r="C66" s="5"/>
    </row>
    <row r="67" spans="3:3" x14ac:dyDescent="0.25">
      <c r="C67" s="5"/>
    </row>
    <row r="68" spans="3:3" x14ac:dyDescent="0.25">
      <c r="C68" s="5"/>
    </row>
    <row r="69" spans="3:3" x14ac:dyDescent="0.25">
      <c r="C69" s="5"/>
    </row>
    <row r="70" spans="3:3" x14ac:dyDescent="0.25">
      <c r="C70" s="5"/>
    </row>
    <row r="71" spans="3:3" x14ac:dyDescent="0.25">
      <c r="C71" s="5"/>
    </row>
    <row r="72" spans="3:3" x14ac:dyDescent="0.25">
      <c r="C72" s="5"/>
    </row>
    <row r="73" spans="3:3" x14ac:dyDescent="0.25">
      <c r="C73" s="5"/>
    </row>
    <row r="74" spans="3:3" x14ac:dyDescent="0.25">
      <c r="C74" s="5"/>
    </row>
    <row r="75" spans="3:3" x14ac:dyDescent="0.25">
      <c r="C75" s="5"/>
    </row>
    <row r="76" spans="3:3" x14ac:dyDescent="0.25">
      <c r="C76" s="5"/>
    </row>
    <row r="77" spans="3:3" x14ac:dyDescent="0.25">
      <c r="C77" s="5"/>
    </row>
    <row r="78" spans="3:3" x14ac:dyDescent="0.25">
      <c r="C78" s="5"/>
    </row>
    <row r="79" spans="3:3" x14ac:dyDescent="0.25">
      <c r="C79" s="5"/>
    </row>
    <row r="80" spans="3:3" x14ac:dyDescent="0.25">
      <c r="C80" s="5"/>
    </row>
    <row r="81" spans="3:3" x14ac:dyDescent="0.25">
      <c r="C81" s="5"/>
    </row>
    <row r="82" spans="3:3" x14ac:dyDescent="0.25">
      <c r="C82" s="5"/>
    </row>
    <row r="83" spans="3:3" x14ac:dyDescent="0.25">
      <c r="C83" s="5"/>
    </row>
    <row r="84" spans="3:3" x14ac:dyDescent="0.25">
      <c r="C84" s="5"/>
    </row>
    <row r="85" spans="3:3" x14ac:dyDescent="0.25">
      <c r="C85" s="5"/>
    </row>
    <row r="86" spans="3:3" x14ac:dyDescent="0.25">
      <c r="C86" s="5"/>
    </row>
    <row r="87" spans="3:3" x14ac:dyDescent="0.25">
      <c r="C87" s="5"/>
    </row>
    <row r="88" spans="3:3" x14ac:dyDescent="0.25">
      <c r="C88" s="5"/>
    </row>
    <row r="89" spans="3:3" x14ac:dyDescent="0.25">
      <c r="C89" s="5"/>
    </row>
    <row r="90" spans="3:3" x14ac:dyDescent="0.25">
      <c r="C90" s="5"/>
    </row>
    <row r="91" spans="3:3" x14ac:dyDescent="0.25">
      <c r="C91" s="5"/>
    </row>
    <row r="92" spans="3:3" x14ac:dyDescent="0.25">
      <c r="C92" s="5"/>
    </row>
    <row r="93" spans="3:3" x14ac:dyDescent="0.25">
      <c r="C93" s="5"/>
    </row>
    <row r="94" spans="3:3" x14ac:dyDescent="0.25">
      <c r="C94" s="5"/>
    </row>
    <row r="95" spans="3:3" x14ac:dyDescent="0.25">
      <c r="C95" s="5"/>
    </row>
    <row r="96" spans="3:3" x14ac:dyDescent="0.25">
      <c r="C96" s="5"/>
    </row>
    <row r="97" spans="3:3" x14ac:dyDescent="0.25">
      <c r="C97" s="5"/>
    </row>
    <row r="98" spans="3:3" x14ac:dyDescent="0.25">
      <c r="C98" s="5"/>
    </row>
    <row r="99" spans="3:3" x14ac:dyDescent="0.25">
      <c r="C99" s="5"/>
    </row>
    <row r="100" spans="3:3" x14ac:dyDescent="0.25">
      <c r="C100" s="5"/>
    </row>
    <row r="101" spans="3:3" x14ac:dyDescent="0.25">
      <c r="C101" s="5"/>
    </row>
    <row r="102" spans="3:3" x14ac:dyDescent="0.25">
      <c r="C102" s="5"/>
    </row>
    <row r="103" spans="3:3" x14ac:dyDescent="0.25">
      <c r="C103" s="5"/>
    </row>
    <row r="104" spans="3:3" x14ac:dyDescent="0.25">
      <c r="C104" s="5"/>
    </row>
    <row r="105" spans="3:3" x14ac:dyDescent="0.25">
      <c r="C105" s="5"/>
    </row>
    <row r="106" spans="3:3" x14ac:dyDescent="0.25">
      <c r="C106" s="5"/>
    </row>
    <row r="107" spans="3:3" x14ac:dyDescent="0.25">
      <c r="C107" s="5"/>
    </row>
    <row r="108" spans="3:3" x14ac:dyDescent="0.25">
      <c r="C108" s="5"/>
    </row>
    <row r="109" spans="3:3" x14ac:dyDescent="0.25">
      <c r="C109" s="5"/>
    </row>
    <row r="110" spans="3:3" x14ac:dyDescent="0.25">
      <c r="C110" s="5"/>
    </row>
    <row r="111" spans="3:3" x14ac:dyDescent="0.25">
      <c r="C111" s="5"/>
    </row>
    <row r="112" spans="3:3" x14ac:dyDescent="0.25">
      <c r="C112" s="5"/>
    </row>
    <row r="113" spans="3:3" x14ac:dyDescent="0.25">
      <c r="C113" s="5"/>
    </row>
    <row r="114" spans="3:3" x14ac:dyDescent="0.25">
      <c r="C114" s="5"/>
    </row>
    <row r="115" spans="3:3" x14ac:dyDescent="0.25">
      <c r="C115" s="5"/>
    </row>
    <row r="116" spans="3:3" x14ac:dyDescent="0.25">
      <c r="C116" s="5"/>
    </row>
    <row r="117" spans="3:3" x14ac:dyDescent="0.25">
      <c r="C117" s="5"/>
    </row>
    <row r="118" spans="3:3" x14ac:dyDescent="0.25">
      <c r="C118" s="5"/>
    </row>
    <row r="119" spans="3:3" x14ac:dyDescent="0.25">
      <c r="C119" s="5"/>
    </row>
    <row r="120" spans="3:3" x14ac:dyDescent="0.25">
      <c r="C120" s="5"/>
    </row>
    <row r="121" spans="3:3" x14ac:dyDescent="0.25">
      <c r="C121" s="5"/>
    </row>
    <row r="122" spans="3:3" x14ac:dyDescent="0.25">
      <c r="C122" s="5"/>
    </row>
    <row r="123" spans="3:3" x14ac:dyDescent="0.25">
      <c r="C123" s="5"/>
    </row>
    <row r="124" spans="3:3" x14ac:dyDescent="0.25">
      <c r="C124" s="5"/>
    </row>
    <row r="125" spans="3:3" x14ac:dyDescent="0.25">
      <c r="C125" s="5"/>
    </row>
    <row r="126" spans="3:3" x14ac:dyDescent="0.25">
      <c r="C126" s="5"/>
    </row>
    <row r="127" spans="3:3" x14ac:dyDescent="0.25">
      <c r="C127" s="5"/>
    </row>
    <row r="128" spans="3:3"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row r="158" spans="3:3" x14ac:dyDescent="0.25">
      <c r="C158" s="5"/>
    </row>
    <row r="159" spans="3:3" x14ac:dyDescent="0.25">
      <c r="C159" s="5"/>
    </row>
    <row r="160" spans="3:3" x14ac:dyDescent="0.25">
      <c r="C160" s="5"/>
    </row>
    <row r="161" spans="3:3" x14ac:dyDescent="0.25">
      <c r="C161" s="5"/>
    </row>
    <row r="162" spans="3:3" x14ac:dyDescent="0.25">
      <c r="C162" s="5"/>
    </row>
    <row r="163" spans="3:3" x14ac:dyDescent="0.25">
      <c r="C163" s="5"/>
    </row>
    <row r="164" spans="3:3" x14ac:dyDescent="0.25">
      <c r="C164" s="5"/>
    </row>
    <row r="165" spans="3:3" x14ac:dyDescent="0.25">
      <c r="C165" s="5"/>
    </row>
    <row r="166" spans="3:3" x14ac:dyDescent="0.25">
      <c r="C166" s="5"/>
    </row>
    <row r="167" spans="3:3" x14ac:dyDescent="0.25">
      <c r="C167" s="5"/>
    </row>
    <row r="168" spans="3:3" x14ac:dyDescent="0.25">
      <c r="C168" s="5"/>
    </row>
    <row r="169" spans="3:3" x14ac:dyDescent="0.25">
      <c r="C169" s="5"/>
    </row>
    <row r="170" spans="3:3" x14ac:dyDescent="0.25">
      <c r="C170" s="5"/>
    </row>
    <row r="171" spans="3:3" x14ac:dyDescent="0.25">
      <c r="C171" s="5"/>
    </row>
    <row r="172" spans="3:3" x14ac:dyDescent="0.25">
      <c r="C172" s="5"/>
    </row>
    <row r="173" spans="3:3" x14ac:dyDescent="0.25">
      <c r="C173" s="5"/>
    </row>
    <row r="174" spans="3:3" x14ac:dyDescent="0.25">
      <c r="C174" s="5"/>
    </row>
    <row r="175" spans="3:3" x14ac:dyDescent="0.25">
      <c r="C175" s="5"/>
    </row>
    <row r="176" spans="3:3" x14ac:dyDescent="0.25">
      <c r="C176" s="5"/>
    </row>
    <row r="177" spans="3:3" x14ac:dyDescent="0.25">
      <c r="C177" s="5"/>
    </row>
    <row r="178" spans="3:3" x14ac:dyDescent="0.25">
      <c r="C178" s="5"/>
    </row>
    <row r="179" spans="3:3" x14ac:dyDescent="0.25">
      <c r="C179" s="5"/>
    </row>
    <row r="180" spans="3:3" x14ac:dyDescent="0.25">
      <c r="C180" s="5"/>
    </row>
    <row r="181" spans="3:3" x14ac:dyDescent="0.25">
      <c r="C181" s="5"/>
    </row>
    <row r="182" spans="3:3" x14ac:dyDescent="0.25">
      <c r="C182" s="5"/>
    </row>
    <row r="183" spans="3:3" x14ac:dyDescent="0.25">
      <c r="C183" s="5"/>
    </row>
    <row r="184" spans="3:3" x14ac:dyDescent="0.25">
      <c r="C184" s="5"/>
    </row>
    <row r="185" spans="3:3" x14ac:dyDescent="0.25">
      <c r="C185" s="5"/>
    </row>
    <row r="186" spans="3:3" x14ac:dyDescent="0.25">
      <c r="C186" s="5"/>
    </row>
    <row r="187" spans="3:3" x14ac:dyDescent="0.25">
      <c r="C187" s="5"/>
    </row>
    <row r="188" spans="3:3" x14ac:dyDescent="0.25">
      <c r="C188" s="5"/>
    </row>
    <row r="189" spans="3:3" x14ac:dyDescent="0.25">
      <c r="C189" s="5"/>
    </row>
    <row r="190" spans="3:3" x14ac:dyDescent="0.25">
      <c r="C190" s="5"/>
    </row>
    <row r="191" spans="3:3" x14ac:dyDescent="0.25">
      <c r="C191" s="5"/>
    </row>
    <row r="192" spans="3:3" x14ac:dyDescent="0.25">
      <c r="C192" s="5"/>
    </row>
    <row r="193" spans="3:3" x14ac:dyDescent="0.25">
      <c r="C193" s="5"/>
    </row>
    <row r="194" spans="3:3" x14ac:dyDescent="0.25">
      <c r="C194" s="5"/>
    </row>
    <row r="195" spans="3:3" x14ac:dyDescent="0.25">
      <c r="C195" s="5"/>
    </row>
    <row r="196" spans="3:3" x14ac:dyDescent="0.25">
      <c r="C196" s="5"/>
    </row>
    <row r="197" spans="3:3" x14ac:dyDescent="0.25">
      <c r="C197" s="5"/>
    </row>
    <row r="198" spans="3:3" x14ac:dyDescent="0.25">
      <c r="C198" s="5"/>
    </row>
    <row r="199" spans="3:3" x14ac:dyDescent="0.25">
      <c r="C199" s="5"/>
    </row>
    <row r="200" spans="3:3" x14ac:dyDescent="0.25">
      <c r="C200" s="5"/>
    </row>
    <row r="201" spans="3:3" x14ac:dyDescent="0.25">
      <c r="C201" s="5"/>
    </row>
    <row r="202" spans="3:3" x14ac:dyDescent="0.25">
      <c r="C202" s="5"/>
    </row>
    <row r="203" spans="3:3" x14ac:dyDescent="0.25">
      <c r="C203" s="5"/>
    </row>
    <row r="204" spans="3:3" x14ac:dyDescent="0.25">
      <c r="C204" s="5"/>
    </row>
    <row r="205" spans="3:3" x14ac:dyDescent="0.25">
      <c r="C205" s="5"/>
    </row>
    <row r="206" spans="3:3" x14ac:dyDescent="0.25">
      <c r="C206" s="5"/>
    </row>
    <row r="207" spans="3:3" x14ac:dyDescent="0.25">
      <c r="C207" s="5"/>
    </row>
    <row r="208" spans="3:3" x14ac:dyDescent="0.25">
      <c r="C208" s="5"/>
    </row>
    <row r="209" spans="3:3" x14ac:dyDescent="0.25">
      <c r="C209" s="5"/>
    </row>
    <row r="210" spans="3:3" x14ac:dyDescent="0.25">
      <c r="C210" s="5"/>
    </row>
    <row r="211" spans="3:3" x14ac:dyDescent="0.25">
      <c r="C211" s="5"/>
    </row>
    <row r="212" spans="3:3" x14ac:dyDescent="0.25">
      <c r="C212" s="5"/>
    </row>
    <row r="213" spans="3:3" x14ac:dyDescent="0.25">
      <c r="C213" s="5"/>
    </row>
    <row r="214" spans="3:3" x14ac:dyDescent="0.25">
      <c r="C214" s="5"/>
    </row>
    <row r="215" spans="3:3" x14ac:dyDescent="0.25">
      <c r="C215" s="5"/>
    </row>
    <row r="216" spans="3:3" x14ac:dyDescent="0.25">
      <c r="C216" s="5"/>
    </row>
    <row r="217" spans="3:3" x14ac:dyDescent="0.25">
      <c r="C217" s="5"/>
    </row>
    <row r="218" spans="3:3" x14ac:dyDescent="0.25">
      <c r="C218" s="5"/>
    </row>
    <row r="219" spans="3:3" x14ac:dyDescent="0.25">
      <c r="C219" s="5"/>
    </row>
    <row r="220" spans="3:3" x14ac:dyDescent="0.25">
      <c r="C220" s="5"/>
    </row>
    <row r="221" spans="3:3" x14ac:dyDescent="0.25">
      <c r="C221" s="5"/>
    </row>
    <row r="222" spans="3:3" x14ac:dyDescent="0.25">
      <c r="C222" s="5"/>
    </row>
    <row r="223" spans="3:3" x14ac:dyDescent="0.25">
      <c r="C223" s="5"/>
    </row>
    <row r="224" spans="3:3" x14ac:dyDescent="0.25">
      <c r="C224" s="5"/>
    </row>
    <row r="225" spans="3:3" x14ac:dyDescent="0.25">
      <c r="C225" s="5"/>
    </row>
    <row r="226" spans="3:3" x14ac:dyDescent="0.25">
      <c r="C226" s="5"/>
    </row>
    <row r="227" spans="3:3" x14ac:dyDescent="0.25">
      <c r="C227" s="5"/>
    </row>
    <row r="228" spans="3:3" x14ac:dyDescent="0.25">
      <c r="C228" s="5"/>
    </row>
    <row r="229" spans="3:3" x14ac:dyDescent="0.25">
      <c r="C229" s="5"/>
    </row>
    <row r="230" spans="3:3" x14ac:dyDescent="0.25">
      <c r="C230" s="5"/>
    </row>
    <row r="231" spans="3:3" x14ac:dyDescent="0.25">
      <c r="C231" s="5"/>
    </row>
    <row r="232" spans="3:3" x14ac:dyDescent="0.25">
      <c r="C232" s="5"/>
    </row>
    <row r="233" spans="3:3" x14ac:dyDescent="0.25">
      <c r="C233" s="5"/>
    </row>
    <row r="234" spans="3:3" x14ac:dyDescent="0.25">
      <c r="C234" s="5"/>
    </row>
    <row r="235" spans="3:3" x14ac:dyDescent="0.25">
      <c r="C235" s="5"/>
    </row>
    <row r="236" spans="3:3" x14ac:dyDescent="0.25">
      <c r="C236" s="5"/>
    </row>
    <row r="237" spans="3:3" x14ac:dyDescent="0.25">
      <c r="C237" s="5"/>
    </row>
    <row r="238" spans="3:3" x14ac:dyDescent="0.25">
      <c r="C238" s="5"/>
    </row>
    <row r="239" spans="3:3" x14ac:dyDescent="0.25">
      <c r="C239" s="5"/>
    </row>
    <row r="240" spans="3:3" x14ac:dyDescent="0.25">
      <c r="C240" s="5"/>
    </row>
    <row r="241" spans="3:3" x14ac:dyDescent="0.25">
      <c r="C241" s="5"/>
    </row>
    <row r="242" spans="3:3" x14ac:dyDescent="0.25">
      <c r="C242" s="5"/>
    </row>
    <row r="243" spans="3:3" x14ac:dyDescent="0.25">
      <c r="C243" s="5"/>
    </row>
    <row r="244" spans="3:3" x14ac:dyDescent="0.25">
      <c r="C244" s="5"/>
    </row>
    <row r="245" spans="3:3" x14ac:dyDescent="0.25">
      <c r="C245" s="5"/>
    </row>
    <row r="246" spans="3:3" x14ac:dyDescent="0.25">
      <c r="C246" s="5"/>
    </row>
    <row r="247" spans="3:3" x14ac:dyDescent="0.25">
      <c r="C247" s="5"/>
    </row>
    <row r="248" spans="3:3" x14ac:dyDescent="0.25">
      <c r="C248" s="5"/>
    </row>
    <row r="249" spans="3:3" x14ac:dyDescent="0.25">
      <c r="C249" s="5"/>
    </row>
    <row r="250" spans="3:3" x14ac:dyDescent="0.25">
      <c r="C250" s="5"/>
    </row>
    <row r="251" spans="3:3" x14ac:dyDescent="0.25">
      <c r="C251" s="5"/>
    </row>
    <row r="252" spans="3:3" x14ac:dyDescent="0.25">
      <c r="C252" s="5"/>
    </row>
    <row r="253" spans="3:3" x14ac:dyDescent="0.25">
      <c r="C253" s="5"/>
    </row>
    <row r="254" spans="3:3" x14ac:dyDescent="0.25">
      <c r="C254" s="5"/>
    </row>
    <row r="255" spans="3:3" x14ac:dyDescent="0.25">
      <c r="C255" s="5"/>
    </row>
    <row r="256" spans="3:3" x14ac:dyDescent="0.25">
      <c r="C256" s="5"/>
    </row>
    <row r="257" spans="3:3" x14ac:dyDescent="0.25">
      <c r="C257" s="5"/>
    </row>
    <row r="258" spans="3:3" x14ac:dyDescent="0.25">
      <c r="C258" s="5"/>
    </row>
    <row r="259" spans="3:3" x14ac:dyDescent="0.25">
      <c r="C259" s="5"/>
    </row>
    <row r="260" spans="3:3" x14ac:dyDescent="0.25">
      <c r="C260" s="5"/>
    </row>
    <row r="261" spans="3:3" x14ac:dyDescent="0.25">
      <c r="C261" s="5"/>
    </row>
    <row r="262" spans="3:3" x14ac:dyDescent="0.25">
      <c r="C262" s="5"/>
    </row>
    <row r="263" spans="3:3" x14ac:dyDescent="0.25">
      <c r="C263" s="5"/>
    </row>
    <row r="264" spans="3:3" x14ac:dyDescent="0.25">
      <c r="C264" s="5"/>
    </row>
    <row r="265" spans="3:3" x14ac:dyDescent="0.25">
      <c r="C265" s="5"/>
    </row>
    <row r="266" spans="3:3" x14ac:dyDescent="0.25">
      <c r="C266" s="5"/>
    </row>
    <row r="267" spans="3:3" x14ac:dyDescent="0.25">
      <c r="C267" s="5"/>
    </row>
    <row r="268" spans="3:3" x14ac:dyDescent="0.25">
      <c r="C268" s="5"/>
    </row>
    <row r="269" spans="3:3" x14ac:dyDescent="0.25">
      <c r="C269" s="5"/>
    </row>
    <row r="270" spans="3:3" x14ac:dyDescent="0.25">
      <c r="C270" s="5"/>
    </row>
    <row r="271" spans="3:3" x14ac:dyDescent="0.25">
      <c r="C271" s="5"/>
    </row>
    <row r="272" spans="3:3" x14ac:dyDescent="0.25">
      <c r="C272" s="5"/>
    </row>
    <row r="273" spans="3:3" x14ac:dyDescent="0.25">
      <c r="C273" s="5"/>
    </row>
    <row r="274" spans="3:3" x14ac:dyDescent="0.25">
      <c r="C274" s="5"/>
    </row>
    <row r="275" spans="3:3" x14ac:dyDescent="0.25">
      <c r="C275" s="5"/>
    </row>
    <row r="276" spans="3:3" x14ac:dyDescent="0.25">
      <c r="C276" s="5"/>
    </row>
    <row r="277" spans="3:3" x14ac:dyDescent="0.25">
      <c r="C277" s="5"/>
    </row>
    <row r="278" spans="3:3" x14ac:dyDescent="0.25">
      <c r="C278" s="5"/>
    </row>
    <row r="279" spans="3:3" x14ac:dyDescent="0.25">
      <c r="C279" s="5"/>
    </row>
    <row r="280" spans="3:3" x14ac:dyDescent="0.25">
      <c r="C280" s="5"/>
    </row>
    <row r="281" spans="3:3" x14ac:dyDescent="0.25">
      <c r="C281" s="5"/>
    </row>
    <row r="282" spans="3:3" x14ac:dyDescent="0.25">
      <c r="C282" s="5"/>
    </row>
    <row r="283" spans="3:3" x14ac:dyDescent="0.25">
      <c r="C283" s="5"/>
    </row>
    <row r="284" spans="3:3" x14ac:dyDescent="0.25">
      <c r="C284" s="5"/>
    </row>
    <row r="285" spans="3:3" x14ac:dyDescent="0.25">
      <c r="C285" s="5"/>
    </row>
    <row r="286" spans="3:3" x14ac:dyDescent="0.25">
      <c r="C286" s="5"/>
    </row>
    <row r="287" spans="3:3" x14ac:dyDescent="0.25">
      <c r="C287" s="5"/>
    </row>
    <row r="288" spans="3:3" x14ac:dyDescent="0.25">
      <c r="C288" s="5"/>
    </row>
    <row r="289" spans="3:3" x14ac:dyDescent="0.25">
      <c r="C289" s="5"/>
    </row>
    <row r="290" spans="3:3" x14ac:dyDescent="0.25">
      <c r="C290" s="5"/>
    </row>
    <row r="291" spans="3:3" x14ac:dyDescent="0.25">
      <c r="C291" s="5"/>
    </row>
    <row r="292" spans="3:3" x14ac:dyDescent="0.25">
      <c r="C292" s="5"/>
    </row>
    <row r="293" spans="3:3" x14ac:dyDescent="0.25">
      <c r="C293" s="5"/>
    </row>
    <row r="294" spans="3:3" x14ac:dyDescent="0.25">
      <c r="C294" s="5"/>
    </row>
    <row r="295" spans="3:3" x14ac:dyDescent="0.25">
      <c r="C295" s="5"/>
    </row>
    <row r="296" spans="3:3" x14ac:dyDescent="0.25">
      <c r="C296" s="5"/>
    </row>
    <row r="297" spans="3:3" x14ac:dyDescent="0.25">
      <c r="C297" s="5"/>
    </row>
    <row r="298" spans="3:3" x14ac:dyDescent="0.25">
      <c r="C298" s="5"/>
    </row>
    <row r="299" spans="3:3" x14ac:dyDescent="0.25">
      <c r="C299" s="5"/>
    </row>
    <row r="300" spans="3:3" x14ac:dyDescent="0.25">
      <c r="C300" s="5"/>
    </row>
    <row r="301" spans="3:3" x14ac:dyDescent="0.25">
      <c r="C301" s="5"/>
    </row>
    <row r="302" spans="3:3" x14ac:dyDescent="0.25">
      <c r="C302" s="5"/>
    </row>
    <row r="303" spans="3:3" x14ac:dyDescent="0.25">
      <c r="C303" s="5"/>
    </row>
    <row r="304" spans="3:3" x14ac:dyDescent="0.25">
      <c r="C304" s="5"/>
    </row>
    <row r="305" spans="3:3" x14ac:dyDescent="0.25">
      <c r="C305" s="5"/>
    </row>
    <row r="306" spans="3:3" x14ac:dyDescent="0.25">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12.046153846153853</v>
      </c>
    </row>
    <row r="5" spans="1:3" x14ac:dyDescent="0.25">
      <c r="A5" s="166" t="s">
        <v>531</v>
      </c>
      <c r="B5" s="166" t="s">
        <v>532</v>
      </c>
      <c r="C5" s="5">
        <f ca="1">'Summary Calculations (hide)'!M70</f>
        <v>13.42111888111887</v>
      </c>
    </row>
    <row r="6" spans="1:3" x14ac:dyDescent="0.25">
      <c r="A6" s="166" t="s">
        <v>533</v>
      </c>
      <c r="B6" s="166" t="s">
        <v>534</v>
      </c>
      <c r="C6" s="5">
        <f ca="1">'Summary Calculations (hide)'!N70</f>
        <v>16.158881118881101</v>
      </c>
    </row>
    <row r="7" spans="1:3" ht="41.4" x14ac:dyDescent="0.25">
      <c r="A7" s="166" t="s">
        <v>99</v>
      </c>
      <c r="B7" s="166" t="s">
        <v>535</v>
      </c>
      <c r="C7">
        <f ca="1">'Parameters calculator (hide)'!B45</f>
        <v>0.1</v>
      </c>
    </row>
    <row r="8" spans="1:3" ht="27.6" x14ac:dyDescent="0.25">
      <c r="A8" s="166" t="s">
        <v>536</v>
      </c>
      <c r="B8" s="166" t="s">
        <v>537</v>
      </c>
      <c r="C8">
        <f ca="1">'Parameters calculator (hide)'!B46</f>
        <v>1</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v>
      </c>
    </row>
    <row r="12" spans="1:3" x14ac:dyDescent="0.25">
      <c r="A12" s="166" t="s">
        <v>494</v>
      </c>
      <c r="B12" s="166" t="s">
        <v>544</v>
      </c>
      <c r="C12" s="5">
        <f ca="1">SUM('Summary Calculations (hide)'!R70:S70)</f>
        <v>15.15384615384616</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2020-12-16T14:13:31Z</dcterms:modified>
</cp:coreProperties>
</file>