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15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6.xml"/>
  <Override ContentType="application/vnd.openxmlformats-officedocument.spreadsheetml.pivotTable+xml" PartName="/xl/pivotTables/pivotTable14.xml"/>
  <Override ContentType="application/vnd.openxmlformats-officedocument.spreadsheetml.pivotTable+xml" PartName="/xl/pivotTables/pivotTable1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A Oil &amp; Gas Data" sheetId="1" r:id="rId4"/>
    <sheet state="visible" name="Pivot Analyze" sheetId="2" r:id="rId5"/>
    <sheet state="visible" name="Compare with ETFs" sheetId="3" r:id="rId6"/>
    <sheet state="visible" name="Charts" sheetId="4" r:id="rId7"/>
  </sheets>
  <definedNames/>
  <calcPr/>
  <pivotCaches>
    <pivotCache cacheId="0" r:id="rId8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">
      <text>
        <t xml:space="preserve">https://companiesmarketcap.com/</t>
      </text>
    </comment>
  </commentList>
</comments>
</file>

<file path=xl/sharedStrings.xml><?xml version="1.0" encoding="utf-8"?>
<sst xmlns="http://schemas.openxmlformats.org/spreadsheetml/2006/main" count="382" uniqueCount="50">
  <si>
    <t>Name</t>
  </si>
  <si>
    <t>Year</t>
  </si>
  <si>
    <t>Ticker</t>
  </si>
  <si>
    <t>Open</t>
  </si>
  <si>
    <t>High</t>
  </si>
  <si>
    <t>Low</t>
  </si>
  <si>
    <t>Close*</t>
  </si>
  <si>
    <t>Adj Close**</t>
  </si>
  <si>
    <t>Volume</t>
  </si>
  <si>
    <t>Approx. Market Cap</t>
  </si>
  <si>
    <t>SUM of Adj Close**</t>
  </si>
  <si>
    <t>SUM of Approx. Market Cap</t>
  </si>
  <si>
    <t>Weightage</t>
  </si>
  <si>
    <t>Index Price</t>
  </si>
  <si>
    <t>ConocoPhillips</t>
  </si>
  <si>
    <t>COP</t>
  </si>
  <si>
    <t>CTRA</t>
  </si>
  <si>
    <t>DVN</t>
  </si>
  <si>
    <t>EOG</t>
  </si>
  <si>
    <t>EQT</t>
  </si>
  <si>
    <t>FANG</t>
  </si>
  <si>
    <t>HES</t>
  </si>
  <si>
    <t>MRO</t>
  </si>
  <si>
    <t>EOG Resources, Inc.</t>
  </si>
  <si>
    <t>OXY</t>
  </si>
  <si>
    <t>PXD</t>
  </si>
  <si>
    <t>Grand Total</t>
  </si>
  <si>
    <t>Pioneer Natural Resources Company</t>
  </si>
  <si>
    <t>FinixOG Index</t>
  </si>
  <si>
    <t>Occidental Petroleum Corporation</t>
  </si>
  <si>
    <t>Hess Corporation</t>
  </si>
  <si>
    <t>Diamondback Energy, Inc.</t>
  </si>
  <si>
    <t>Devon Energy Corporation</t>
  </si>
  <si>
    <t>Coterra Energy Inc.</t>
  </si>
  <si>
    <t>EQT Corporation</t>
  </si>
  <si>
    <t>Marathon Oil Corporation</t>
  </si>
  <si>
    <t>YEARWISE INDEX PRICE CALCULATION</t>
  </si>
  <si>
    <t>TICKER-BASED WEIGHTAGE AND INDEX PRICE ACROSS YEAR</t>
  </si>
  <si>
    <t xml:space="preserve">Rebalancing </t>
  </si>
  <si>
    <t xml:space="preserve">Name </t>
  </si>
  <si>
    <t xml:space="preserve">Our custim Index     FINIX OG </t>
  </si>
  <si>
    <t>% Return</t>
  </si>
  <si>
    <t>SPDR S&amp;P Oil &amp; Gas Exploration &amp; Production ETF</t>
  </si>
  <si>
    <t>iShares U.S. Oil &amp; Gas Exploration &amp; Production ETF</t>
  </si>
  <si>
    <t>Invesco Energy Exploration &amp; Production ETF</t>
  </si>
  <si>
    <t>FNX</t>
  </si>
  <si>
    <t>XOP</t>
  </si>
  <si>
    <t>IEO</t>
  </si>
  <si>
    <t>PXE</t>
  </si>
  <si>
    <t>Return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</si>
</sst>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0.000"/>
  </numFmts>
  <fonts count="12">
    <font>
      <sz val="10.0"/>
      <color rgb="FF000000"/>
      <name val="Arial"/>
      <scheme val="minor"/>
    </font>
    <font>
      <b/>
      <color rgb="FFFFFFFF"/>
      <name val="Arial"/>
      <scheme val="minor"/>
    </font>
    <font>
      <color rgb="FFFFFFFF"/>
      <name val="Arial"/>
      <scheme val="minor"/>
    </font>
    <font>
      <b/>
      <i/>
      <color rgb="FFFFFFFF"/>
      <name val="Arial"/>
      <scheme val="minor"/>
    </font>
    <font>
      <b/>
      <color rgb="FF0000FF"/>
      <name val="&quot;Yahoo Sans Finance&quot;"/>
    </font>
    <font>
      <color rgb="FF232A31"/>
      <name val="&quot;Yahoo Sans Finance&quot;"/>
    </font>
    <font>
      <color theme="1"/>
      <name val="Arial"/>
      <scheme val="minor"/>
    </font>
    <font/>
    <font>
      <b/>
      <color theme="1"/>
      <name val="Arial"/>
      <scheme val="minor"/>
    </font>
    <font>
      <b/>
      <i/>
      <color theme="1"/>
      <name val="Arial"/>
      <scheme val="minor"/>
    </font>
    <font>
      <b/>
      <color rgb="FF0000FF"/>
      <name val="Arial"/>
      <scheme val="minor"/>
    </font>
    <font>
      <b/>
      <color rgb="FF232A31"/>
      <name val="&quot;Yahoo Sans Finance&quot;"/>
    </font>
  </fonts>
  <fills count="5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DFE4EC"/>
        <bgColor rgb="FFDFE4EC"/>
      </patternFill>
    </fill>
  </fills>
  <borders count="21">
    <border/>
    <border>
      <bottom style="medium">
        <color rgb="FF0000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FF"/>
      </left>
      <right style="thin">
        <color rgb="FF0000FF"/>
      </right>
    </border>
    <border>
      <bottom style="thin">
        <color rgb="FF0000FF"/>
      </bottom>
    </border>
    <border>
      <top style="thin">
        <color rgb="FF0000FF"/>
      </top>
      <bottom style="thin">
        <color rgb="FF0000FF"/>
      </bottom>
    </border>
    <border>
      <left style="thin">
        <color rgb="FF0000FF"/>
      </left>
      <right style="thin">
        <color rgb="FF0000FF"/>
      </right>
      <bottom style="medium">
        <color rgb="FF0000FF"/>
      </bottom>
    </border>
    <border>
      <top style="thin">
        <color rgb="FF0000FF"/>
      </top>
      <bottom style="medium">
        <color rgb="FF0000FF"/>
      </bottom>
    </border>
    <border>
      <left style="thin">
        <color rgb="FF0000FF"/>
      </left>
      <right style="thin">
        <color rgb="FF0000FF"/>
      </right>
      <top style="thin">
        <color rgb="FF0000FF"/>
      </top>
    </border>
    <border>
      <left style="thick">
        <color rgb="FF0000FF"/>
      </left>
      <top style="thick">
        <color rgb="FF0000FF"/>
      </top>
      <bottom style="thick">
        <color rgb="FF0000FF"/>
      </bottom>
    </border>
    <border>
      <top style="thick">
        <color rgb="FF0000FF"/>
      </top>
      <bottom style="thick">
        <color rgb="FF0000FF"/>
      </bottom>
    </border>
    <border>
      <right style="thick">
        <color rgb="FF0000FF"/>
      </right>
      <top style="thick">
        <color rgb="FF0000FF"/>
      </top>
      <bottom style="thick">
        <color rgb="FF0000FF"/>
      </bottom>
    </border>
    <border>
      <bottom style="thick">
        <color rgb="FF0000FF"/>
      </bottom>
    </border>
    <border>
      <top style="double">
        <color rgb="FF000000"/>
      </top>
    </border>
    <border>
      <top style="thick">
        <color rgb="FF0000FF"/>
      </top>
    </border>
    <border>
      <right style="thin">
        <color rgb="FF0000FF"/>
      </right>
      <bottom style="thin">
        <color rgb="FF0000FF"/>
      </bottom>
    </border>
    <border>
      <left style="thin">
        <color rgb="FF0000FF"/>
      </left>
      <right style="thin">
        <color rgb="FF0000FF"/>
      </right>
      <bottom style="thin">
        <color rgb="FF0000FF"/>
      </bottom>
    </border>
    <border>
      <right style="thin">
        <color rgb="FF0000FF"/>
      </right>
      <top style="thin">
        <color rgb="FF0000FF"/>
      </top>
      <bottom style="thin">
        <color rgb="FF0000FF"/>
      </bottom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</border>
    <border>
      <left style="thick">
        <color rgb="FF0000FF"/>
      </left>
      <top style="thick">
        <color rgb="FF0000FF"/>
      </top>
    </border>
    <border>
      <right style="thick">
        <color rgb="FF0000FF"/>
      </right>
      <top style="thick">
        <color rgb="FF0000FF"/>
      </top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2" fillId="0" fontId="2" numFmtId="0" xfId="0" applyBorder="1" applyFont="1"/>
    <xf borderId="2" fillId="3" fontId="1" numFmtId="0" xfId="0" applyBorder="1" applyFill="1" applyFont="1"/>
    <xf borderId="2" fillId="0" fontId="1" numFmtId="0" xfId="0" applyBorder="1" applyFont="1"/>
    <xf borderId="2" fillId="0" fontId="3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3" fontId="4" numFmtId="0" xfId="0" applyAlignment="1" applyBorder="1" applyFont="1">
      <alignment horizontal="center" readingOrder="0" shrinkToFit="0" vertical="center" wrapText="1"/>
    </xf>
    <xf borderId="4" fillId="3" fontId="5" numFmtId="0" xfId="0" applyAlignment="1" applyBorder="1" applyFont="1">
      <alignment horizontal="right" readingOrder="0" shrinkToFit="0" wrapText="0"/>
    </xf>
    <xf borderId="4" fillId="3" fontId="5" numFmtId="3" xfId="0" applyAlignment="1" applyBorder="1" applyFont="1" applyNumberFormat="1">
      <alignment horizontal="right" readingOrder="0" shrinkToFit="0" wrapText="0"/>
    </xf>
    <xf borderId="4" fillId="0" fontId="6" numFmtId="0" xfId="0" applyBorder="1" applyFont="1"/>
    <xf borderId="2" fillId="3" fontId="2" numFmtId="0" xfId="0" applyBorder="1" applyFont="1"/>
    <xf borderId="2" fillId="0" fontId="3" numFmtId="0" xfId="0" applyAlignment="1" applyBorder="1" applyFont="1">
      <alignment horizontal="right"/>
    </xf>
    <xf borderId="2" fillId="0" fontId="2" numFmtId="0" xfId="0" applyAlignment="1" applyBorder="1" applyFont="1">
      <alignment readingOrder="0"/>
    </xf>
    <xf borderId="2" fillId="0" fontId="2" numFmtId="2" xfId="0" applyBorder="1" applyFont="1" applyNumberFormat="1"/>
    <xf borderId="3" fillId="0" fontId="7" numFmtId="0" xfId="0" applyBorder="1" applyFont="1"/>
    <xf borderId="5" fillId="3" fontId="5" numFmtId="0" xfId="0" applyAlignment="1" applyBorder="1" applyFont="1">
      <alignment horizontal="right" readingOrder="0" shrinkToFit="0" wrapText="0"/>
    </xf>
    <xf borderId="5" fillId="3" fontId="5" numFmtId="3" xfId="0" applyAlignment="1" applyBorder="1" applyFont="1" applyNumberFormat="1">
      <alignment horizontal="right" readingOrder="0" shrinkToFit="0" wrapText="0"/>
    </xf>
    <xf borderId="5" fillId="0" fontId="6" numFmtId="0" xfId="0" applyBorder="1" applyFont="1"/>
    <xf borderId="6" fillId="0" fontId="7" numFmtId="0" xfId="0" applyBorder="1" applyFont="1"/>
    <xf borderId="7" fillId="3" fontId="5" numFmtId="0" xfId="0" applyAlignment="1" applyBorder="1" applyFont="1">
      <alignment horizontal="right" readingOrder="0" shrinkToFit="0" wrapText="0"/>
    </xf>
    <xf borderId="7" fillId="3" fontId="5" numFmtId="3" xfId="0" applyAlignment="1" applyBorder="1" applyFont="1" applyNumberFormat="1">
      <alignment horizontal="right" readingOrder="0" shrinkToFit="0" wrapText="0"/>
    </xf>
    <xf borderId="7" fillId="0" fontId="6" numFmtId="0" xfId="0" applyBorder="1" applyFont="1"/>
    <xf borderId="8" fillId="3" fontId="4" numFmtId="0" xfId="0" applyAlignment="1" applyBorder="1" applyFont="1">
      <alignment horizontal="center" readingOrder="0" shrinkToFit="0" vertical="center" wrapText="1"/>
    </xf>
    <xf borderId="2" fillId="3" fontId="1" numFmtId="0" xfId="0" applyAlignment="1" applyBorder="1" applyFont="1">
      <alignment readingOrder="0"/>
    </xf>
    <xf borderId="9" fillId="0" fontId="8" numFmtId="0" xfId="0" applyAlignment="1" applyBorder="1" applyFont="1">
      <alignment horizontal="center" readingOrder="0"/>
    </xf>
    <xf borderId="10" fillId="0" fontId="7" numFmtId="0" xfId="0" applyBorder="1" applyFont="1"/>
    <xf borderId="11" fillId="0" fontId="7" numFmtId="0" xfId="0" applyBorder="1" applyFont="1"/>
    <xf borderId="0" fillId="0" fontId="8" numFmtId="0" xfId="0" applyFont="1"/>
    <xf borderId="0" fillId="0" fontId="1" numFmtId="0" xfId="0" applyFont="1"/>
    <xf borderId="0" fillId="0" fontId="8" numFmtId="0" xfId="0" applyAlignment="1" applyFont="1">
      <alignment readingOrder="0"/>
    </xf>
    <xf borderId="12" fillId="0" fontId="8" numFmtId="0" xfId="0" applyBorder="1" applyFont="1"/>
    <xf borderId="12" fillId="2" fontId="1" numFmtId="0" xfId="0" applyBorder="1" applyFont="1"/>
    <xf borderId="0" fillId="0" fontId="6" numFmtId="0" xfId="0" applyFont="1"/>
    <xf borderId="0" fillId="0" fontId="6" numFmtId="164" xfId="0" applyFont="1" applyNumberFormat="1"/>
    <xf borderId="0" fillId="0" fontId="9" numFmtId="0" xfId="0" applyAlignment="1" applyFont="1">
      <alignment horizontal="right" readingOrder="0"/>
    </xf>
    <xf borderId="0" fillId="0" fontId="6" numFmtId="0" xfId="0" applyAlignment="1" applyFont="1">
      <alignment readingOrder="0"/>
    </xf>
    <xf borderId="0" fillId="0" fontId="6" numFmtId="10" xfId="0" applyFont="1" applyNumberFormat="1"/>
    <xf borderId="0" fillId="4" fontId="6" numFmtId="0" xfId="0" applyFill="1" applyFont="1"/>
    <xf borderId="13" fillId="4" fontId="8" numFmtId="0" xfId="0" applyAlignment="1" applyBorder="1" applyFont="1">
      <alignment readingOrder="0"/>
    </xf>
    <xf borderId="13" fillId="4" fontId="8" numFmtId="164" xfId="0" applyBorder="1" applyFont="1" applyNumberFormat="1"/>
    <xf borderId="14" fillId="0" fontId="6" numFmtId="10" xfId="0" applyBorder="1" applyFont="1" applyNumberFormat="1"/>
    <xf borderId="0" fillId="0" fontId="9" numFmtId="0" xfId="0" applyAlignment="1" applyFont="1">
      <alignment horizontal="right"/>
    </xf>
    <xf borderId="14" fillId="0" fontId="10" numFmtId="0" xfId="0" applyAlignment="1" applyBorder="1" applyFont="1">
      <alignment readingOrder="0"/>
    </xf>
    <xf borderId="14" fillId="0" fontId="10" numFmtId="164" xfId="0" applyAlignment="1" applyBorder="1" applyFont="1" applyNumberFormat="1">
      <alignment readingOrder="0"/>
    </xf>
    <xf borderId="13" fillId="4" fontId="8" numFmtId="0" xfId="0" applyBorder="1" applyFont="1"/>
    <xf borderId="0" fillId="0" fontId="8" numFmtId="0" xfId="0" applyAlignment="1" applyFont="1">
      <alignment horizontal="right" readingOrder="0"/>
    </xf>
    <xf borderId="2" fillId="2" fontId="1" numFmtId="0" xfId="0" applyAlignment="1" applyBorder="1" applyFont="1">
      <alignment readingOrder="0" shrinkToFit="0" wrapText="0"/>
    </xf>
    <xf borderId="2" fillId="2" fontId="1" numFmtId="0" xfId="0" applyAlignment="1" applyBorder="1" applyFont="1">
      <alignment readingOrder="0" shrinkToFit="0" wrapText="1"/>
    </xf>
    <xf borderId="0" fillId="0" fontId="6" numFmtId="2" xfId="0" applyAlignment="1" applyFont="1" applyNumberFormat="1">
      <alignment shrinkToFit="0" wrapText="1"/>
    </xf>
    <xf borderId="0" fillId="0" fontId="6" numFmtId="0" xfId="0" applyAlignment="1" applyFont="1">
      <alignment shrinkToFit="0" wrapText="1"/>
    </xf>
    <xf borderId="2" fillId="2" fontId="1" numFmtId="0" xfId="0" applyAlignment="1" applyBorder="1" applyFont="1">
      <alignment readingOrder="0"/>
    </xf>
    <xf borderId="15" fillId="3" fontId="4" numFmtId="0" xfId="0" applyAlignment="1" applyBorder="1" applyFont="1">
      <alignment horizontal="right" readingOrder="0" shrinkToFit="0" wrapText="0"/>
    </xf>
    <xf borderId="16" fillId="3" fontId="5" numFmtId="0" xfId="0" applyAlignment="1" applyBorder="1" applyFont="1">
      <alignment horizontal="right" readingOrder="0" shrinkToFit="0" wrapText="0"/>
    </xf>
    <xf borderId="16" fillId="3" fontId="11" numFmtId="0" xfId="0" applyAlignment="1" applyBorder="1" applyFont="1">
      <alignment horizontal="right" readingOrder="0" shrinkToFit="0" wrapText="0"/>
    </xf>
    <xf borderId="0" fillId="3" fontId="5" numFmtId="0" xfId="0" applyAlignment="1" applyFont="1">
      <alignment horizontal="right" readingOrder="0" shrinkToFit="0" wrapText="0"/>
    </xf>
    <xf borderId="17" fillId="0" fontId="6" numFmtId="2" xfId="0" applyBorder="1" applyFont="1" applyNumberFormat="1"/>
    <xf borderId="18" fillId="3" fontId="5" numFmtId="0" xfId="0" applyAlignment="1" applyBorder="1" applyFont="1">
      <alignment horizontal="right" readingOrder="0" shrinkToFit="0" wrapText="0"/>
    </xf>
    <xf borderId="18" fillId="3" fontId="5" numFmtId="165" xfId="0" applyAlignment="1" applyBorder="1" applyFont="1" applyNumberFormat="1">
      <alignment horizontal="right" readingOrder="0" shrinkToFit="0" wrapText="0"/>
    </xf>
    <xf borderId="19" fillId="0" fontId="8" numFmtId="0" xfId="0" applyAlignment="1" applyBorder="1" applyFont="1">
      <alignment horizontal="center" readingOrder="0"/>
    </xf>
    <xf borderId="14" fillId="0" fontId="7" numFmtId="0" xfId="0" applyBorder="1" applyFont="1"/>
    <xf borderId="20" fillId="0" fontId="7" numFmtId="0" xfId="0" applyBorder="1" applyFont="1"/>
    <xf borderId="15" fillId="0" fontId="6" numFmtId="2" xfId="0" applyBorder="1" applyFont="1" applyNumberFormat="1"/>
    <xf borderId="16" fillId="0" fontId="6" numFmtId="2" xfId="0" applyBorder="1" applyFont="1" applyNumberFormat="1"/>
    <xf borderId="18" fillId="0" fontId="6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Weightage Distribution Trend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'USA Oil &amp; Gas Data'!$S$2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'USA Oil &amp; Gas Data'!$T$1:$Z$1</c:f>
            </c:strRef>
          </c:cat>
          <c:val>
            <c:numRef>
              <c:f>'USA Oil &amp; Gas Data'!$T$2:$Z$2</c:f>
              <c:numCache/>
            </c:numRef>
          </c:val>
        </c:ser>
        <c:ser>
          <c:idx val="1"/>
          <c:order val="1"/>
          <c:tx>
            <c:strRef>
              <c:f>'USA Oil &amp; Gas Data'!$S$3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'USA Oil &amp; Gas Data'!$T$1:$Z$1</c:f>
            </c:strRef>
          </c:cat>
          <c:val>
            <c:numRef>
              <c:f>'USA Oil &amp; Gas Data'!$T$3:$Z$3</c:f>
              <c:numCache/>
            </c:numRef>
          </c:val>
        </c:ser>
        <c:ser>
          <c:idx val="2"/>
          <c:order val="2"/>
          <c:tx>
            <c:strRef>
              <c:f>'USA Oil &amp; Gas Data'!$S$4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'USA Oil &amp; Gas Data'!$T$1:$Z$1</c:f>
            </c:strRef>
          </c:cat>
          <c:val>
            <c:numRef>
              <c:f>'USA Oil &amp; Gas Data'!$T$4:$Z$4</c:f>
              <c:numCache/>
            </c:numRef>
          </c:val>
        </c:ser>
        <c:ser>
          <c:idx val="3"/>
          <c:order val="3"/>
          <c:tx>
            <c:strRef>
              <c:f>'USA Oil &amp; Gas Data'!$S$5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'USA Oil &amp; Gas Data'!$T$1:$Z$1</c:f>
            </c:strRef>
          </c:cat>
          <c:val>
            <c:numRef>
              <c:f>'USA Oil &amp; Gas Data'!$T$5:$Z$5</c:f>
              <c:numCache/>
            </c:numRef>
          </c:val>
        </c:ser>
        <c:ser>
          <c:idx val="4"/>
          <c:order val="4"/>
          <c:tx>
            <c:strRef>
              <c:f>'USA Oil &amp; Gas Data'!$S$6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'USA Oil &amp; Gas Data'!$T$1:$Z$1</c:f>
            </c:strRef>
          </c:cat>
          <c:val>
            <c:numRef>
              <c:f>'USA Oil &amp; Gas Data'!$T$6:$Z$6</c:f>
              <c:numCache/>
            </c:numRef>
          </c:val>
        </c:ser>
        <c:ser>
          <c:idx val="5"/>
          <c:order val="5"/>
          <c:tx>
            <c:strRef>
              <c:f>'USA Oil &amp; Gas Data'!$S$7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'USA Oil &amp; Gas Data'!$T$1:$Z$1</c:f>
            </c:strRef>
          </c:cat>
          <c:val>
            <c:numRef>
              <c:f>'USA Oil &amp; Gas Data'!$T$7:$Z$7</c:f>
              <c:numCache/>
            </c:numRef>
          </c:val>
        </c:ser>
        <c:ser>
          <c:idx val="6"/>
          <c:order val="6"/>
          <c:tx>
            <c:strRef>
              <c:f>'USA Oil &amp; Gas Data'!$S$8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'USA Oil &amp; Gas Data'!$T$1:$Z$1</c:f>
            </c:strRef>
          </c:cat>
          <c:val>
            <c:numRef>
              <c:f>'USA Oil &amp; Gas Data'!$T$8:$Z$8</c:f>
              <c:numCache/>
            </c:numRef>
          </c:val>
        </c:ser>
        <c:ser>
          <c:idx val="7"/>
          <c:order val="7"/>
          <c:tx>
            <c:strRef>
              <c:f>'USA Oil &amp; Gas Data'!$S$9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'USA Oil &amp; Gas Data'!$T$1:$Z$1</c:f>
            </c:strRef>
          </c:cat>
          <c:val>
            <c:numRef>
              <c:f>'USA Oil &amp; Gas Data'!$T$9:$Z$9</c:f>
              <c:numCache/>
            </c:numRef>
          </c:val>
        </c:ser>
        <c:ser>
          <c:idx val="8"/>
          <c:order val="8"/>
          <c:tx>
            <c:strRef>
              <c:f>'USA Oil &amp; Gas Data'!$S$10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'USA Oil &amp; Gas Data'!$T$1:$Z$1</c:f>
            </c:strRef>
          </c:cat>
          <c:val>
            <c:numRef>
              <c:f>'USA Oil &amp; Gas Data'!$T$10:$Z$10</c:f>
              <c:numCache/>
            </c:numRef>
          </c:val>
        </c:ser>
        <c:ser>
          <c:idx val="9"/>
          <c:order val="9"/>
          <c:tx>
            <c:strRef>
              <c:f>'USA Oil &amp; Gas Data'!$S$11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'USA Oil &amp; Gas Data'!$T$1:$Z$1</c:f>
            </c:strRef>
          </c:cat>
          <c:val>
            <c:numRef>
              <c:f>'USA Oil &amp; Gas Data'!$T$11:$Z$11</c:f>
              <c:numCache/>
            </c:numRef>
          </c:val>
        </c:ser>
        <c:overlap val="100"/>
        <c:axId val="1541245743"/>
        <c:axId val="1019065254"/>
      </c:barChart>
      <c:catAx>
        <c:axId val="1541245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9065254"/>
      </c:catAx>
      <c:valAx>
        <c:axId val="10190652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12457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Individual Index Price Trend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'USA Oil &amp; Gas Data'!$S$15</c:f>
            </c:strRef>
          </c:tx>
          <c:spPr>
            <a:ln cmpd="sng" w="28575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&quot;$&quot;#,##0.0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'USA Oil &amp; Gas Data'!$T$15:$Z$15</c:f>
              <c:numCache/>
            </c:numRef>
          </c:val>
          <c:smooth val="0"/>
        </c:ser>
        <c:ser>
          <c:idx val="1"/>
          <c:order val="1"/>
          <c:tx>
            <c:strRef>
              <c:f>'USA Oil &amp; Gas Data'!$S$16</c:f>
            </c:strRef>
          </c:tx>
          <c:spPr>
            <a:ln cmpd="sng" w="28575">
              <a:solidFill>
                <a:srgbClr val="EA4335"/>
              </a:solidFill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numFmt formatCode="&quot;$&quot;#,##0.0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'USA Oil &amp; Gas Data'!$T$16:$Z$16</c:f>
              <c:numCache/>
            </c:numRef>
          </c:val>
          <c:smooth val="0"/>
        </c:ser>
        <c:ser>
          <c:idx val="2"/>
          <c:order val="2"/>
          <c:tx>
            <c:strRef>
              <c:f>'USA Oil &amp; Gas Data'!$S$17</c:f>
            </c:strRef>
          </c:tx>
          <c:spPr>
            <a:ln cmpd="sng" w="28575">
              <a:solidFill>
                <a:srgbClr val="FBBC04"/>
              </a:solidFill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dLbls>
            <c:numFmt formatCode="&quot;$&quot;#,##0.0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'USA Oil &amp; Gas Data'!$T$17:$Z$17</c:f>
              <c:numCache/>
            </c:numRef>
          </c:val>
          <c:smooth val="0"/>
        </c:ser>
        <c:ser>
          <c:idx val="3"/>
          <c:order val="3"/>
          <c:tx>
            <c:strRef>
              <c:f>'USA Oil &amp; Gas Data'!$S$18</c:f>
            </c:strRef>
          </c:tx>
          <c:spPr>
            <a:ln cmpd="sng" w="28575">
              <a:solidFill>
                <a:srgbClr val="34A853"/>
              </a:solidFill>
            </a:ln>
          </c:spPr>
          <c:marker>
            <c:symbol val="circle"/>
            <c:size val="2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dLbls>
            <c:numFmt formatCode="&quot;$&quot;#,##0.0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'USA Oil &amp; Gas Data'!$T$18:$Z$18</c:f>
              <c:numCache/>
            </c:numRef>
          </c:val>
          <c:smooth val="0"/>
        </c:ser>
        <c:ser>
          <c:idx val="4"/>
          <c:order val="4"/>
          <c:tx>
            <c:strRef>
              <c:f>'USA Oil &amp; Gas Data'!$S$19</c:f>
            </c:strRef>
          </c:tx>
          <c:spPr>
            <a:ln cmpd="sng" w="28575">
              <a:solidFill>
                <a:srgbClr val="FF6D01"/>
              </a:solidFill>
            </a:ln>
          </c:spPr>
          <c:marker>
            <c:symbol val="circle"/>
            <c:size val="2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dLbls>
            <c:numFmt formatCode="&quot;$&quot;#,##0.0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'USA Oil &amp; Gas Data'!$T$19:$Z$19</c:f>
              <c:numCache/>
            </c:numRef>
          </c:val>
          <c:smooth val="0"/>
        </c:ser>
        <c:ser>
          <c:idx val="5"/>
          <c:order val="5"/>
          <c:tx>
            <c:strRef>
              <c:f>'USA Oil &amp; Gas Data'!$S$20</c:f>
            </c:strRef>
          </c:tx>
          <c:spPr>
            <a:ln cmpd="sng" w="28575">
              <a:solidFill>
                <a:srgbClr val="46BDC6"/>
              </a:solidFill>
            </a:ln>
          </c:spPr>
          <c:marker>
            <c:symbol val="circle"/>
            <c:size val="2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dLbls>
            <c:numFmt formatCode="&quot;$&quot;#,##0.0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'USA Oil &amp; Gas Data'!$T$20:$Z$20</c:f>
              <c:numCache/>
            </c:numRef>
          </c:val>
          <c:smooth val="0"/>
        </c:ser>
        <c:ser>
          <c:idx val="6"/>
          <c:order val="6"/>
          <c:tx>
            <c:strRef>
              <c:f>'USA Oil &amp; Gas Data'!$S$21</c:f>
            </c:strRef>
          </c:tx>
          <c:spPr>
            <a:ln cmpd="sng" w="28575">
              <a:solidFill>
                <a:srgbClr val="7BAAF7"/>
              </a:solidFill>
            </a:ln>
          </c:spPr>
          <c:marker>
            <c:symbol val="circle"/>
            <c:size val="2"/>
            <c:spPr>
              <a:solidFill>
                <a:srgbClr val="7BAAF7"/>
              </a:solidFill>
              <a:ln cmpd="sng">
                <a:solidFill>
                  <a:srgbClr val="7BAAF7"/>
                </a:solidFill>
              </a:ln>
            </c:spPr>
          </c:marker>
          <c:dLbls>
            <c:numFmt formatCode="&quot;$&quot;#,##0.0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'USA Oil &amp; Gas Data'!$T$21:$Z$21</c:f>
              <c:numCache/>
            </c:numRef>
          </c:val>
          <c:smooth val="0"/>
        </c:ser>
        <c:axId val="1225083412"/>
        <c:axId val="880471798"/>
      </c:lineChart>
      <c:catAx>
        <c:axId val="12250834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880471798"/>
      </c:catAx>
      <c:valAx>
        <c:axId val="8804717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Index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50834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FinixOG Index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'USA Oil &amp; Gas Data'!$S$25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dLbls>
            <c:numFmt formatCode="&quot;$&quot;#,##0.00" sourceLinked="0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'USA Oil &amp; Gas Data'!$T$25:$Z$25</c:f>
              <c:numCache/>
            </c:numRef>
          </c:val>
        </c:ser>
        <c:axId val="1128837803"/>
        <c:axId val="1272158078"/>
      </c:areaChart>
      <c:catAx>
        <c:axId val="11288378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2158078"/>
      </c:catAx>
      <c:valAx>
        <c:axId val="12721580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Index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88378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Return of our Index vs Top 3 ETFs in Oil &amp; Gas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'Compare with ETFs'!$A$13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'Compare with ETFs'!$B$12:$G$12</c:f>
            </c:strRef>
          </c:cat>
          <c:val>
            <c:numRef>
              <c:f>'Compare with ETFs'!$B$13:$G$13</c:f>
              <c:numCache/>
            </c:numRef>
          </c:val>
          <c:smooth val="0"/>
        </c:ser>
        <c:ser>
          <c:idx val="1"/>
          <c:order val="1"/>
          <c:tx>
            <c:strRef>
              <c:f>'Compare with ETFs'!$A$14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'Compare with ETFs'!$B$12:$G$12</c:f>
            </c:strRef>
          </c:cat>
          <c:val>
            <c:numRef>
              <c:f>'Compare with ETFs'!$B$14:$G$14</c:f>
              <c:numCache/>
            </c:numRef>
          </c:val>
          <c:smooth val="0"/>
        </c:ser>
        <c:ser>
          <c:idx val="2"/>
          <c:order val="2"/>
          <c:tx>
            <c:strRef>
              <c:f>'Compare with ETFs'!$A$15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'Compare with ETFs'!$B$12:$G$12</c:f>
            </c:strRef>
          </c:cat>
          <c:val>
            <c:numRef>
              <c:f>'Compare with ETFs'!$B$15:$G$15</c:f>
              <c:numCache/>
            </c:numRef>
          </c:val>
          <c:smooth val="0"/>
        </c:ser>
        <c:ser>
          <c:idx val="3"/>
          <c:order val="3"/>
          <c:tx>
            <c:strRef>
              <c:f>'Compare with ETFs'!$A$16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'Compare with ETFs'!$B$12:$G$12</c:f>
            </c:strRef>
          </c:cat>
          <c:val>
            <c:numRef>
              <c:f>'Compare with ETFs'!$B$16:$G$16</c:f>
              <c:numCache/>
            </c:numRef>
          </c:val>
          <c:smooth val="0"/>
        </c:ser>
        <c:axId val="887530593"/>
        <c:axId val="967772255"/>
      </c:lineChart>
      <c:catAx>
        <c:axId val="8875305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7772255"/>
      </c:catAx>
      <c:valAx>
        <c:axId val="9677722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75305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534525" cy="6991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0</xdr:colOff>
      <xdr:row>0</xdr:row>
      <xdr:rowOff>0</xdr:rowOff>
    </xdr:from>
    <xdr:ext cx="11353800" cy="69913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37</xdr:row>
      <xdr:rowOff>0</xdr:rowOff>
    </xdr:from>
    <xdr:ext cx="9534525" cy="5133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0</xdr:colOff>
      <xdr:row>37</xdr:row>
      <xdr:rowOff>0</xdr:rowOff>
    </xdr:from>
    <xdr:ext cx="11353800" cy="51339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81" sheet="USA Oil &amp; Gas Data"/>
  </cacheSource>
  <cacheFields>
    <cacheField name="Name" numFmtId="0">
      <sharedItems containsBlank="1">
        <s v="ConocoPhillips"/>
        <m/>
        <s v="EOG Resources, Inc."/>
        <s v="Pioneer Natural Resources Company"/>
        <s v="Occidental Petroleum Corporation"/>
        <s v="Hess Corporation"/>
        <s v="Diamondback Energy, Inc."/>
        <s v="Devon Energy Corporation"/>
        <s v="Coterra Energy Inc."/>
        <s v="EQT Corporation"/>
        <s v="Marathon Oil Corporation"/>
      </sharedItems>
    </cacheField>
    <cacheField name="Year" numFmtId="0">
      <sharedItems containsSemiMixedTypes="0" containsString="0" containsNumber="1" containsInteger="1">
        <n v="2016.0"/>
        <n v="2017.0"/>
        <n v="2018.0"/>
        <n v="2019.0"/>
        <n v="2020.0"/>
        <n v="2021.0"/>
        <n v="2022.0"/>
        <n v="2023.0"/>
      </sharedItems>
    </cacheField>
    <cacheField name="Ticker" numFmtId="0">
      <sharedItems>
        <s v="COP"/>
        <s v="EOG"/>
        <s v="PXD"/>
        <s v="OXY"/>
        <s v="HES"/>
        <s v="FANG"/>
        <s v="DVN"/>
        <s v="CTRA"/>
        <s v="EQT"/>
        <s v="MRO"/>
      </sharedItems>
    </cacheField>
    <cacheField name="Open" numFmtId="0">
      <sharedItems containsSemiMixedTypes="0" containsString="0" containsNumber="1">
        <n v="46.41"/>
        <n v="50.82"/>
        <n v="55.09"/>
        <n v="60.69"/>
        <n v="65.28"/>
        <n v="40.5"/>
        <n v="72.03"/>
        <n v="116.56"/>
        <n v="70.8"/>
        <n v="102.63"/>
        <n v="108.67"/>
        <n v="85.66"/>
        <n v="84.32"/>
        <n v="50.76"/>
        <n v="88.33"/>
        <n v="128.0"/>
        <n v="125.19"/>
        <n v="182.99"/>
        <n v="174.3"/>
        <n v="128.78"/>
        <n v="152.02"/>
        <n v="115.02"/>
        <n v="180.69"/>
        <n v="225.37"/>
        <n v="66.98"/>
        <n v="72.27"/>
        <n v="74.01"/>
        <n v="60.52"/>
        <n v="41.63"/>
        <n v="17.75"/>
        <n v="29.21"/>
        <n v="62.3"/>
        <n v="48.4"/>
        <n v="63.38"/>
        <n v="47.97"/>
        <n v="39.29"/>
        <n v="67.51"/>
        <n v="53.85"/>
        <n v="73.9"/>
        <n v="140.04"/>
        <n v="66.45"/>
        <n v="102.5"/>
        <n v="125.0"/>
        <n v="90.64"/>
        <n v="93.35"/>
        <n v="49.0"/>
        <n v="107.58"/>
        <n v="134.97"/>
        <n v="31.78"/>
        <n v="46.82"/>
        <n v="41.79"/>
        <n v="21.94"/>
        <n v="26.21"/>
        <n v="16.0"/>
        <n v="44.14"/>
        <n v="60.73"/>
        <n v="20.24"/>
        <n v="22.98"/>
        <n v="28.31"/>
        <n v="22.1"/>
        <n v="17.52"/>
        <n v="16.49"/>
        <n v="18.9"/>
        <n v="24.2"/>
        <n v="28.17"/>
        <n v="35.06"/>
        <n v="31.31"/>
        <n v="18.52"/>
        <n v="6.0"/>
        <n v="12.97"/>
        <n v="21.81"/>
        <n v="32.67"/>
        <n v="12.56"/>
        <n v="17.74"/>
        <n v="17.11"/>
        <n v="13.9"/>
        <n v="13.69"/>
        <n v="6.78"/>
        <n v="16.42"/>
        <n v="26.68"/>
      </sharedItems>
    </cacheField>
    <cacheField name="High" numFmtId="0">
      <sharedItems containsSemiMixedTypes="0" containsString="0" containsNumber="1">
        <n v="47.77"/>
        <n v="51.68"/>
        <n v="61.32"/>
        <n v="68.31"/>
        <n v="67.13"/>
        <n v="48.29"/>
        <n v="89.74"/>
        <n v="126.39"/>
        <n v="71.18"/>
        <n v="106.79"/>
        <n v="119.0"/>
        <n v="101.37"/>
        <n v="89.54"/>
        <n v="63.03"/>
        <n v="113.2"/>
        <n v="137.95"/>
        <n v="127.09"/>
        <n v="188.43"/>
        <n v="189.95"/>
        <n v="146.69"/>
        <n v="159.01"/>
        <n v="138.42"/>
        <n v="222.04"/>
        <n v="243.73"/>
        <n v="68.71"/>
        <n v="72.96"/>
        <n v="78.09"/>
        <n v="67.46"/>
        <n v="47.58"/>
        <n v="24.6"/>
        <n v="38.93"/>
        <n v="67.93"/>
        <n v="49.85"/>
        <n v="64.4"/>
        <n v="55.48"/>
        <n v="55.38"/>
        <n v="71.66"/>
        <n v="64.83"/>
        <n v="94.59"/>
        <n v="160.52"/>
        <n v="75.66"/>
        <n v="108.5"/>
        <n v="134.52"/>
        <n v="108.94"/>
        <n v="96.92"/>
        <n v="64.9"/>
        <n v="134.06"/>
        <n v="152.79"/>
        <n v="32.93"/>
        <n v="49.45"/>
        <n v="45.16"/>
        <n v="27.92"/>
        <n v="26.98"/>
        <n v="20.77"/>
        <n v="54.26"/>
        <n v="66.96"/>
        <n v="22.25"/>
        <n v="23.33"/>
        <n v="29.56"/>
        <n v="26.12"/>
        <n v="17.81"/>
        <n v="19.51"/>
        <n v="22.65"/>
        <n v="26.2"/>
        <n v="34.2"/>
        <n v="36.15"/>
        <n v="32.48"/>
        <n v="21.42"/>
        <n v="6.16"/>
        <n v="18.66"/>
        <n v="24.84"/>
        <n v="35.98"/>
        <n v="13.0"/>
        <n v="18.27"/>
        <n v="19.52"/>
        <n v="16.42"/>
        <n v="14.07"/>
        <n v="8.83"/>
        <n v="20.58"/>
        <n v="29.85"/>
      </sharedItems>
    </cacheField>
    <cacheField name="Low" numFmtId="0">
      <sharedItems containsSemiMixedTypes="0" containsString="0" containsNumber="1">
        <n v="32.71"/>
        <n v="47.19"/>
        <n v="54.82"/>
        <n v="60.43"/>
        <n v="59.12"/>
        <n v="39.18"/>
        <n v="72.02"/>
        <n v="110.46"/>
        <n v="57.15"/>
        <n v="99.57"/>
        <n v="108.22"/>
        <n v="85.2"/>
        <n v="72.51"/>
        <n v="48.6"/>
        <n v="88.29"/>
        <n v="121.34"/>
        <n v="103.5"/>
        <n v="177.74"/>
        <n v="172.29"/>
        <n v="128.68"/>
        <n v="133.5"/>
        <n v="111.82"/>
        <n v="179.8"/>
        <n v="216.53"/>
        <n v="58.14"/>
        <n v="67.32"/>
        <n v="73.49"/>
        <n v="59.72"/>
        <n v="39.42"/>
        <n v="17.32"/>
        <n v="29.15"/>
        <n v="59.7"/>
        <n v="32.41"/>
        <n v="53.0"/>
        <n v="47.02"/>
        <n v="39.08"/>
        <n v="56.11"/>
        <n v="52.65"/>
        <n v="73.63"/>
        <n v="130.59"/>
        <n v="55.48"/>
        <n v="99.13"/>
        <n v="124.6"/>
        <n v="89.86"/>
        <n v="73.55"/>
        <n v="47.56"/>
        <n v="107.55"/>
        <n v="128.08"/>
        <n v="19.69"/>
        <n v="44.42"/>
        <n v="41.07"/>
        <n v="21.76"/>
        <n v="21.27"/>
        <n v="15.71"/>
        <n v="42.87"/>
        <n v="56.41"/>
        <n v="18.48"/>
        <n v="20.99"/>
        <n v="26.26"/>
        <n v="21.91"/>
        <n v="14.02"/>
        <n v="16.3"/>
        <n v="18.39"/>
        <n v="22.76"/>
        <n v="26.29"/>
        <n v="32.77"/>
        <n v="29.46"/>
        <n v="18.19"/>
        <n v="4.21"/>
        <n v="12.93"/>
        <n v="19.2"/>
        <n v="31.5"/>
        <n v="7.08"/>
        <n v="16.28"/>
        <n v="17.04"/>
        <n v="13.86"/>
        <n v="11.36"/>
        <n v="6.6"/>
        <n v="16.4"/>
        <n v="24.78"/>
      </sharedItems>
    </cacheField>
    <cacheField name="Close*" numFmtId="0">
      <sharedItems containsSemiMixedTypes="0" containsString="0" containsNumber="1">
        <n v="39.08"/>
        <n v="48.76"/>
        <n v="58.81"/>
        <n v="67.69"/>
        <n v="59.43"/>
        <n v="40.03"/>
        <n v="88.62"/>
        <n v="121.87"/>
        <n v="71.02"/>
        <n v="101.58"/>
        <n v="115.0"/>
        <n v="99.2"/>
        <n v="72.91"/>
        <n v="50.96"/>
        <n v="111.48"/>
        <n v="132.25"/>
        <n v="123.95"/>
        <n v="180.23"/>
        <n v="182.91"/>
        <n v="142.32"/>
        <n v="135.0"/>
        <n v="120.9"/>
        <n v="218.89"/>
        <n v="230.35"/>
        <n v="68.71"/>
        <n v="67.77"/>
        <n v="74.97"/>
        <n v="66.78"/>
        <n v="39.72"/>
        <n v="20.06"/>
        <n v="37.67"/>
        <n v="64.79"/>
        <n v="42.5"/>
        <n v="54.18"/>
        <n v="50.51"/>
        <n v="54.0"/>
        <n v="56.57"/>
        <n v="53.98"/>
        <n v="92.29"/>
        <n v="150.16"/>
        <n v="75.55"/>
        <n v="105.17"/>
        <n v="125.5"/>
        <n v="103.12"/>
        <n v="74.4"/>
        <n v="56.69"/>
        <n v="126.16"/>
        <n v="146.12"/>
        <n v="27.9"/>
        <n v="45.54"/>
        <n v="41.37"/>
        <n v="26.65"/>
        <n v="21.72"/>
        <n v="16.46"/>
        <n v="50.57"/>
        <n v="63.24"/>
        <n v="20.13"/>
        <n v="21.48"/>
        <n v="26.35"/>
        <n v="24.95"/>
        <n v="14.09"/>
        <n v="18.33"/>
        <n v="21.9"/>
        <n v="25.03"/>
        <n v="33.61"/>
        <n v="33.0"/>
        <n v="29.55"/>
        <n v="19.47"/>
        <n v="5.87"/>
        <n v="16.31"/>
        <n v="21.25"/>
        <n v="32.67"/>
        <n v="9.73"/>
        <n v="16.75"/>
        <n v="18.19"/>
        <n v="15.79"/>
        <n v="11.37"/>
        <n v="7.24"/>
        <n v="27.47"/>
      </sharedItems>
    </cacheField>
    <cacheField name="Adj Close**" numFmtId="0">
      <sharedItems containsSemiMixedTypes="0" containsString="0" containsNumber="1">
        <n v="30.58"/>
        <n v="39.13"/>
        <n v="48.26"/>
        <n v="56.55"/>
        <n v="50.76"/>
        <n v="35.56"/>
        <n v="81.39"/>
        <n v="117.55"/>
        <n v="55.3"/>
        <n v="79.78"/>
        <n v="90.94"/>
        <n v="78.95"/>
        <n v="58.71"/>
        <n v="42.3"/>
        <n v="97.98"/>
        <n v="125.06"/>
        <n v="97.1"/>
        <n v="141.27"/>
        <n v="143.44"/>
        <n v="111.81"/>
        <n v="106.97"/>
        <n v="98.24"/>
        <n v="185.24"/>
        <n v="215.95"/>
        <n v="53.46"/>
        <n v="54.94"/>
        <n v="63.76"/>
        <n v="59.26"/>
        <n v="37.65"/>
        <n v="19.63"/>
        <n v="36.92"/>
        <n v="64.03"/>
        <n v="37.08"/>
        <n v="48.16"/>
        <n v="45.91"/>
        <n v="49.97"/>
        <n v="53.22"/>
        <n v="51.97"/>
        <n v="90.02"/>
        <n v="148.34"/>
        <n v="62.76"/>
        <n v="87.36"/>
        <n v="104.25"/>
        <n v="85.92"/>
        <n v="62.45"/>
        <n v="49.3"/>
        <n v="112.02"/>
        <n v="138.45"/>
        <n v="20.64"/>
        <n v="34.2"/>
        <n v="31.28"/>
        <n v="20.32"/>
        <n v="16.79"/>
        <n v="13.52"/>
        <n v="44.1"/>
        <n v="59.58"/>
        <n v="15.66"/>
        <n v="16.76"/>
        <n v="20.7"/>
        <n v="19.79"/>
        <n v="11.37"/>
        <n v="15.13"/>
        <n v="19.13"/>
        <n v="23.91"/>
        <n v="31.84"/>
        <n v="31.32"/>
        <n v="28.1"/>
        <n v="18.58"/>
        <n v="5.65"/>
        <n v="15.78"/>
        <n v="20.56"/>
        <n v="32.13"/>
        <n v="8.71"/>
        <n v="15.27"/>
        <n v="16.81"/>
        <n v="14.76"/>
        <n v="10.78"/>
        <n v="6.93"/>
        <n v="18.92"/>
        <n v="27.03"/>
      </sharedItems>
    </cacheField>
    <cacheField name="Volume" numFmtId="3">
      <sharedItems containsSemiMixedTypes="0" containsString="0" containsNumber="1" containsInteger="1">
        <n v="3.336698E8"/>
        <n v="1.176704E8"/>
        <n v="1.109568E8"/>
        <n v="1.327545E8"/>
        <n v="1.242436E8"/>
        <n v="2.409296E8"/>
        <n v="1.762969E8"/>
        <n v="9.71243E7"/>
        <n v="1.217286E8"/>
        <n v="5.95496E7"/>
        <n v="5.9106E7"/>
        <n v="6.86877E7"/>
        <n v="8.71841E7"/>
        <n v="1.009816E8"/>
        <n v="1.008768E8"/>
        <n v="5.82437E7"/>
        <n v="8.0376E7"/>
        <n v="2.65326E7"/>
        <n v="3.5578E7"/>
        <n v="3.56031E7"/>
        <n v="3.42351E7"/>
        <n v="6.54353E7"/>
        <n v="5.49939E7"/>
        <n v="3.24587E7"/>
        <n v="1.38401783E8"/>
        <n v="8.97174E7"/>
        <n v="7.48663E7"/>
        <n v="9.95973E7"/>
        <n v="2.382606E8"/>
        <n v="4.323305E8"/>
        <n v="3.927287E8"/>
        <n v="2.056905E8"/>
        <n v="1.371197E8"/>
        <n v="9.80442E7"/>
        <n v="9.13945E7"/>
        <n v="1.147885E8"/>
        <n v="6.14995E7"/>
        <n v="3.75968E7"/>
        <n v="6.76799E7"/>
        <n v="3.40926E7"/>
        <n v="3.87486E7"/>
        <n v="2.36583E7"/>
        <n v="2.51061E7"/>
        <n v="4.12137E7"/>
        <n v="4.37986E7"/>
        <n v="6.44856E7"/>
        <n v="5.94716E7"/>
        <n v="3.87424E7"/>
        <n v="1.992275E8"/>
        <n v="8.18651E7"/>
        <n v="9.73762E7"/>
        <n v="1.639208E8"/>
        <n v="1.285392E8"/>
        <n v="3.414778E8"/>
        <n v="2.804468E8"/>
        <n v="1.464867E8"/>
        <n v="2.765764E8"/>
        <n v="1.302687E8"/>
        <n v="9.72401E7"/>
        <n v="1.387242E8"/>
        <n v="1.7907E8"/>
        <n v="1.046291E8"/>
        <n v="1.69041E8"/>
        <n v="1.547098E8"/>
        <n v="9.3229589E7"/>
        <n v="7.093851E7"/>
        <n v="1.30397976E8"/>
        <n v="1.118789E8"/>
        <n v="1.900861E8"/>
        <n v="1.239546E8"/>
        <n v="1.620907E8"/>
        <n v="1.318279E8"/>
        <n v="4.964981E8"/>
        <n v="1.791557E8"/>
        <n v="2.316134E8"/>
        <n v="2.323381E8"/>
        <n v="2.676924E8"/>
        <n v="6.117382E8"/>
        <n v="3.940545E8"/>
        <n v="1.817993E8"/>
      </sharedItems>
    </cacheField>
    <cacheField name="Approx. Market Cap" numFmtId="0">
      <sharedItems containsSemiMixedTypes="0" containsString="0" containsNumber="1">
        <n v="6.212E10"/>
        <n v="6.562000000000001E10"/>
        <n v="7.097E10"/>
        <n v="4.27E10"/>
        <n v="7.054E10"/>
        <n v="9.52E10"/>
        <n v="1.4703E11"/>
        <n v="1.3782E11"/>
        <n v="5.827E10"/>
        <n v="6.239E10"/>
        <n v="5.058E10"/>
        <n v="4.874E10"/>
        <n v="2.909E10"/>
        <n v="5.197E10"/>
        <n v="7.607E10"/>
        <n v="7.053E10"/>
        <n v="3.056E10"/>
        <n v="2.941E10"/>
        <n v="2.229E10"/>
        <n v="2.505E10"/>
        <n v="1.872E10"/>
        <n v="4.44E10"/>
        <n v="5.426E10"/>
        <n v="5.246E10"/>
        <n v="5.443E10"/>
        <n v="5.636E10"/>
        <n v="4.599E10"/>
        <n v="3.684E10"/>
        <n v="1.611E10"/>
        <n v="2.707E10"/>
        <n v="5.725E10"/>
        <n v="5.24E10"/>
        <n v="1.972E10"/>
        <n v="1.508E10"/>
        <n v="1.18E10"/>
        <n v="2.037E10"/>
        <n v="1.621E10"/>
        <n v="2.292E10"/>
        <n v="4.372E10"/>
        <n v="4.428E10"/>
        <n v="9.1E9"/>
        <n v="1.239E10"/>
        <n v="1.522E10"/>
        <n v="1.476E10"/>
        <n v="7.64E9"/>
        <n v="1.953E10"/>
        <n v="2.488E10"/>
        <n v="2.775E10"/>
        <n v="2.391E10"/>
        <n v="2.175E10"/>
        <n v="1.012E10"/>
        <n v="9.92E9"/>
        <n v="6.04E9"/>
        <n v="2.982E10"/>
        <n v="4.02E10"/>
        <n v="2.902E10"/>
        <n v="1.086E10"/>
        <n v="1.322E10"/>
        <n v="9.44E9"/>
        <n v="6.92E9"/>
        <n v="6.49E9"/>
        <n v="1.545E10"/>
        <n v="1.937E10"/>
        <n v="1.919E10"/>
        <n v="1.129E10"/>
        <n v="1.509E10"/>
        <n v="4.8E9"/>
        <n v="2.78E9"/>
        <n v="3.5E9"/>
        <n v="8.24E9"/>
        <n v="1.241E10"/>
        <n v="1.59E10"/>
        <n v="1.466E10"/>
        <n v="1.438E10"/>
        <n v="1.174E10"/>
        <n v="1.08E10"/>
        <n v="5.26E9"/>
        <n v="1.278E10"/>
        <n v="1.719E10"/>
        <n v="1.413E1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USA Oil &amp; Gas Data" cacheId="0" dataCaption="" compact="0" compactData="0">
  <location ref="M1:O12" firstHeaderRow="0" firstDataRow="2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icker" axis="axisRow" compact="0" outline="0" multipleItemSelectionAllowed="1" showAll="0" sortType="ascending">
      <items>
        <item x="0"/>
        <item x="7"/>
        <item x="6"/>
        <item x="1"/>
        <item x="8"/>
        <item x="5"/>
        <item x="4"/>
        <item x="9"/>
        <item x="3"/>
        <item x="2"/>
        <item t="default"/>
      </items>
    </pivotField>
    <pivotField name="Op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Hig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Lo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Close*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Adj Close**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Volum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Approx. Market Cap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</pivotFields>
  <rowFields>
    <field x="2"/>
  </rowFields>
  <colFields>
    <field x="-2"/>
  </colFields>
  <dataFields>
    <dataField name="SUM of Adj Close**" fld="7" baseField="0"/>
    <dataField name="SUM of Approx. Market Cap" fld="9" baseField="0"/>
  </dataFields>
</pivotTableDefinition>
</file>

<file path=xl/pivotTables/pivotTable10.xml><?xml version="1.0" encoding="utf-8"?>
<pivotTableDefinition xmlns="http://schemas.openxmlformats.org/spreadsheetml/2006/main" name="Pivot Analyze 2" cacheId="0" dataCaption="" compact="0" compactData="0">
  <location ref="B16:D27" firstHeaderRow="0" firstDataRow="2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icker" axis="axisRow" compact="0" outline="0" multipleItemSelectionAllowed="1" showAll="0" sortType="ascending">
      <items>
        <item x="0"/>
        <item x="7"/>
        <item x="6"/>
        <item x="1"/>
        <item x="8"/>
        <item x="5"/>
        <item x="4"/>
        <item x="9"/>
        <item x="3"/>
        <item x="2"/>
        <item t="default"/>
      </items>
    </pivotField>
    <pivotField name="Op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Hig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Lo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Close*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Adj Close**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Volum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Approx. Market Cap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</pivotFields>
  <rowFields>
    <field x="2"/>
  </rowFields>
  <colFields>
    <field x="-2"/>
  </colFields>
  <dataFields>
    <dataField name="SUM of Adj Close**" fld="7" baseField="0"/>
    <dataField name="SUM of Approx. Market Cap" fld="9" baseField="0"/>
  </dataFields>
</pivotTableDefinition>
</file>

<file path=xl/pivotTables/pivotTable11.xml><?xml version="1.0" encoding="utf-8"?>
<pivotTableDefinition xmlns="http://schemas.openxmlformats.org/spreadsheetml/2006/main" name="Pivot Analyze 3" cacheId="0" dataCaption="" compact="0" compactData="0">
  <location ref="B29:D40" firstHeaderRow="0" firstDataRow="2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icker" axis="axisRow" compact="0" outline="0" multipleItemSelectionAllowed="1" showAll="0" sortType="ascending">
      <items>
        <item x="0"/>
        <item x="7"/>
        <item x="6"/>
        <item x="1"/>
        <item x="8"/>
        <item x="5"/>
        <item x="4"/>
        <item x="9"/>
        <item x="3"/>
        <item x="2"/>
        <item t="default"/>
      </items>
    </pivotField>
    <pivotField name="Op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Hig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Lo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Close*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Adj Close**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Volum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Approx. Market Cap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</pivotFields>
  <rowFields>
    <field x="2"/>
  </rowFields>
  <colFields>
    <field x="-2"/>
  </colFields>
  <dataFields>
    <dataField name="SUM of Adj Close**" fld="7" baseField="0"/>
    <dataField name="SUM of Approx. Market Cap" fld="9" baseField="0"/>
  </dataFields>
</pivotTableDefinition>
</file>

<file path=xl/pivotTables/pivotTable12.xml><?xml version="1.0" encoding="utf-8"?>
<pivotTableDefinition xmlns="http://schemas.openxmlformats.org/spreadsheetml/2006/main" name="Pivot Analyze 4" cacheId="0" dataCaption="" compact="0" compactData="0">
  <location ref="B42:D53" firstHeaderRow="0" firstDataRow="2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icker" axis="axisRow" compact="0" outline="0" multipleItemSelectionAllowed="1" showAll="0" sortType="ascending">
      <items>
        <item x="0"/>
        <item x="7"/>
        <item x="6"/>
        <item x="1"/>
        <item x="8"/>
        <item x="5"/>
        <item x="4"/>
        <item x="9"/>
        <item x="3"/>
        <item x="2"/>
        <item t="default"/>
      </items>
    </pivotField>
    <pivotField name="Op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Hig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Lo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Close*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Adj Close**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Volum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Approx. Market Cap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</pivotFields>
  <rowFields>
    <field x="2"/>
  </rowFields>
  <colFields>
    <field x="-2"/>
  </colFields>
  <dataFields>
    <dataField name="SUM of Adj Close**" fld="7" baseField="0"/>
    <dataField name="SUM of Approx. Market Cap" fld="9" baseField="0"/>
  </dataFields>
</pivotTableDefinition>
</file>

<file path=xl/pivotTables/pivotTable13.xml><?xml version="1.0" encoding="utf-8"?>
<pivotTableDefinition xmlns="http://schemas.openxmlformats.org/spreadsheetml/2006/main" name="Pivot Analyze 5" cacheId="0" dataCaption="" compact="0" compactData="0">
  <location ref="B55:D66" firstHeaderRow="0" firstDataRow="2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icker" axis="axisRow" compact="0" outline="0" multipleItemSelectionAllowed="1" showAll="0" sortType="ascending">
      <items>
        <item x="0"/>
        <item x="7"/>
        <item x="6"/>
        <item x="1"/>
        <item x="8"/>
        <item x="5"/>
        <item x="4"/>
        <item x="9"/>
        <item x="3"/>
        <item x="2"/>
        <item t="default"/>
      </items>
    </pivotField>
    <pivotField name="Op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Hig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Lo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Close*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Adj Close**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Volum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Approx. Market Cap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</pivotFields>
  <rowFields>
    <field x="2"/>
  </rowFields>
  <colFields>
    <field x="-2"/>
  </colFields>
  <dataFields>
    <dataField name="SUM of Adj Close**" fld="7" baseField="0"/>
    <dataField name="SUM of Approx. Market Cap" fld="9" baseField="0"/>
  </dataFields>
</pivotTableDefinition>
</file>

<file path=xl/pivotTables/pivotTable14.xml><?xml version="1.0" encoding="utf-8"?>
<pivotTableDefinition xmlns="http://schemas.openxmlformats.org/spreadsheetml/2006/main" name="Pivot Analyze 6" cacheId="0" dataCaption="" compact="0" compactData="0">
  <location ref="B68:D79" firstHeaderRow="0" firstDataRow="2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icker" axis="axisRow" compact="0" outline="0" multipleItemSelectionAllowed="1" showAll="0" sortType="ascending">
      <items>
        <item x="0"/>
        <item x="7"/>
        <item x="6"/>
        <item x="1"/>
        <item x="8"/>
        <item x="5"/>
        <item x="4"/>
        <item x="9"/>
        <item x="3"/>
        <item x="2"/>
        <item t="default"/>
      </items>
    </pivotField>
    <pivotField name="Op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Hig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Lo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Close*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Adj Close**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Volum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Approx. Market Cap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</pivotFields>
  <rowFields>
    <field x="2"/>
  </rowFields>
  <colFields>
    <field x="-2"/>
  </colFields>
  <dataFields>
    <dataField name="SUM of Adj Close**" fld="7" baseField="0"/>
    <dataField name="SUM of Approx. Market Cap" fld="9" baseField="0"/>
  </dataFields>
</pivotTableDefinition>
</file>

<file path=xl/pivotTables/pivotTable15.xml><?xml version="1.0" encoding="utf-8"?>
<pivotTableDefinition xmlns="http://schemas.openxmlformats.org/spreadsheetml/2006/main" name="Pivot Analyze 7" cacheId="0" dataCaption="" compact="0" compactData="0">
  <location ref="B81:D92" firstHeaderRow="0" firstDataRow="2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icker" axis="axisRow" compact="0" outline="0" multipleItemSelectionAllowed="1" showAll="0" sortType="ascending">
      <items>
        <item x="0"/>
        <item x="7"/>
        <item x="6"/>
        <item x="1"/>
        <item x="8"/>
        <item x="5"/>
        <item x="4"/>
        <item x="9"/>
        <item x="3"/>
        <item x="2"/>
        <item t="default"/>
      </items>
    </pivotField>
    <pivotField name="Op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Hig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Lo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Close*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Adj Close**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Volum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Approx. Market Cap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</pivotFields>
  <rowFields>
    <field x="2"/>
  </rowFields>
  <colFields>
    <field x="-2"/>
  </colFields>
  <dataFields>
    <dataField name="SUM of Adj Close**" fld="7" baseField="0"/>
    <dataField name="SUM of Approx. Market Cap" fld="9" baseField="0"/>
  </dataFields>
</pivotTableDefinition>
</file>

<file path=xl/pivotTables/pivotTable16.xml><?xml version="1.0" encoding="utf-8"?>
<pivotTableDefinition xmlns="http://schemas.openxmlformats.org/spreadsheetml/2006/main" name="Pivot Analyze 8" cacheId="0" dataCaption="" compact="0" compactData="0">
  <location ref="B94:D105" firstHeaderRow="0" firstDataRow="2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icker" axis="axisRow" compact="0" outline="0" multipleItemSelectionAllowed="1" showAll="0" sortType="ascending">
      <items>
        <item x="0"/>
        <item x="7"/>
        <item x="6"/>
        <item x="1"/>
        <item x="8"/>
        <item x="5"/>
        <item x="4"/>
        <item x="9"/>
        <item x="3"/>
        <item x="2"/>
        <item t="default"/>
      </items>
    </pivotField>
    <pivotField name="Op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Hig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Lo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Close*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Adj Close**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Volum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Approx. Market Cap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</pivotFields>
  <rowFields>
    <field x="2"/>
  </rowFields>
  <colFields>
    <field x="-2"/>
  </colFields>
  <dataFields>
    <dataField name="SUM of Adj Close**" fld="7" baseField="0"/>
    <dataField name="SUM of Approx. Market Cap" fld="9" baseField="0"/>
  </dataFields>
</pivotTableDefinition>
</file>

<file path=xl/pivotTables/pivotTable2.xml><?xml version="1.0" encoding="utf-8"?>
<pivotTableDefinition xmlns="http://schemas.openxmlformats.org/spreadsheetml/2006/main" name="USA Oil &amp; Gas Data 2" cacheId="0" dataCaption="" compact="0" compactData="0">
  <location ref="M14:O25" firstHeaderRow="0" firstDataRow="2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icker" axis="axisRow" compact="0" outline="0" multipleItemSelectionAllowed="1" showAll="0" sortType="ascending">
      <items>
        <item x="0"/>
        <item x="7"/>
        <item x="6"/>
        <item x="1"/>
        <item x="8"/>
        <item x="5"/>
        <item x="4"/>
        <item x="9"/>
        <item x="3"/>
        <item x="2"/>
        <item t="default"/>
      </items>
    </pivotField>
    <pivotField name="Op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Hig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Lo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Close*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Adj Close**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Volum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Approx. Market Cap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</pivotFields>
  <rowFields>
    <field x="2"/>
  </rowFields>
  <colFields>
    <field x="-2"/>
  </colFields>
  <dataFields>
    <dataField name="SUM of Adj Close**" fld="7" baseField="0"/>
    <dataField name="SUM of Approx. Market Cap" fld="9" baseField="0"/>
  </dataFields>
</pivotTableDefinition>
</file>

<file path=xl/pivotTables/pivotTable3.xml><?xml version="1.0" encoding="utf-8"?>
<pivotTableDefinition xmlns="http://schemas.openxmlformats.org/spreadsheetml/2006/main" name="USA Oil &amp; Gas Data 3" cacheId="0" dataCaption="" compact="0" compactData="0">
  <location ref="M27:O38" firstHeaderRow="0" firstDataRow="2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icker" axis="axisRow" compact="0" outline="0" multipleItemSelectionAllowed="1" showAll="0" sortType="ascending">
      <items>
        <item x="0"/>
        <item x="7"/>
        <item x="6"/>
        <item x="1"/>
        <item x="8"/>
        <item x="5"/>
        <item x="4"/>
        <item x="9"/>
        <item x="3"/>
        <item x="2"/>
        <item t="default"/>
      </items>
    </pivotField>
    <pivotField name="Op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Hig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Lo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Close*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Adj Close**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Volum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Approx. Market Cap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</pivotFields>
  <rowFields>
    <field x="2"/>
  </rowFields>
  <colFields>
    <field x="-2"/>
  </colFields>
  <dataFields>
    <dataField name="SUM of Adj Close**" fld="7" baseField="0"/>
    <dataField name="SUM of Approx. Market Cap" fld="9" baseField="0"/>
  </dataFields>
</pivotTableDefinition>
</file>

<file path=xl/pivotTables/pivotTable4.xml><?xml version="1.0" encoding="utf-8"?>
<pivotTableDefinition xmlns="http://schemas.openxmlformats.org/spreadsheetml/2006/main" name="USA Oil &amp; Gas Data 4" cacheId="0" dataCaption="" compact="0" compactData="0">
  <location ref="M40:O51" firstHeaderRow="0" firstDataRow="2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icker" axis="axisRow" compact="0" outline="0" multipleItemSelectionAllowed="1" showAll="0" sortType="ascending">
      <items>
        <item x="0"/>
        <item x="7"/>
        <item x="6"/>
        <item x="1"/>
        <item x="8"/>
        <item x="5"/>
        <item x="4"/>
        <item x="9"/>
        <item x="3"/>
        <item x="2"/>
        <item t="default"/>
      </items>
    </pivotField>
    <pivotField name="Op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Hig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Lo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Close*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Adj Close**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Volum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Approx. Market Cap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</pivotFields>
  <rowFields>
    <field x="2"/>
  </rowFields>
  <colFields>
    <field x="-2"/>
  </colFields>
  <dataFields>
    <dataField name="SUM of Adj Close**" fld="7" baseField="0"/>
    <dataField name="SUM of Approx. Market Cap" fld="9" baseField="0"/>
  </dataFields>
</pivotTableDefinition>
</file>

<file path=xl/pivotTables/pivotTable5.xml><?xml version="1.0" encoding="utf-8"?>
<pivotTableDefinition xmlns="http://schemas.openxmlformats.org/spreadsheetml/2006/main" name="USA Oil &amp; Gas Data 5" cacheId="0" dataCaption="" compact="0" compactData="0">
  <location ref="M53:O64" firstHeaderRow="0" firstDataRow="2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icker" axis="axisRow" compact="0" outline="0" multipleItemSelectionAllowed="1" showAll="0" sortType="ascending">
      <items>
        <item x="0"/>
        <item x="7"/>
        <item x="6"/>
        <item x="1"/>
        <item x="8"/>
        <item x="5"/>
        <item x="4"/>
        <item x="9"/>
        <item x="3"/>
        <item x="2"/>
        <item t="default"/>
      </items>
    </pivotField>
    <pivotField name="Op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Hig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Lo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Close*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Adj Close**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Volum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Approx. Market Cap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</pivotFields>
  <rowFields>
    <field x="2"/>
  </rowFields>
  <colFields>
    <field x="-2"/>
  </colFields>
  <dataFields>
    <dataField name="SUM of Adj Close**" fld="7" baseField="0"/>
    <dataField name="SUM of Approx. Market Cap" fld="9" baseField="0"/>
  </dataFields>
</pivotTableDefinition>
</file>

<file path=xl/pivotTables/pivotTable6.xml><?xml version="1.0" encoding="utf-8"?>
<pivotTableDefinition xmlns="http://schemas.openxmlformats.org/spreadsheetml/2006/main" name="USA Oil &amp; Gas Data 6" cacheId="0" dataCaption="" compact="0" compactData="0">
  <location ref="M66:O77" firstHeaderRow="0" firstDataRow="2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icker" axis="axisRow" compact="0" outline="0" multipleItemSelectionAllowed="1" showAll="0" sortType="ascending">
      <items>
        <item x="0"/>
        <item x="7"/>
        <item x="6"/>
        <item x="1"/>
        <item x="8"/>
        <item x="5"/>
        <item x="4"/>
        <item x="9"/>
        <item x="3"/>
        <item x="2"/>
        <item t="default"/>
      </items>
    </pivotField>
    <pivotField name="Op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Hig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Lo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Close*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Adj Close**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Volum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Approx. Market Cap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</pivotFields>
  <rowFields>
    <field x="2"/>
  </rowFields>
  <colFields>
    <field x="-2"/>
  </colFields>
  <dataFields>
    <dataField name="SUM of Adj Close**" fld="7" baseField="0"/>
    <dataField name="SUM of Approx. Market Cap" fld="9" baseField="0"/>
  </dataFields>
</pivotTableDefinition>
</file>

<file path=xl/pivotTables/pivotTable7.xml><?xml version="1.0" encoding="utf-8"?>
<pivotTableDefinition xmlns="http://schemas.openxmlformats.org/spreadsheetml/2006/main" name="USA Oil &amp; Gas Data 7" cacheId="0" dataCaption="" compact="0" compactData="0">
  <location ref="M79:O90" firstHeaderRow="0" firstDataRow="2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icker" axis="axisRow" compact="0" outline="0" multipleItemSelectionAllowed="1" showAll="0" sortType="ascending">
      <items>
        <item x="0"/>
        <item x="7"/>
        <item x="6"/>
        <item x="1"/>
        <item x="8"/>
        <item x="5"/>
        <item x="4"/>
        <item x="9"/>
        <item x="3"/>
        <item x="2"/>
        <item t="default"/>
      </items>
    </pivotField>
    <pivotField name="Op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Hig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Lo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Close*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Adj Close**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Volum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Approx. Market Cap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</pivotFields>
  <rowFields>
    <field x="2"/>
  </rowFields>
  <colFields>
    <field x="-2"/>
  </colFields>
  <dataFields>
    <dataField name="SUM of Adj Close**" fld="7" baseField="0"/>
    <dataField name="SUM of Approx. Market Cap" fld="9" baseField="0"/>
  </dataFields>
</pivotTableDefinition>
</file>

<file path=xl/pivotTables/pivotTable8.xml><?xml version="1.0" encoding="utf-8"?>
<pivotTableDefinition xmlns="http://schemas.openxmlformats.org/spreadsheetml/2006/main" name="USA Oil &amp; Gas Data 8" cacheId="0" dataCaption="" compact="0" compactData="0">
  <location ref="M92:O103" firstHeaderRow="0" firstDataRow="2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icker" axis="axisRow" compact="0" outline="0" multipleItemSelectionAllowed="1" showAll="0" sortType="ascending">
      <items>
        <item x="0"/>
        <item x="7"/>
        <item x="6"/>
        <item x="1"/>
        <item x="8"/>
        <item x="5"/>
        <item x="4"/>
        <item x="9"/>
        <item x="3"/>
        <item x="2"/>
        <item t="default"/>
      </items>
    </pivotField>
    <pivotField name="Op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Hig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Lo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Close*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Adj Close**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Volum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Approx. Market Cap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</pivotFields>
  <rowFields>
    <field x="2"/>
  </rowFields>
  <colFields>
    <field x="-2"/>
  </colFields>
  <dataFields>
    <dataField name="SUM of Adj Close**" fld="7" baseField="0"/>
    <dataField name="SUM of Approx. Market Cap" fld="9" baseField="0"/>
  </dataFields>
</pivotTableDefinition>
</file>

<file path=xl/pivotTables/pivotTable9.xml><?xml version="1.0" encoding="utf-8"?>
<pivotTableDefinition xmlns="http://schemas.openxmlformats.org/spreadsheetml/2006/main" name="Pivot Analyze" cacheId="0" dataCaption="" compact="0" compactData="0">
  <location ref="B3:D14" firstHeaderRow="0" firstDataRow="2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icker" axis="axisRow" compact="0" outline="0" multipleItemSelectionAllowed="1" showAll="0" sortType="ascending">
      <items>
        <item x="0"/>
        <item x="7"/>
        <item x="6"/>
        <item x="1"/>
        <item x="8"/>
        <item x="5"/>
        <item x="4"/>
        <item x="9"/>
        <item x="3"/>
        <item x="2"/>
        <item t="default"/>
      </items>
    </pivotField>
    <pivotField name="Op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Hig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Lo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Close*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Adj Close**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Volum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Approx. Market Cap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</pivotFields>
  <rowFields>
    <field x="2"/>
  </rowFields>
  <colFields>
    <field x="-2"/>
  </colFields>
  <dataFields>
    <dataField name="SUM of Adj Close**" fld="7" baseField="0"/>
    <dataField name="SUM of Approx. Market Cap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pivotTable" Target="../pivotTables/pivotTable1.xml"/><Relationship Id="rId3" Type="http://schemas.openxmlformats.org/officeDocument/2006/relationships/pivotTable" Target="../pivotTables/pivotTable2.xml"/><Relationship Id="rId4" Type="http://schemas.openxmlformats.org/officeDocument/2006/relationships/pivotTable" Target="../pivotTables/pivotTable3.xml"/><Relationship Id="rId11" Type="http://schemas.openxmlformats.org/officeDocument/2006/relationships/vmlDrawing" Target="../drawings/vmlDrawing1.vml"/><Relationship Id="rId10" Type="http://schemas.openxmlformats.org/officeDocument/2006/relationships/drawing" Target="../drawings/drawing1.xml"/><Relationship Id="rId9" Type="http://schemas.openxmlformats.org/officeDocument/2006/relationships/pivotTable" Target="../pivotTables/pivotTable8.xml"/><Relationship Id="rId5" Type="http://schemas.openxmlformats.org/officeDocument/2006/relationships/pivotTable" Target="../pivotTables/pivotTable4.xml"/><Relationship Id="rId6" Type="http://schemas.openxmlformats.org/officeDocument/2006/relationships/pivotTable" Target="../pivotTables/pivotTable5.xml"/><Relationship Id="rId7" Type="http://schemas.openxmlformats.org/officeDocument/2006/relationships/pivotTable" Target="../pivotTables/pivotTable6.xml"/><Relationship Id="rId8" Type="http://schemas.openxmlformats.org/officeDocument/2006/relationships/pivotTable" Target="../pivotTables/pivotTable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pivotTable" Target="../pivotTables/pivotTable10.xml"/><Relationship Id="rId3" Type="http://schemas.openxmlformats.org/officeDocument/2006/relationships/pivotTable" Target="../pivotTables/pivotTable11.xml"/><Relationship Id="rId4" Type="http://schemas.openxmlformats.org/officeDocument/2006/relationships/pivotTable" Target="../pivotTables/pivotTable12.xml"/><Relationship Id="rId9" Type="http://schemas.openxmlformats.org/officeDocument/2006/relationships/drawing" Target="../drawings/drawing2.xml"/><Relationship Id="rId5" Type="http://schemas.openxmlformats.org/officeDocument/2006/relationships/pivotTable" Target="../pivotTables/pivotTable13.xml"/><Relationship Id="rId6" Type="http://schemas.openxmlformats.org/officeDocument/2006/relationships/pivotTable" Target="../pivotTables/pivotTable14.xml"/><Relationship Id="rId7" Type="http://schemas.openxmlformats.org/officeDocument/2006/relationships/pivotTable" Target="../pivotTables/pivotTable15.xml"/><Relationship Id="rId8" Type="http://schemas.openxmlformats.org/officeDocument/2006/relationships/pivotTable" Target="../pivotTables/pivotTable1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  <col customWidth="1" min="2" max="3" width="5.5"/>
    <col customWidth="1" min="4" max="7" width="6.13"/>
    <col customWidth="1" min="8" max="8" width="9.38"/>
    <col customWidth="1" min="9" max="9" width="10.25"/>
    <col customWidth="1" min="10" max="10" width="19.88"/>
    <col customWidth="1" min="12" max="12" width="4.75"/>
    <col customWidth="1" min="13" max="13" width="10.25"/>
    <col customWidth="1" min="14" max="14" width="16.13"/>
    <col customWidth="1" min="15" max="15" width="27.13"/>
    <col customWidth="1" min="16" max="17" width="10.75"/>
    <col customWidth="1" min="18" max="18" width="26.38"/>
    <col customWidth="1" min="19" max="19" width="1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3"/>
      <c r="P1" s="4" t="s">
        <v>12</v>
      </c>
      <c r="Q1" s="5" t="s">
        <v>13</v>
      </c>
      <c r="R1" s="3"/>
      <c r="S1" s="6" t="str">
        <f t="shared" ref="S1:S11" si="1">M1</f>
        <v>Ticker</v>
      </c>
      <c r="T1" s="7">
        <v>2016.0</v>
      </c>
      <c r="U1" s="7">
        <v>2017.0</v>
      </c>
      <c r="V1" s="7">
        <v>2018.0</v>
      </c>
      <c r="W1" s="7">
        <v>2019.0</v>
      </c>
      <c r="X1" s="7">
        <v>2020.0</v>
      </c>
      <c r="Y1" s="7">
        <v>2021.0</v>
      </c>
      <c r="Z1" s="7">
        <v>2022.0</v>
      </c>
      <c r="AA1" s="3"/>
    </row>
    <row r="2">
      <c r="A2" s="8" t="s">
        <v>14</v>
      </c>
      <c r="B2" s="9">
        <v>2016.0</v>
      </c>
      <c r="C2" s="9" t="s">
        <v>15</v>
      </c>
      <c r="D2" s="9">
        <v>46.41</v>
      </c>
      <c r="E2" s="9">
        <v>47.77</v>
      </c>
      <c r="F2" s="9">
        <v>32.71</v>
      </c>
      <c r="G2" s="9">
        <v>39.08</v>
      </c>
      <c r="H2" s="9">
        <v>30.58</v>
      </c>
      <c r="I2" s="10">
        <v>3.336698E8</v>
      </c>
      <c r="J2" s="11">
        <f>62.12*K2</f>
        <v>62120000000</v>
      </c>
      <c r="K2" s="2">
        <f t="shared" ref="K2:K81" si="2">1000000000</f>
        <v>1000000000</v>
      </c>
      <c r="L2" s="7">
        <v>2016.0</v>
      </c>
      <c r="P2" s="12">
        <f t="shared" ref="P2:P11" si="3">(O2/$O$12)</f>
        <v>0.2729481556</v>
      </c>
      <c r="Q2" s="3">
        <f t="shared" ref="Q2:Q11" si="4">P2*N2</f>
        <v>125.496103</v>
      </c>
      <c r="R2" s="13" t="str">
        <f>P1</f>
        <v>Weightage</v>
      </c>
      <c r="S2" s="14" t="str">
        <f t="shared" si="1"/>
        <v>COP</v>
      </c>
      <c r="T2" s="15">
        <f t="shared" ref="T2:T12" si="5">P2</f>
        <v>0.2729481556</v>
      </c>
      <c r="U2" s="15">
        <f t="shared" ref="U2:U12" si="6">P15</f>
        <v>0.2729481556</v>
      </c>
      <c r="V2" s="15">
        <f t="shared" ref="V2:V12" si="7">P28</f>
        <v>0.2729481556</v>
      </c>
      <c r="W2" s="15">
        <f t="shared" ref="W2:W12" si="8">P41</f>
        <v>0.2729481556</v>
      </c>
      <c r="X2" s="15">
        <f t="shared" ref="X2:X12" si="9">P54</f>
        <v>0.2729481556</v>
      </c>
      <c r="Y2" s="15">
        <f t="shared" ref="Y2:Y12" si="10">P67</f>
        <v>0.2729481556</v>
      </c>
      <c r="Z2" s="15">
        <f t="shared" ref="Z2:Z12" si="11">P80</f>
        <v>0.2729481556</v>
      </c>
      <c r="AA2" s="3"/>
    </row>
    <row r="3">
      <c r="A3" s="16"/>
      <c r="B3" s="17">
        <v>2017.0</v>
      </c>
      <c r="C3" s="17" t="s">
        <v>15</v>
      </c>
      <c r="D3" s="17">
        <v>50.82</v>
      </c>
      <c r="E3" s="17">
        <v>51.68</v>
      </c>
      <c r="F3" s="17">
        <v>47.19</v>
      </c>
      <c r="G3" s="17">
        <v>48.76</v>
      </c>
      <c r="H3" s="17">
        <v>39.13</v>
      </c>
      <c r="I3" s="18">
        <v>1.176704E8</v>
      </c>
      <c r="J3" s="19">
        <f>65.62*K3</f>
        <v>65620000000</v>
      </c>
      <c r="K3" s="2">
        <f t="shared" si="2"/>
        <v>1000000000</v>
      </c>
      <c r="L3" s="3"/>
      <c r="P3" s="12">
        <f t="shared" si="3"/>
        <v>0.03981414282</v>
      </c>
      <c r="Q3" s="3">
        <f t="shared" si="4"/>
        <v>5.671524644</v>
      </c>
      <c r="R3" s="3"/>
      <c r="S3" s="14" t="str">
        <f t="shared" si="1"/>
        <v>CTRA</v>
      </c>
      <c r="T3" s="15">
        <f t="shared" si="5"/>
        <v>0.03981414282</v>
      </c>
      <c r="U3" s="15">
        <f t="shared" si="6"/>
        <v>0.03981414282</v>
      </c>
      <c r="V3" s="15">
        <f t="shared" si="7"/>
        <v>0.03981414282</v>
      </c>
      <c r="W3" s="15">
        <f t="shared" si="8"/>
        <v>0.03981414282</v>
      </c>
      <c r="X3" s="15">
        <f t="shared" si="9"/>
        <v>0.03981414282</v>
      </c>
      <c r="Y3" s="15">
        <f t="shared" si="10"/>
        <v>0.03981414282</v>
      </c>
      <c r="Z3" s="15">
        <f t="shared" si="11"/>
        <v>0.03981414282</v>
      </c>
      <c r="AA3" s="3"/>
    </row>
    <row r="4">
      <c r="A4" s="16"/>
      <c r="B4" s="17">
        <v>2018.0</v>
      </c>
      <c r="C4" s="17" t="s">
        <v>15</v>
      </c>
      <c r="D4" s="17">
        <v>55.09</v>
      </c>
      <c r="E4" s="17">
        <v>61.32</v>
      </c>
      <c r="F4" s="17">
        <v>54.82</v>
      </c>
      <c r="G4" s="17">
        <v>58.81</v>
      </c>
      <c r="H4" s="17">
        <v>48.26</v>
      </c>
      <c r="I4" s="18">
        <v>1.109568E8</v>
      </c>
      <c r="J4" s="19">
        <f>70.97*K4</f>
        <v>70970000000</v>
      </c>
      <c r="K4" s="2">
        <f t="shared" si="2"/>
        <v>1000000000</v>
      </c>
      <c r="L4" s="3"/>
      <c r="P4" s="12">
        <f t="shared" si="3"/>
        <v>0.06736139598</v>
      </c>
      <c r="Q4" s="3">
        <f t="shared" si="4"/>
        <v>16.19570044</v>
      </c>
      <c r="R4" s="3"/>
      <c r="S4" s="14" t="str">
        <f t="shared" si="1"/>
        <v>DVN</v>
      </c>
      <c r="T4" s="15">
        <f t="shared" si="5"/>
        <v>0.06736139598</v>
      </c>
      <c r="U4" s="15">
        <f t="shared" si="6"/>
        <v>0.06736139598</v>
      </c>
      <c r="V4" s="15">
        <f t="shared" si="7"/>
        <v>0.06736139598</v>
      </c>
      <c r="W4" s="15">
        <f t="shared" si="8"/>
        <v>0.06736139598</v>
      </c>
      <c r="X4" s="15">
        <f t="shared" si="9"/>
        <v>0.06736139598</v>
      </c>
      <c r="Y4" s="15">
        <f t="shared" si="10"/>
        <v>0.06736139598</v>
      </c>
      <c r="Z4" s="15">
        <f t="shared" si="11"/>
        <v>0.06736139598</v>
      </c>
      <c r="AA4" s="3"/>
    </row>
    <row r="5">
      <c r="A5" s="16"/>
      <c r="B5" s="17">
        <v>2019.0</v>
      </c>
      <c r="C5" s="17" t="s">
        <v>15</v>
      </c>
      <c r="D5" s="17">
        <v>60.69</v>
      </c>
      <c r="E5" s="17">
        <v>68.31</v>
      </c>
      <c r="F5" s="17">
        <v>60.43</v>
      </c>
      <c r="G5" s="17">
        <v>67.69</v>
      </c>
      <c r="H5" s="17">
        <v>56.55</v>
      </c>
      <c r="I5" s="18">
        <v>1.327545E8</v>
      </c>
      <c r="J5" s="19">
        <f>42.7*K5</f>
        <v>42700000000</v>
      </c>
      <c r="K5" s="2">
        <f t="shared" si="2"/>
        <v>1000000000</v>
      </c>
      <c r="L5" s="3"/>
      <c r="P5" s="12">
        <f t="shared" si="3"/>
        <v>0.1765643243</v>
      </c>
      <c r="Q5" s="3">
        <f t="shared" si="4"/>
        <v>111.0624912</v>
      </c>
      <c r="R5" s="3"/>
      <c r="S5" s="14" t="str">
        <f t="shared" si="1"/>
        <v>EOG</v>
      </c>
      <c r="T5" s="15">
        <f t="shared" si="5"/>
        <v>0.1765643243</v>
      </c>
      <c r="U5" s="15">
        <f t="shared" si="6"/>
        <v>0.1765643243</v>
      </c>
      <c r="V5" s="15">
        <f t="shared" si="7"/>
        <v>0.1765643243</v>
      </c>
      <c r="W5" s="15">
        <f t="shared" si="8"/>
        <v>0.1765643243</v>
      </c>
      <c r="X5" s="15">
        <f t="shared" si="9"/>
        <v>0.1765643243</v>
      </c>
      <c r="Y5" s="15">
        <f t="shared" si="10"/>
        <v>0.1765643243</v>
      </c>
      <c r="Z5" s="15">
        <f t="shared" si="11"/>
        <v>0.1765643243</v>
      </c>
      <c r="AA5" s="3"/>
    </row>
    <row r="6">
      <c r="A6" s="16"/>
      <c r="B6" s="17">
        <v>2020.0</v>
      </c>
      <c r="C6" s="17" t="s">
        <v>15</v>
      </c>
      <c r="D6" s="17">
        <v>65.28</v>
      </c>
      <c r="E6" s="17">
        <v>67.13</v>
      </c>
      <c r="F6" s="17">
        <v>59.12</v>
      </c>
      <c r="G6" s="17">
        <v>59.43</v>
      </c>
      <c r="H6" s="17">
        <v>50.76</v>
      </c>
      <c r="I6" s="18">
        <v>1.242436E8</v>
      </c>
      <c r="J6" s="19">
        <f>70.54*K6</f>
        <v>70540000000</v>
      </c>
      <c r="K6" s="2">
        <f t="shared" si="2"/>
        <v>1000000000</v>
      </c>
      <c r="L6" s="3"/>
      <c r="P6" s="12">
        <f t="shared" si="3"/>
        <v>0.0291920419</v>
      </c>
      <c r="Q6" s="3">
        <f t="shared" si="4"/>
        <v>5.370168029</v>
      </c>
      <c r="R6" s="3"/>
      <c r="S6" s="14" t="str">
        <f t="shared" si="1"/>
        <v>EQT</v>
      </c>
      <c r="T6" s="15">
        <f t="shared" si="5"/>
        <v>0.0291920419</v>
      </c>
      <c r="U6" s="15">
        <f t="shared" si="6"/>
        <v>0.0291920419</v>
      </c>
      <c r="V6" s="15">
        <f t="shared" si="7"/>
        <v>0.0291920419</v>
      </c>
      <c r="W6" s="15">
        <f t="shared" si="8"/>
        <v>0.0291920419</v>
      </c>
      <c r="X6" s="15">
        <f t="shared" si="9"/>
        <v>0.0291920419</v>
      </c>
      <c r="Y6" s="15">
        <f t="shared" si="10"/>
        <v>0.0291920419</v>
      </c>
      <c r="Z6" s="15">
        <f t="shared" si="11"/>
        <v>0.0291920419</v>
      </c>
      <c r="AA6" s="3"/>
    </row>
    <row r="7">
      <c r="A7" s="16"/>
      <c r="B7" s="17">
        <v>2021.0</v>
      </c>
      <c r="C7" s="17" t="s">
        <v>15</v>
      </c>
      <c r="D7" s="17">
        <v>40.5</v>
      </c>
      <c r="E7" s="17">
        <v>48.29</v>
      </c>
      <c r="F7" s="17">
        <v>39.18</v>
      </c>
      <c r="G7" s="17">
        <v>40.03</v>
      </c>
      <c r="H7" s="17">
        <v>35.56</v>
      </c>
      <c r="I7" s="18">
        <v>2.409296E8</v>
      </c>
      <c r="J7" s="19">
        <f>95.2*K7</f>
        <v>95200000000</v>
      </c>
      <c r="K7" s="2">
        <f t="shared" si="2"/>
        <v>1000000000</v>
      </c>
      <c r="L7" s="3"/>
      <c r="P7" s="12">
        <f t="shared" si="3"/>
        <v>0.05177731848</v>
      </c>
      <c r="Q7" s="3">
        <f t="shared" si="4"/>
        <v>36.37408401</v>
      </c>
      <c r="R7" s="3"/>
      <c r="S7" s="14" t="str">
        <f t="shared" si="1"/>
        <v>FANG</v>
      </c>
      <c r="T7" s="15">
        <f t="shared" si="5"/>
        <v>0.05177731848</v>
      </c>
      <c r="U7" s="15">
        <f t="shared" si="6"/>
        <v>0.05177731848</v>
      </c>
      <c r="V7" s="15">
        <f t="shared" si="7"/>
        <v>0.05177731848</v>
      </c>
      <c r="W7" s="15">
        <f t="shared" si="8"/>
        <v>0.05177731848</v>
      </c>
      <c r="X7" s="15">
        <f t="shared" si="9"/>
        <v>0.05177731848</v>
      </c>
      <c r="Y7" s="15">
        <f t="shared" si="10"/>
        <v>0.05177731848</v>
      </c>
      <c r="Z7" s="15">
        <f t="shared" si="11"/>
        <v>0.05177731848</v>
      </c>
      <c r="AA7" s="3"/>
    </row>
    <row r="8">
      <c r="A8" s="16"/>
      <c r="B8" s="17">
        <v>2022.0</v>
      </c>
      <c r="C8" s="17" t="s">
        <v>15</v>
      </c>
      <c r="D8" s="17">
        <v>72.03</v>
      </c>
      <c r="E8" s="17">
        <v>89.74</v>
      </c>
      <c r="F8" s="17">
        <v>72.02</v>
      </c>
      <c r="G8" s="17">
        <v>88.62</v>
      </c>
      <c r="H8" s="17">
        <v>81.39</v>
      </c>
      <c r="I8" s="18">
        <v>1.762969E8</v>
      </c>
      <c r="J8" s="19">
        <f>147.03*K8</f>
        <v>147030000000</v>
      </c>
      <c r="K8" s="2">
        <f t="shared" si="2"/>
        <v>1000000000</v>
      </c>
      <c r="L8" s="3"/>
      <c r="P8" s="12">
        <f t="shared" si="3"/>
        <v>0.07655959105</v>
      </c>
      <c r="Q8" s="3">
        <f t="shared" si="4"/>
        <v>40.16852064</v>
      </c>
      <c r="R8" s="3"/>
      <c r="S8" s="14" t="str">
        <f t="shared" si="1"/>
        <v>HES</v>
      </c>
      <c r="T8" s="15">
        <f t="shared" si="5"/>
        <v>0.07655959105</v>
      </c>
      <c r="U8" s="15">
        <f t="shared" si="6"/>
        <v>0.07655959105</v>
      </c>
      <c r="V8" s="15">
        <f t="shared" si="7"/>
        <v>0.07655959105</v>
      </c>
      <c r="W8" s="15">
        <f t="shared" si="8"/>
        <v>0.07655959105</v>
      </c>
      <c r="X8" s="15">
        <f t="shared" si="9"/>
        <v>0.07655959105</v>
      </c>
      <c r="Y8" s="15">
        <f t="shared" si="10"/>
        <v>0.07655959105</v>
      </c>
      <c r="Z8" s="15">
        <f t="shared" si="11"/>
        <v>0.07655959105</v>
      </c>
      <c r="AA8" s="3"/>
    </row>
    <row r="9">
      <c r="A9" s="20"/>
      <c r="B9" s="21">
        <v>2023.0</v>
      </c>
      <c r="C9" s="21" t="s">
        <v>15</v>
      </c>
      <c r="D9" s="21">
        <v>116.56</v>
      </c>
      <c r="E9" s="21">
        <v>126.39</v>
      </c>
      <c r="F9" s="21">
        <v>110.46</v>
      </c>
      <c r="G9" s="21">
        <v>121.87</v>
      </c>
      <c r="H9" s="21">
        <v>117.55</v>
      </c>
      <c r="I9" s="22">
        <v>9.71243E7</v>
      </c>
      <c r="J9" s="23">
        <f>137.82*K9</f>
        <v>137820000000</v>
      </c>
      <c r="K9" s="2">
        <f t="shared" si="2"/>
        <v>1000000000</v>
      </c>
      <c r="L9" s="3"/>
      <c r="P9" s="12">
        <f t="shared" si="3"/>
        <v>0.03981414282</v>
      </c>
      <c r="Q9" s="3">
        <f t="shared" si="4"/>
        <v>4.746243965</v>
      </c>
      <c r="R9" s="3"/>
      <c r="S9" s="14" t="str">
        <f t="shared" si="1"/>
        <v>MRO</v>
      </c>
      <c r="T9" s="15">
        <f t="shared" si="5"/>
        <v>0.03981414282</v>
      </c>
      <c r="U9" s="15">
        <f t="shared" si="6"/>
        <v>0.03981414282</v>
      </c>
      <c r="V9" s="15">
        <f t="shared" si="7"/>
        <v>0.03981414282</v>
      </c>
      <c r="W9" s="15">
        <f t="shared" si="8"/>
        <v>0.03981414282</v>
      </c>
      <c r="X9" s="15">
        <f t="shared" si="9"/>
        <v>0.03981414282</v>
      </c>
      <c r="Y9" s="15">
        <f t="shared" si="10"/>
        <v>0.03981414282</v>
      </c>
      <c r="Z9" s="15">
        <f t="shared" si="11"/>
        <v>0.03981414282</v>
      </c>
      <c r="AA9" s="3"/>
    </row>
    <row r="10">
      <c r="A10" s="24" t="s">
        <v>23</v>
      </c>
      <c r="B10" s="9">
        <v>2016.0</v>
      </c>
      <c r="C10" s="9" t="s">
        <v>18</v>
      </c>
      <c r="D10" s="9">
        <v>70.8</v>
      </c>
      <c r="E10" s="9">
        <v>71.18</v>
      </c>
      <c r="F10" s="9">
        <v>57.15</v>
      </c>
      <c r="G10" s="9">
        <v>71.02</v>
      </c>
      <c r="H10" s="9">
        <v>55.3</v>
      </c>
      <c r="I10" s="10">
        <v>1.217286E8</v>
      </c>
      <c r="J10" s="11">
        <f>58.27*K10</f>
        <v>58270000000</v>
      </c>
      <c r="K10" s="2">
        <f t="shared" si="2"/>
        <v>1000000000</v>
      </c>
      <c r="L10" s="3"/>
      <c r="P10" s="12">
        <f t="shared" si="3"/>
        <v>0.136651573</v>
      </c>
      <c r="Q10" s="3">
        <f t="shared" si="4"/>
        <v>53.24628542</v>
      </c>
      <c r="R10" s="3"/>
      <c r="S10" s="14" t="str">
        <f t="shared" si="1"/>
        <v>OXY</v>
      </c>
      <c r="T10" s="15">
        <f t="shared" si="5"/>
        <v>0.136651573</v>
      </c>
      <c r="U10" s="15">
        <f t="shared" si="6"/>
        <v>0.136651573</v>
      </c>
      <c r="V10" s="15">
        <f t="shared" si="7"/>
        <v>0.136651573</v>
      </c>
      <c r="W10" s="15">
        <f t="shared" si="8"/>
        <v>0.136651573</v>
      </c>
      <c r="X10" s="15">
        <f t="shared" si="9"/>
        <v>0.136651573</v>
      </c>
      <c r="Y10" s="15">
        <f t="shared" si="10"/>
        <v>0.136651573</v>
      </c>
      <c r="Z10" s="15">
        <f t="shared" si="11"/>
        <v>0.136651573</v>
      </c>
      <c r="AA10" s="3"/>
    </row>
    <row r="11">
      <c r="A11" s="16"/>
      <c r="B11" s="17">
        <v>2017.0</v>
      </c>
      <c r="C11" s="17" t="s">
        <v>18</v>
      </c>
      <c r="D11" s="17">
        <v>102.63</v>
      </c>
      <c r="E11" s="17">
        <v>106.79</v>
      </c>
      <c r="F11" s="17">
        <v>99.57</v>
      </c>
      <c r="G11" s="17">
        <v>101.58</v>
      </c>
      <c r="H11" s="17">
        <v>79.78</v>
      </c>
      <c r="I11" s="18">
        <v>5.95496E7</v>
      </c>
      <c r="J11" s="19">
        <f>62.39*K11</f>
        <v>62390000000</v>
      </c>
      <c r="K11" s="2">
        <f t="shared" si="2"/>
        <v>1000000000</v>
      </c>
      <c r="L11" s="3"/>
      <c r="P11" s="12">
        <f t="shared" si="3"/>
        <v>0.1093173141</v>
      </c>
      <c r="Q11" s="3">
        <f t="shared" si="4"/>
        <v>120.2512318</v>
      </c>
      <c r="R11" s="3"/>
      <c r="S11" s="14" t="str">
        <f t="shared" si="1"/>
        <v>PXD</v>
      </c>
      <c r="T11" s="15">
        <f t="shared" si="5"/>
        <v>0.1093173141</v>
      </c>
      <c r="U11" s="15">
        <f t="shared" si="6"/>
        <v>0.1093173141</v>
      </c>
      <c r="V11" s="15">
        <f t="shared" si="7"/>
        <v>0.1093173141</v>
      </c>
      <c r="W11" s="15">
        <f t="shared" si="8"/>
        <v>0.1093173141</v>
      </c>
      <c r="X11" s="15">
        <f t="shared" si="9"/>
        <v>0.1093173141</v>
      </c>
      <c r="Y11" s="15">
        <f t="shared" si="10"/>
        <v>0.1093173141</v>
      </c>
      <c r="Z11" s="15">
        <f t="shared" si="11"/>
        <v>0.1093173141</v>
      </c>
      <c r="AA11" s="3"/>
    </row>
    <row r="12">
      <c r="A12" s="16"/>
      <c r="B12" s="17">
        <v>2018.0</v>
      </c>
      <c r="C12" s="17" t="s">
        <v>18</v>
      </c>
      <c r="D12" s="17">
        <v>108.67</v>
      </c>
      <c r="E12" s="17">
        <v>119.0</v>
      </c>
      <c r="F12" s="17">
        <v>108.22</v>
      </c>
      <c r="G12" s="17">
        <v>115.0</v>
      </c>
      <c r="H12" s="17">
        <v>90.94</v>
      </c>
      <c r="I12" s="18">
        <v>5.9106E7</v>
      </c>
      <c r="J12" s="19">
        <f>50.58*K12</f>
        <v>50580000000</v>
      </c>
      <c r="K12" s="2">
        <f t="shared" si="2"/>
        <v>1000000000</v>
      </c>
      <c r="L12" s="3"/>
      <c r="P12" s="25">
        <v>1.0</v>
      </c>
      <c r="Q12" s="5">
        <f>SUM(Q2:Q11)</f>
        <v>518.5823532</v>
      </c>
      <c r="R12" s="3"/>
      <c r="S12" s="3"/>
      <c r="T12" s="3">
        <f t="shared" si="5"/>
        <v>1</v>
      </c>
      <c r="U12" s="3">
        <f t="shared" si="6"/>
        <v>1</v>
      </c>
      <c r="V12" s="3">
        <f t="shared" si="7"/>
        <v>1</v>
      </c>
      <c r="W12" s="3">
        <f t="shared" si="8"/>
        <v>1</v>
      </c>
      <c r="X12" s="3">
        <f t="shared" si="9"/>
        <v>1</v>
      </c>
      <c r="Y12" s="3">
        <f t="shared" si="10"/>
        <v>1</v>
      </c>
      <c r="Z12" s="3">
        <f t="shared" si="11"/>
        <v>1</v>
      </c>
      <c r="AA12" s="3"/>
    </row>
    <row r="13">
      <c r="A13" s="16"/>
      <c r="B13" s="17">
        <v>2019.0</v>
      </c>
      <c r="C13" s="17" t="s">
        <v>18</v>
      </c>
      <c r="D13" s="17">
        <v>85.66</v>
      </c>
      <c r="E13" s="17">
        <v>101.37</v>
      </c>
      <c r="F13" s="17">
        <v>85.2</v>
      </c>
      <c r="G13" s="17">
        <v>99.2</v>
      </c>
      <c r="H13" s="17">
        <v>78.95</v>
      </c>
      <c r="I13" s="18">
        <v>6.86877E7</v>
      </c>
      <c r="J13" s="19">
        <f>48.74*K13</f>
        <v>48740000000</v>
      </c>
      <c r="K13" s="2">
        <f t="shared" si="2"/>
        <v>1000000000</v>
      </c>
      <c r="L13" s="3"/>
      <c r="M13" s="12"/>
      <c r="N13" s="12"/>
      <c r="O13" s="12"/>
      <c r="P13" s="12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16"/>
      <c r="B14" s="17">
        <v>2020.0</v>
      </c>
      <c r="C14" s="17" t="s">
        <v>18</v>
      </c>
      <c r="D14" s="17">
        <v>84.32</v>
      </c>
      <c r="E14" s="17">
        <v>89.54</v>
      </c>
      <c r="F14" s="17">
        <v>72.51</v>
      </c>
      <c r="G14" s="17">
        <v>72.91</v>
      </c>
      <c r="H14" s="17">
        <v>58.71</v>
      </c>
      <c r="I14" s="18">
        <v>8.71841E7</v>
      </c>
      <c r="J14" s="19">
        <f>29.09*K14</f>
        <v>29090000000</v>
      </c>
      <c r="K14" s="2">
        <f t="shared" si="2"/>
        <v>1000000000</v>
      </c>
      <c r="L14" s="7">
        <v>2017.0</v>
      </c>
      <c r="P14" s="4" t="s">
        <v>12</v>
      </c>
      <c r="Q14" s="5" t="s">
        <v>13</v>
      </c>
      <c r="R14" s="13" t="s">
        <v>13</v>
      </c>
      <c r="S14" s="6" t="str">
        <f t="shared" ref="S14:S24" si="12">M14</f>
        <v>Ticker</v>
      </c>
      <c r="T14" s="7">
        <v>2016.0</v>
      </c>
      <c r="U14" s="7">
        <v>2017.0</v>
      </c>
      <c r="V14" s="7">
        <v>2018.0</v>
      </c>
      <c r="W14" s="7">
        <v>2019.0</v>
      </c>
      <c r="X14" s="7">
        <v>2020.0</v>
      </c>
      <c r="Y14" s="7">
        <v>2021.0</v>
      </c>
      <c r="Z14" s="7">
        <v>2022.0</v>
      </c>
      <c r="AA14" s="3"/>
    </row>
    <row r="15">
      <c r="A15" s="16"/>
      <c r="B15" s="17">
        <v>2021.0</v>
      </c>
      <c r="C15" s="17" t="s">
        <v>18</v>
      </c>
      <c r="D15" s="17">
        <v>50.76</v>
      </c>
      <c r="E15" s="17">
        <v>63.03</v>
      </c>
      <c r="F15" s="17">
        <v>48.6</v>
      </c>
      <c r="G15" s="17">
        <v>50.96</v>
      </c>
      <c r="H15" s="17">
        <v>42.3</v>
      </c>
      <c r="I15" s="18">
        <v>1.009816E8</v>
      </c>
      <c r="J15" s="19">
        <f>51.97*K15</f>
        <v>51970000000</v>
      </c>
      <c r="K15" s="2">
        <f t="shared" si="2"/>
        <v>1000000000</v>
      </c>
      <c r="L15" s="3"/>
      <c r="P15" s="12">
        <f t="shared" ref="P15:P24" si="13">(O15/$O$25)</f>
        <v>0.2729481556</v>
      </c>
      <c r="Q15" s="3">
        <f t="shared" ref="Q15:Q24" si="14">P15*N15</f>
        <v>125.496103</v>
      </c>
      <c r="R15" s="3"/>
      <c r="S15" s="14" t="str">
        <f t="shared" si="12"/>
        <v>COP</v>
      </c>
      <c r="T15" s="15">
        <f t="shared" ref="T15:T25" si="15">Q2</f>
        <v>125.496103</v>
      </c>
      <c r="U15" s="15">
        <f t="shared" ref="U15:U25" si="16">Q15</f>
        <v>125.496103</v>
      </c>
      <c r="V15" s="15">
        <f t="shared" ref="V15:V25" si="17">Q28</f>
        <v>125.496103</v>
      </c>
      <c r="W15" s="15">
        <f t="shared" ref="W15:W25" si="18">Q41</f>
        <v>125.496103</v>
      </c>
      <c r="X15" s="15">
        <f t="shared" ref="X15:X25" si="19">Q54</f>
        <v>125.496103</v>
      </c>
      <c r="Y15" s="15">
        <f t="shared" ref="Y15:Y25" si="20">Q67</f>
        <v>125.496103</v>
      </c>
      <c r="Z15" s="15">
        <f t="shared" ref="Z15:Z25" si="21">Q80</f>
        <v>125.496103</v>
      </c>
      <c r="AA15" s="3"/>
    </row>
    <row r="16">
      <c r="A16" s="16"/>
      <c r="B16" s="17">
        <v>2022.0</v>
      </c>
      <c r="C16" s="17" t="s">
        <v>18</v>
      </c>
      <c r="D16" s="17">
        <v>88.33</v>
      </c>
      <c r="E16" s="17">
        <v>113.2</v>
      </c>
      <c r="F16" s="17">
        <v>88.29</v>
      </c>
      <c r="G16" s="17">
        <v>111.48</v>
      </c>
      <c r="H16" s="17">
        <v>97.98</v>
      </c>
      <c r="I16" s="18">
        <v>1.008768E8</v>
      </c>
      <c r="J16" s="19">
        <f>76.07*K16</f>
        <v>76070000000</v>
      </c>
      <c r="K16" s="2">
        <f t="shared" si="2"/>
        <v>1000000000</v>
      </c>
      <c r="L16" s="3"/>
      <c r="P16" s="12">
        <f t="shared" si="13"/>
        <v>0.03981414282</v>
      </c>
      <c r="Q16" s="3">
        <f t="shared" si="14"/>
        <v>5.671524644</v>
      </c>
      <c r="R16" s="3"/>
      <c r="S16" s="14" t="str">
        <f t="shared" si="12"/>
        <v>CTRA</v>
      </c>
      <c r="T16" s="15">
        <f t="shared" si="15"/>
        <v>5.671524644</v>
      </c>
      <c r="U16" s="15">
        <f t="shared" si="16"/>
        <v>5.671524644</v>
      </c>
      <c r="V16" s="15">
        <f t="shared" si="17"/>
        <v>5.671524644</v>
      </c>
      <c r="W16" s="15">
        <f t="shared" si="18"/>
        <v>5.671524644</v>
      </c>
      <c r="X16" s="15">
        <f t="shared" si="19"/>
        <v>5.671524644</v>
      </c>
      <c r="Y16" s="15">
        <f t="shared" si="20"/>
        <v>5.671524644</v>
      </c>
      <c r="Z16" s="15">
        <f t="shared" si="21"/>
        <v>5.671524644</v>
      </c>
      <c r="AA16" s="3"/>
    </row>
    <row r="17">
      <c r="A17" s="20"/>
      <c r="B17" s="21">
        <v>2023.0</v>
      </c>
      <c r="C17" s="21" t="s">
        <v>18</v>
      </c>
      <c r="D17" s="21">
        <v>128.0</v>
      </c>
      <c r="E17" s="21">
        <v>137.95</v>
      </c>
      <c r="F17" s="21">
        <v>121.34</v>
      </c>
      <c r="G17" s="21">
        <v>132.25</v>
      </c>
      <c r="H17" s="21">
        <v>125.06</v>
      </c>
      <c r="I17" s="22">
        <v>5.82437E7</v>
      </c>
      <c r="J17" s="23">
        <f>70.53*K17</f>
        <v>70530000000</v>
      </c>
      <c r="K17" s="2">
        <f t="shared" si="2"/>
        <v>1000000000</v>
      </c>
      <c r="L17" s="3"/>
      <c r="P17" s="12">
        <f t="shared" si="13"/>
        <v>0.06736139598</v>
      </c>
      <c r="Q17" s="3">
        <f t="shared" si="14"/>
        <v>16.19570044</v>
      </c>
      <c r="R17" s="3"/>
      <c r="S17" s="14" t="str">
        <f t="shared" si="12"/>
        <v>DVN</v>
      </c>
      <c r="T17" s="15">
        <f t="shared" si="15"/>
        <v>16.19570044</v>
      </c>
      <c r="U17" s="15">
        <f t="shared" si="16"/>
        <v>16.19570044</v>
      </c>
      <c r="V17" s="15">
        <f t="shared" si="17"/>
        <v>16.19570044</v>
      </c>
      <c r="W17" s="15">
        <f t="shared" si="18"/>
        <v>16.19570044</v>
      </c>
      <c r="X17" s="15">
        <f t="shared" si="19"/>
        <v>16.19570044</v>
      </c>
      <c r="Y17" s="15">
        <f t="shared" si="20"/>
        <v>16.19570044</v>
      </c>
      <c r="Z17" s="15">
        <f t="shared" si="21"/>
        <v>16.19570044</v>
      </c>
      <c r="AA17" s="3"/>
    </row>
    <row r="18">
      <c r="A18" s="24" t="s">
        <v>27</v>
      </c>
      <c r="B18" s="9">
        <v>2016.0</v>
      </c>
      <c r="C18" s="9" t="s">
        <v>25</v>
      </c>
      <c r="D18" s="9">
        <v>125.19</v>
      </c>
      <c r="E18" s="9">
        <v>127.09</v>
      </c>
      <c r="F18" s="9">
        <v>103.5</v>
      </c>
      <c r="G18" s="9">
        <v>123.95</v>
      </c>
      <c r="H18" s="9">
        <v>97.1</v>
      </c>
      <c r="I18" s="10">
        <v>8.0376E7</v>
      </c>
      <c r="J18" s="11">
        <f>30.56*K18</f>
        <v>30560000000</v>
      </c>
      <c r="K18" s="2">
        <f t="shared" si="2"/>
        <v>1000000000</v>
      </c>
      <c r="L18" s="3"/>
      <c r="P18" s="12">
        <f t="shared" si="13"/>
        <v>0.1765643243</v>
      </c>
      <c r="Q18" s="3">
        <f t="shared" si="14"/>
        <v>111.0624912</v>
      </c>
      <c r="R18" s="3"/>
      <c r="S18" s="14" t="str">
        <f t="shared" si="12"/>
        <v>EOG</v>
      </c>
      <c r="T18" s="15">
        <f t="shared" si="15"/>
        <v>111.0624912</v>
      </c>
      <c r="U18" s="15">
        <f t="shared" si="16"/>
        <v>111.0624912</v>
      </c>
      <c r="V18" s="15">
        <f t="shared" si="17"/>
        <v>111.0624912</v>
      </c>
      <c r="W18" s="15">
        <f t="shared" si="18"/>
        <v>111.0624912</v>
      </c>
      <c r="X18" s="15">
        <f t="shared" si="19"/>
        <v>111.0624912</v>
      </c>
      <c r="Y18" s="15">
        <f t="shared" si="20"/>
        <v>111.0624912</v>
      </c>
      <c r="Z18" s="15">
        <f t="shared" si="21"/>
        <v>111.0624912</v>
      </c>
      <c r="AA18" s="3"/>
    </row>
    <row r="19">
      <c r="A19" s="16"/>
      <c r="B19" s="17">
        <v>2017.0</v>
      </c>
      <c r="C19" s="17" t="s">
        <v>25</v>
      </c>
      <c r="D19" s="17">
        <v>182.99</v>
      </c>
      <c r="E19" s="17">
        <v>188.43</v>
      </c>
      <c r="F19" s="17">
        <v>177.74</v>
      </c>
      <c r="G19" s="17">
        <v>180.23</v>
      </c>
      <c r="H19" s="17">
        <v>141.27</v>
      </c>
      <c r="I19" s="18">
        <v>2.65326E7</v>
      </c>
      <c r="J19" s="19">
        <f>29.41*K19</f>
        <v>29410000000</v>
      </c>
      <c r="K19" s="2">
        <f t="shared" si="2"/>
        <v>1000000000</v>
      </c>
      <c r="L19" s="3"/>
      <c r="P19" s="12">
        <f t="shared" si="13"/>
        <v>0.0291920419</v>
      </c>
      <c r="Q19" s="3">
        <f t="shared" si="14"/>
        <v>5.370168029</v>
      </c>
      <c r="R19" s="3"/>
      <c r="S19" s="14" t="str">
        <f t="shared" si="12"/>
        <v>EQT</v>
      </c>
      <c r="T19" s="15">
        <f t="shared" si="15"/>
        <v>5.370168029</v>
      </c>
      <c r="U19" s="15">
        <f t="shared" si="16"/>
        <v>5.370168029</v>
      </c>
      <c r="V19" s="15">
        <f t="shared" si="17"/>
        <v>5.370168029</v>
      </c>
      <c r="W19" s="15">
        <f t="shared" si="18"/>
        <v>5.370168029</v>
      </c>
      <c r="X19" s="15">
        <f t="shared" si="19"/>
        <v>5.370168029</v>
      </c>
      <c r="Y19" s="15">
        <f t="shared" si="20"/>
        <v>5.370168029</v>
      </c>
      <c r="Z19" s="15">
        <f t="shared" si="21"/>
        <v>5.370168029</v>
      </c>
      <c r="AA19" s="3"/>
    </row>
    <row r="20">
      <c r="A20" s="16"/>
      <c r="B20" s="17">
        <v>2018.0</v>
      </c>
      <c r="C20" s="17" t="s">
        <v>25</v>
      </c>
      <c r="D20" s="17">
        <v>174.3</v>
      </c>
      <c r="E20" s="17">
        <v>189.95</v>
      </c>
      <c r="F20" s="17">
        <v>172.29</v>
      </c>
      <c r="G20" s="17">
        <v>182.91</v>
      </c>
      <c r="H20" s="17">
        <v>143.44</v>
      </c>
      <c r="I20" s="18">
        <v>3.5578E7</v>
      </c>
      <c r="J20" s="19">
        <f>22.29*K20</f>
        <v>22290000000</v>
      </c>
      <c r="K20" s="2">
        <f t="shared" si="2"/>
        <v>1000000000</v>
      </c>
      <c r="L20" s="3"/>
      <c r="P20" s="12">
        <f t="shared" si="13"/>
        <v>0.05177731848</v>
      </c>
      <c r="Q20" s="3">
        <f t="shared" si="14"/>
        <v>36.37408401</v>
      </c>
      <c r="R20" s="3"/>
      <c r="S20" s="14" t="str">
        <f t="shared" si="12"/>
        <v>FANG</v>
      </c>
      <c r="T20" s="15">
        <f t="shared" si="15"/>
        <v>36.37408401</v>
      </c>
      <c r="U20" s="15">
        <f t="shared" si="16"/>
        <v>36.37408401</v>
      </c>
      <c r="V20" s="15">
        <f t="shared" si="17"/>
        <v>36.37408401</v>
      </c>
      <c r="W20" s="15">
        <f t="shared" si="18"/>
        <v>36.37408401</v>
      </c>
      <c r="X20" s="15">
        <f t="shared" si="19"/>
        <v>36.37408401</v>
      </c>
      <c r="Y20" s="15">
        <f t="shared" si="20"/>
        <v>36.37408401</v>
      </c>
      <c r="Z20" s="15">
        <f t="shared" si="21"/>
        <v>36.37408401</v>
      </c>
      <c r="AA20" s="3"/>
    </row>
    <row r="21">
      <c r="A21" s="16"/>
      <c r="B21" s="17">
        <v>2019.0</v>
      </c>
      <c r="C21" s="17" t="s">
        <v>25</v>
      </c>
      <c r="D21" s="17">
        <v>128.78</v>
      </c>
      <c r="E21" s="17">
        <v>146.69</v>
      </c>
      <c r="F21" s="17">
        <v>128.68</v>
      </c>
      <c r="G21" s="17">
        <v>142.32</v>
      </c>
      <c r="H21" s="17">
        <v>111.81</v>
      </c>
      <c r="I21" s="18">
        <v>3.56031E7</v>
      </c>
      <c r="J21" s="19">
        <f>25.05*K21</f>
        <v>25050000000</v>
      </c>
      <c r="K21" s="2">
        <f t="shared" si="2"/>
        <v>1000000000</v>
      </c>
      <c r="L21" s="3"/>
      <c r="P21" s="12">
        <f t="shared" si="13"/>
        <v>0.07655959105</v>
      </c>
      <c r="Q21" s="3">
        <f t="shared" si="14"/>
        <v>40.16852064</v>
      </c>
      <c r="R21" s="3"/>
      <c r="S21" s="14" t="str">
        <f t="shared" si="12"/>
        <v>HES</v>
      </c>
      <c r="T21" s="15">
        <f t="shared" si="15"/>
        <v>40.16852064</v>
      </c>
      <c r="U21" s="15">
        <f t="shared" si="16"/>
        <v>40.16852064</v>
      </c>
      <c r="V21" s="15">
        <f t="shared" si="17"/>
        <v>40.16852064</v>
      </c>
      <c r="W21" s="15">
        <f t="shared" si="18"/>
        <v>40.16852064</v>
      </c>
      <c r="X21" s="15">
        <f t="shared" si="19"/>
        <v>40.16852064</v>
      </c>
      <c r="Y21" s="15">
        <f t="shared" si="20"/>
        <v>40.16852064</v>
      </c>
      <c r="Z21" s="15">
        <f t="shared" si="21"/>
        <v>40.16852064</v>
      </c>
      <c r="AA21" s="3"/>
    </row>
    <row r="22">
      <c r="A22" s="16"/>
      <c r="B22" s="17">
        <v>2020.0</v>
      </c>
      <c r="C22" s="17" t="s">
        <v>25</v>
      </c>
      <c r="D22" s="17">
        <v>152.02</v>
      </c>
      <c r="E22" s="17">
        <v>159.01</v>
      </c>
      <c r="F22" s="17">
        <v>133.5</v>
      </c>
      <c r="G22" s="17">
        <v>135.0</v>
      </c>
      <c r="H22" s="17">
        <v>106.97</v>
      </c>
      <c r="I22" s="18">
        <v>3.42351E7</v>
      </c>
      <c r="J22" s="19">
        <f>18.72*K22</f>
        <v>18720000000</v>
      </c>
      <c r="K22" s="2">
        <f t="shared" si="2"/>
        <v>1000000000</v>
      </c>
      <c r="L22" s="3"/>
      <c r="P22" s="12">
        <f t="shared" si="13"/>
        <v>0.03981414282</v>
      </c>
      <c r="Q22" s="3">
        <f t="shared" si="14"/>
        <v>4.746243965</v>
      </c>
      <c r="R22" s="3"/>
      <c r="S22" s="14" t="str">
        <f t="shared" si="12"/>
        <v>MRO</v>
      </c>
      <c r="T22" s="15">
        <f t="shared" si="15"/>
        <v>4.746243965</v>
      </c>
      <c r="U22" s="15">
        <f t="shared" si="16"/>
        <v>4.746243965</v>
      </c>
      <c r="V22" s="15">
        <f t="shared" si="17"/>
        <v>4.746243965</v>
      </c>
      <c r="W22" s="15">
        <f t="shared" si="18"/>
        <v>4.746243965</v>
      </c>
      <c r="X22" s="15">
        <f t="shared" si="19"/>
        <v>4.746243965</v>
      </c>
      <c r="Y22" s="15">
        <f t="shared" si="20"/>
        <v>4.746243965</v>
      </c>
      <c r="Z22" s="15">
        <f t="shared" si="21"/>
        <v>4.746243965</v>
      </c>
      <c r="AA22" s="3"/>
    </row>
    <row r="23">
      <c r="A23" s="16"/>
      <c r="B23" s="17">
        <v>2021.0</v>
      </c>
      <c r="C23" s="17" t="s">
        <v>25</v>
      </c>
      <c r="D23" s="17">
        <v>115.02</v>
      </c>
      <c r="E23" s="17">
        <v>138.42</v>
      </c>
      <c r="F23" s="17">
        <v>111.82</v>
      </c>
      <c r="G23" s="17">
        <v>120.9</v>
      </c>
      <c r="H23" s="17">
        <v>98.24</v>
      </c>
      <c r="I23" s="18">
        <v>6.54353E7</v>
      </c>
      <c r="J23" s="19">
        <f>44.4*K23</f>
        <v>44400000000</v>
      </c>
      <c r="K23" s="2">
        <f t="shared" si="2"/>
        <v>1000000000</v>
      </c>
      <c r="L23" s="3"/>
      <c r="P23" s="12">
        <f t="shared" si="13"/>
        <v>0.136651573</v>
      </c>
      <c r="Q23" s="3">
        <f t="shared" si="14"/>
        <v>53.24628542</v>
      </c>
      <c r="R23" s="3"/>
      <c r="S23" s="14" t="str">
        <f t="shared" si="12"/>
        <v>OXY</v>
      </c>
      <c r="T23" s="15">
        <f t="shared" si="15"/>
        <v>53.24628542</v>
      </c>
      <c r="U23" s="15">
        <f t="shared" si="16"/>
        <v>53.24628542</v>
      </c>
      <c r="V23" s="15">
        <f t="shared" si="17"/>
        <v>53.24628542</v>
      </c>
      <c r="W23" s="15">
        <f t="shared" si="18"/>
        <v>53.24628542</v>
      </c>
      <c r="X23" s="15">
        <f t="shared" si="19"/>
        <v>53.24628542</v>
      </c>
      <c r="Y23" s="15">
        <f t="shared" si="20"/>
        <v>53.24628542</v>
      </c>
      <c r="Z23" s="15">
        <f t="shared" si="21"/>
        <v>53.24628542</v>
      </c>
      <c r="AA23" s="3"/>
    </row>
    <row r="24">
      <c r="A24" s="16"/>
      <c r="B24" s="17">
        <v>2022.0</v>
      </c>
      <c r="C24" s="17" t="s">
        <v>25</v>
      </c>
      <c r="D24" s="17">
        <v>180.69</v>
      </c>
      <c r="E24" s="17">
        <v>222.04</v>
      </c>
      <c r="F24" s="17">
        <v>179.8</v>
      </c>
      <c r="G24" s="17">
        <v>218.89</v>
      </c>
      <c r="H24" s="17">
        <v>185.24</v>
      </c>
      <c r="I24" s="18">
        <v>5.49939E7</v>
      </c>
      <c r="J24" s="19">
        <f>54.26*K24</f>
        <v>54260000000</v>
      </c>
      <c r="K24" s="2">
        <f t="shared" si="2"/>
        <v>1000000000</v>
      </c>
      <c r="L24" s="3"/>
      <c r="P24" s="12">
        <f t="shared" si="13"/>
        <v>0.1093173141</v>
      </c>
      <c r="Q24" s="3">
        <f t="shared" si="14"/>
        <v>120.2512318</v>
      </c>
      <c r="R24" s="3"/>
      <c r="S24" s="14" t="str">
        <f t="shared" si="12"/>
        <v>PXD</v>
      </c>
      <c r="T24" s="15">
        <f t="shared" si="15"/>
        <v>120.2512318</v>
      </c>
      <c r="U24" s="15">
        <f t="shared" si="16"/>
        <v>120.2512318</v>
      </c>
      <c r="V24" s="15">
        <f t="shared" si="17"/>
        <v>120.2512318</v>
      </c>
      <c r="W24" s="15">
        <f t="shared" si="18"/>
        <v>120.2512318</v>
      </c>
      <c r="X24" s="15">
        <f t="shared" si="19"/>
        <v>120.2512318</v>
      </c>
      <c r="Y24" s="15">
        <f t="shared" si="20"/>
        <v>120.2512318</v>
      </c>
      <c r="Z24" s="15">
        <f t="shared" si="21"/>
        <v>120.2512318</v>
      </c>
      <c r="AA24" s="3"/>
    </row>
    <row r="25">
      <c r="A25" s="20"/>
      <c r="B25" s="21">
        <v>2023.0</v>
      </c>
      <c r="C25" s="21" t="s">
        <v>25</v>
      </c>
      <c r="D25" s="21">
        <v>225.37</v>
      </c>
      <c r="E25" s="21">
        <v>243.73</v>
      </c>
      <c r="F25" s="21">
        <v>216.53</v>
      </c>
      <c r="G25" s="21">
        <v>230.35</v>
      </c>
      <c r="H25" s="21">
        <v>215.95</v>
      </c>
      <c r="I25" s="22">
        <v>3.24587E7</v>
      </c>
      <c r="J25" s="23">
        <f>52.46*K25</f>
        <v>52460000000</v>
      </c>
      <c r="K25" s="2">
        <f t="shared" si="2"/>
        <v>1000000000</v>
      </c>
      <c r="L25" s="3"/>
      <c r="P25" s="25">
        <v>1.0</v>
      </c>
      <c r="Q25" s="5">
        <f>SUM(Q15:Q24)</f>
        <v>518.5823532</v>
      </c>
      <c r="R25" s="3"/>
      <c r="S25" s="14" t="s">
        <v>28</v>
      </c>
      <c r="T25" s="15">
        <f t="shared" si="15"/>
        <v>518.5823532</v>
      </c>
      <c r="U25" s="15">
        <f t="shared" si="16"/>
        <v>518.5823532</v>
      </c>
      <c r="V25" s="15">
        <f t="shared" si="17"/>
        <v>518.5823532</v>
      </c>
      <c r="W25" s="15">
        <f t="shared" si="18"/>
        <v>518.5823532</v>
      </c>
      <c r="X25" s="15">
        <f t="shared" si="19"/>
        <v>518.5823532</v>
      </c>
      <c r="Y25" s="15">
        <f t="shared" si="20"/>
        <v>518.5823532</v>
      </c>
      <c r="Z25" s="15">
        <f t="shared" si="21"/>
        <v>518.5823532</v>
      </c>
      <c r="AA25" s="3"/>
    </row>
    <row r="26">
      <c r="A26" s="24" t="s">
        <v>29</v>
      </c>
      <c r="B26" s="9">
        <v>2016.0</v>
      </c>
      <c r="C26" s="9" t="s">
        <v>24</v>
      </c>
      <c r="D26" s="9">
        <v>66.98</v>
      </c>
      <c r="E26" s="9">
        <v>68.71</v>
      </c>
      <c r="F26" s="9">
        <v>58.14</v>
      </c>
      <c r="G26" s="9">
        <v>68.71</v>
      </c>
      <c r="H26" s="9">
        <v>53.46</v>
      </c>
      <c r="I26" s="10">
        <v>1.38401783E8</v>
      </c>
      <c r="J26" s="11">
        <f>54.43*K26</f>
        <v>54430000000</v>
      </c>
      <c r="K26" s="2">
        <f t="shared" si="2"/>
        <v>1000000000</v>
      </c>
      <c r="L26" s="3"/>
      <c r="M26" s="12"/>
      <c r="N26" s="12"/>
      <c r="O26" s="12"/>
      <c r="P26" s="12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16"/>
      <c r="B27" s="17">
        <v>2017.0</v>
      </c>
      <c r="C27" s="17" t="s">
        <v>24</v>
      </c>
      <c r="D27" s="17">
        <v>72.27</v>
      </c>
      <c r="E27" s="17">
        <v>72.96</v>
      </c>
      <c r="F27" s="17">
        <v>67.32</v>
      </c>
      <c r="G27" s="17">
        <v>67.77</v>
      </c>
      <c r="H27" s="17">
        <v>54.94</v>
      </c>
      <c r="I27" s="18">
        <v>8.97174E7</v>
      </c>
      <c r="J27" s="19">
        <f>56.36*K27</f>
        <v>56360000000</v>
      </c>
      <c r="K27" s="2">
        <f t="shared" si="2"/>
        <v>1000000000</v>
      </c>
      <c r="L27" s="7">
        <v>2018.0</v>
      </c>
      <c r="P27" s="4" t="s">
        <v>12</v>
      </c>
      <c r="Q27" s="5" t="s">
        <v>13</v>
      </c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16"/>
      <c r="B28" s="17">
        <v>2018.0</v>
      </c>
      <c r="C28" s="17" t="s">
        <v>24</v>
      </c>
      <c r="D28" s="17">
        <v>74.01</v>
      </c>
      <c r="E28" s="17">
        <v>78.09</v>
      </c>
      <c r="F28" s="17">
        <v>73.49</v>
      </c>
      <c r="G28" s="17">
        <v>74.97</v>
      </c>
      <c r="H28" s="17">
        <v>63.76</v>
      </c>
      <c r="I28" s="18">
        <v>7.48663E7</v>
      </c>
      <c r="J28" s="19">
        <f>45.99*K28</f>
        <v>45990000000</v>
      </c>
      <c r="K28" s="2">
        <f t="shared" si="2"/>
        <v>1000000000</v>
      </c>
      <c r="L28" s="3"/>
      <c r="P28" s="12">
        <f t="shared" ref="P28:P37" si="22">(O28/$O$38)</f>
        <v>0.2729481556</v>
      </c>
      <c r="Q28" s="3">
        <f t="shared" ref="Q28:Q37" si="23">P28*N28</f>
        <v>125.496103</v>
      </c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16"/>
      <c r="B29" s="17">
        <v>2019.0</v>
      </c>
      <c r="C29" s="17" t="s">
        <v>24</v>
      </c>
      <c r="D29" s="17">
        <v>60.52</v>
      </c>
      <c r="E29" s="17">
        <v>67.46</v>
      </c>
      <c r="F29" s="17">
        <v>59.72</v>
      </c>
      <c r="G29" s="17">
        <v>66.78</v>
      </c>
      <c r="H29" s="17">
        <v>59.26</v>
      </c>
      <c r="I29" s="18">
        <v>9.95973E7</v>
      </c>
      <c r="J29" s="19">
        <f>36.84*K29</f>
        <v>36840000000</v>
      </c>
      <c r="K29" s="2">
        <f t="shared" si="2"/>
        <v>1000000000</v>
      </c>
      <c r="L29" s="3"/>
      <c r="P29" s="12">
        <f t="shared" si="22"/>
        <v>0.03981414282</v>
      </c>
      <c r="Q29" s="3">
        <f t="shared" si="23"/>
        <v>5.671524644</v>
      </c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16"/>
      <c r="B30" s="17">
        <v>2020.0</v>
      </c>
      <c r="C30" s="17" t="s">
        <v>24</v>
      </c>
      <c r="D30" s="17">
        <v>41.63</v>
      </c>
      <c r="E30" s="17">
        <v>47.58</v>
      </c>
      <c r="F30" s="17">
        <v>39.42</v>
      </c>
      <c r="G30" s="17">
        <v>39.72</v>
      </c>
      <c r="H30" s="17">
        <v>37.65</v>
      </c>
      <c r="I30" s="18">
        <v>2.382606E8</v>
      </c>
      <c r="J30" s="19">
        <f>16.11*K30</f>
        <v>16110000000</v>
      </c>
      <c r="K30" s="2">
        <f t="shared" si="2"/>
        <v>1000000000</v>
      </c>
      <c r="L30" s="3"/>
      <c r="P30" s="12">
        <f t="shared" si="22"/>
        <v>0.06736139598</v>
      </c>
      <c r="Q30" s="3">
        <f t="shared" si="23"/>
        <v>16.19570044</v>
      </c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16"/>
      <c r="B31" s="17">
        <v>2021.0</v>
      </c>
      <c r="C31" s="17" t="s">
        <v>24</v>
      </c>
      <c r="D31" s="17">
        <v>17.75</v>
      </c>
      <c r="E31" s="17">
        <v>24.6</v>
      </c>
      <c r="F31" s="17">
        <v>17.32</v>
      </c>
      <c r="G31" s="17">
        <v>20.06</v>
      </c>
      <c r="H31" s="17">
        <v>19.63</v>
      </c>
      <c r="I31" s="18">
        <v>4.323305E8</v>
      </c>
      <c r="J31" s="19">
        <f>27.07*K31</f>
        <v>27070000000</v>
      </c>
      <c r="K31" s="2">
        <f t="shared" si="2"/>
        <v>1000000000</v>
      </c>
      <c r="L31" s="3"/>
      <c r="P31" s="12">
        <f t="shared" si="22"/>
        <v>0.1765643243</v>
      </c>
      <c r="Q31" s="3">
        <f t="shared" si="23"/>
        <v>111.0624912</v>
      </c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16"/>
      <c r="B32" s="17">
        <v>2022.0</v>
      </c>
      <c r="C32" s="17" t="s">
        <v>24</v>
      </c>
      <c r="D32" s="17">
        <v>29.21</v>
      </c>
      <c r="E32" s="17">
        <v>38.93</v>
      </c>
      <c r="F32" s="17">
        <v>29.15</v>
      </c>
      <c r="G32" s="17">
        <v>37.67</v>
      </c>
      <c r="H32" s="17">
        <v>36.92</v>
      </c>
      <c r="I32" s="18">
        <v>3.927287E8</v>
      </c>
      <c r="J32" s="19">
        <f>57.25*K32</f>
        <v>57250000000</v>
      </c>
      <c r="K32" s="2">
        <f t="shared" si="2"/>
        <v>1000000000</v>
      </c>
      <c r="L32" s="3"/>
      <c r="P32" s="12">
        <f t="shared" si="22"/>
        <v>0.0291920419</v>
      </c>
      <c r="Q32" s="3">
        <f t="shared" si="23"/>
        <v>5.370168029</v>
      </c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20"/>
      <c r="B33" s="21">
        <v>2023.0</v>
      </c>
      <c r="C33" s="21" t="s">
        <v>24</v>
      </c>
      <c r="D33" s="21">
        <v>62.3</v>
      </c>
      <c r="E33" s="21">
        <v>67.93</v>
      </c>
      <c r="F33" s="21">
        <v>59.7</v>
      </c>
      <c r="G33" s="21">
        <v>64.79</v>
      </c>
      <c r="H33" s="21">
        <v>64.03</v>
      </c>
      <c r="I33" s="22">
        <v>2.056905E8</v>
      </c>
      <c r="J33" s="23">
        <f>52.4*K33</f>
        <v>52400000000</v>
      </c>
      <c r="K33" s="2">
        <f t="shared" si="2"/>
        <v>1000000000</v>
      </c>
      <c r="L33" s="3"/>
      <c r="P33" s="12">
        <f t="shared" si="22"/>
        <v>0.05177731848</v>
      </c>
      <c r="Q33" s="3">
        <f t="shared" si="23"/>
        <v>36.37408401</v>
      </c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24" t="s">
        <v>30</v>
      </c>
      <c r="B34" s="9">
        <v>2016.0</v>
      </c>
      <c r="C34" s="9" t="s">
        <v>21</v>
      </c>
      <c r="D34" s="9">
        <v>48.4</v>
      </c>
      <c r="E34" s="9">
        <v>49.85</v>
      </c>
      <c r="F34" s="9">
        <v>32.41</v>
      </c>
      <c r="G34" s="9">
        <v>42.5</v>
      </c>
      <c r="H34" s="9">
        <v>37.08</v>
      </c>
      <c r="I34" s="10">
        <v>1.371197E8</v>
      </c>
      <c r="J34" s="11">
        <f>19.72*K34</f>
        <v>19720000000</v>
      </c>
      <c r="K34" s="2">
        <f t="shared" si="2"/>
        <v>1000000000</v>
      </c>
      <c r="L34" s="3"/>
      <c r="P34" s="12">
        <f t="shared" si="22"/>
        <v>0.07655959105</v>
      </c>
      <c r="Q34" s="3">
        <f t="shared" si="23"/>
        <v>40.16852064</v>
      </c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16"/>
      <c r="B35" s="17">
        <v>2017.0</v>
      </c>
      <c r="C35" s="17" t="s">
        <v>21</v>
      </c>
      <c r="D35" s="17">
        <v>63.38</v>
      </c>
      <c r="E35" s="17">
        <v>64.4</v>
      </c>
      <c r="F35" s="17">
        <v>53.0</v>
      </c>
      <c r="G35" s="17">
        <v>54.18</v>
      </c>
      <c r="H35" s="17">
        <v>48.16</v>
      </c>
      <c r="I35" s="18">
        <v>9.80442E7</v>
      </c>
      <c r="J35" s="19">
        <f>15.08*K35</f>
        <v>15080000000</v>
      </c>
      <c r="K35" s="2">
        <f t="shared" si="2"/>
        <v>1000000000</v>
      </c>
      <c r="L35" s="3"/>
      <c r="P35" s="12">
        <f t="shared" si="22"/>
        <v>0.03981414282</v>
      </c>
      <c r="Q35" s="3">
        <f t="shared" si="23"/>
        <v>4.746243965</v>
      </c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16"/>
      <c r="B36" s="17">
        <v>2018.0</v>
      </c>
      <c r="C36" s="17" t="s">
        <v>21</v>
      </c>
      <c r="D36" s="17">
        <v>47.97</v>
      </c>
      <c r="E36" s="17">
        <v>55.48</v>
      </c>
      <c r="F36" s="17">
        <v>47.02</v>
      </c>
      <c r="G36" s="17">
        <v>50.51</v>
      </c>
      <c r="H36" s="17">
        <v>45.91</v>
      </c>
      <c r="I36" s="18">
        <v>9.13945E7</v>
      </c>
      <c r="J36" s="19">
        <f>11.8*K36</f>
        <v>11800000000</v>
      </c>
      <c r="K36" s="2">
        <f t="shared" si="2"/>
        <v>1000000000</v>
      </c>
      <c r="L36" s="3"/>
      <c r="P36" s="12">
        <f t="shared" si="22"/>
        <v>0.136651573</v>
      </c>
      <c r="Q36" s="3">
        <f t="shared" si="23"/>
        <v>53.24628542</v>
      </c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16"/>
      <c r="B37" s="17">
        <v>2019.0</v>
      </c>
      <c r="C37" s="17" t="s">
        <v>21</v>
      </c>
      <c r="D37" s="17">
        <v>39.29</v>
      </c>
      <c r="E37" s="17">
        <v>55.38</v>
      </c>
      <c r="F37" s="17">
        <v>39.08</v>
      </c>
      <c r="G37" s="17">
        <v>54.0</v>
      </c>
      <c r="H37" s="17">
        <v>49.97</v>
      </c>
      <c r="I37" s="18">
        <v>1.147885E8</v>
      </c>
      <c r="J37" s="19">
        <f>20.37*K37</f>
        <v>20370000000</v>
      </c>
      <c r="K37" s="2">
        <f t="shared" si="2"/>
        <v>1000000000</v>
      </c>
      <c r="L37" s="3"/>
      <c r="P37" s="12">
        <f t="shared" si="22"/>
        <v>0.1093173141</v>
      </c>
      <c r="Q37" s="3">
        <f t="shared" si="23"/>
        <v>120.2512318</v>
      </c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16"/>
      <c r="B38" s="17">
        <v>2020.0</v>
      </c>
      <c r="C38" s="17" t="s">
        <v>21</v>
      </c>
      <c r="D38" s="17">
        <v>67.51</v>
      </c>
      <c r="E38" s="17">
        <v>71.66</v>
      </c>
      <c r="F38" s="17">
        <v>56.11</v>
      </c>
      <c r="G38" s="17">
        <v>56.57</v>
      </c>
      <c r="H38" s="17">
        <v>53.22</v>
      </c>
      <c r="I38" s="18">
        <v>6.14995E7</v>
      </c>
      <c r="J38" s="19">
        <f>16.21*K38</f>
        <v>16210000000</v>
      </c>
      <c r="K38" s="2">
        <f t="shared" si="2"/>
        <v>1000000000</v>
      </c>
      <c r="L38" s="3"/>
      <c r="P38" s="4">
        <f t="shared" ref="P38:Q38" si="24">SUM(P28:P37)</f>
        <v>1</v>
      </c>
      <c r="Q38" s="5">
        <f t="shared" si="24"/>
        <v>518.5823532</v>
      </c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16"/>
      <c r="B39" s="17">
        <v>2021.0</v>
      </c>
      <c r="C39" s="17" t="s">
        <v>21</v>
      </c>
      <c r="D39" s="17">
        <v>53.85</v>
      </c>
      <c r="E39" s="17">
        <v>64.83</v>
      </c>
      <c r="F39" s="17">
        <v>52.65</v>
      </c>
      <c r="G39" s="17">
        <v>53.98</v>
      </c>
      <c r="H39" s="17">
        <v>51.97</v>
      </c>
      <c r="I39" s="18">
        <v>3.75968E7</v>
      </c>
      <c r="J39" s="19">
        <f>22.92*K39</f>
        <v>22920000000</v>
      </c>
      <c r="K39" s="2">
        <f t="shared" si="2"/>
        <v>1000000000</v>
      </c>
      <c r="L39" s="3"/>
      <c r="M39" s="12"/>
      <c r="N39" s="12"/>
      <c r="O39" s="12"/>
      <c r="P39" s="12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16"/>
      <c r="B40" s="17">
        <v>2022.0</v>
      </c>
      <c r="C40" s="17" t="s">
        <v>21</v>
      </c>
      <c r="D40" s="17">
        <v>73.9</v>
      </c>
      <c r="E40" s="17">
        <v>94.59</v>
      </c>
      <c r="F40" s="17">
        <v>73.63</v>
      </c>
      <c r="G40" s="17">
        <v>92.29</v>
      </c>
      <c r="H40" s="17">
        <v>90.02</v>
      </c>
      <c r="I40" s="18">
        <v>6.76799E7</v>
      </c>
      <c r="J40" s="19">
        <f>43.72*K40</f>
        <v>43720000000</v>
      </c>
      <c r="K40" s="2">
        <f t="shared" si="2"/>
        <v>1000000000</v>
      </c>
      <c r="L40" s="7">
        <v>2019.0</v>
      </c>
      <c r="P40" s="4" t="s">
        <v>12</v>
      </c>
      <c r="Q40" s="5" t="s">
        <v>13</v>
      </c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20"/>
      <c r="B41" s="21">
        <v>2023.0</v>
      </c>
      <c r="C41" s="21" t="s">
        <v>21</v>
      </c>
      <c r="D41" s="21">
        <v>140.04</v>
      </c>
      <c r="E41" s="21">
        <v>160.52</v>
      </c>
      <c r="F41" s="21">
        <v>130.59</v>
      </c>
      <c r="G41" s="21">
        <v>150.16</v>
      </c>
      <c r="H41" s="21">
        <v>148.34</v>
      </c>
      <c r="I41" s="22">
        <v>3.40926E7</v>
      </c>
      <c r="J41" s="23">
        <f>44.28*K41</f>
        <v>44280000000</v>
      </c>
      <c r="K41" s="2">
        <f t="shared" si="2"/>
        <v>1000000000</v>
      </c>
      <c r="L41" s="3"/>
      <c r="P41" s="12">
        <f t="shared" ref="P41:P50" si="25">(O41/$O$51)</f>
        <v>0.2729481556</v>
      </c>
      <c r="Q41" s="3">
        <f t="shared" ref="Q41:Q50" si="26">P41*N41</f>
        <v>125.496103</v>
      </c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24" t="s">
        <v>31</v>
      </c>
      <c r="B42" s="9">
        <v>2016.0</v>
      </c>
      <c r="C42" s="9" t="s">
        <v>20</v>
      </c>
      <c r="D42" s="9">
        <v>66.45</v>
      </c>
      <c r="E42" s="9">
        <v>75.66</v>
      </c>
      <c r="F42" s="9">
        <v>55.48</v>
      </c>
      <c r="G42" s="9">
        <v>75.55</v>
      </c>
      <c r="H42" s="9">
        <v>62.76</v>
      </c>
      <c r="I42" s="10">
        <v>3.87486E7</v>
      </c>
      <c r="J42" s="11">
        <f>9.1*K42</f>
        <v>9100000000</v>
      </c>
      <c r="K42" s="2">
        <f t="shared" si="2"/>
        <v>1000000000</v>
      </c>
      <c r="L42" s="3"/>
      <c r="P42" s="12">
        <f t="shared" si="25"/>
        <v>0.03981414282</v>
      </c>
      <c r="Q42" s="3">
        <f t="shared" si="26"/>
        <v>5.671524644</v>
      </c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16"/>
      <c r="B43" s="17">
        <v>2017.0</v>
      </c>
      <c r="C43" s="17" t="s">
        <v>20</v>
      </c>
      <c r="D43" s="17">
        <v>102.5</v>
      </c>
      <c r="E43" s="17">
        <v>108.5</v>
      </c>
      <c r="F43" s="17">
        <v>99.13</v>
      </c>
      <c r="G43" s="17">
        <v>105.17</v>
      </c>
      <c r="H43" s="17">
        <v>87.36</v>
      </c>
      <c r="I43" s="18">
        <v>2.36583E7</v>
      </c>
      <c r="J43" s="19">
        <f>12.39*K43</f>
        <v>12390000000</v>
      </c>
      <c r="K43" s="2">
        <f t="shared" si="2"/>
        <v>1000000000</v>
      </c>
      <c r="L43" s="3"/>
      <c r="P43" s="12">
        <f t="shared" si="25"/>
        <v>0.06736139598</v>
      </c>
      <c r="Q43" s="3">
        <f t="shared" si="26"/>
        <v>16.19570044</v>
      </c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16"/>
      <c r="B44" s="17">
        <v>2018.0</v>
      </c>
      <c r="C44" s="17" t="s">
        <v>20</v>
      </c>
      <c r="D44" s="17">
        <v>125.0</v>
      </c>
      <c r="E44" s="17">
        <v>134.52</v>
      </c>
      <c r="F44" s="17">
        <v>124.6</v>
      </c>
      <c r="G44" s="17">
        <v>125.5</v>
      </c>
      <c r="H44" s="17">
        <v>104.25</v>
      </c>
      <c r="I44" s="18">
        <v>2.51061E7</v>
      </c>
      <c r="J44" s="19">
        <f>15.22*K44</f>
        <v>15220000000</v>
      </c>
      <c r="K44" s="2">
        <f t="shared" si="2"/>
        <v>1000000000</v>
      </c>
      <c r="L44" s="3"/>
      <c r="P44" s="12">
        <f t="shared" si="25"/>
        <v>0.1765643243</v>
      </c>
      <c r="Q44" s="3">
        <f t="shared" si="26"/>
        <v>111.0624912</v>
      </c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16"/>
      <c r="B45" s="17">
        <v>2019.0</v>
      </c>
      <c r="C45" s="17" t="s">
        <v>20</v>
      </c>
      <c r="D45" s="17">
        <v>90.64</v>
      </c>
      <c r="E45" s="17">
        <v>108.94</v>
      </c>
      <c r="F45" s="17">
        <v>89.86</v>
      </c>
      <c r="G45" s="17">
        <v>103.12</v>
      </c>
      <c r="H45" s="17">
        <v>85.92</v>
      </c>
      <c r="I45" s="18">
        <v>4.12137E7</v>
      </c>
      <c r="J45" s="19">
        <f>14.76*K45</f>
        <v>14760000000</v>
      </c>
      <c r="K45" s="2">
        <f t="shared" si="2"/>
        <v>1000000000</v>
      </c>
      <c r="L45" s="3"/>
      <c r="P45" s="12">
        <f t="shared" si="25"/>
        <v>0.0291920419</v>
      </c>
      <c r="Q45" s="3">
        <f t="shared" si="26"/>
        <v>5.370168029</v>
      </c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16"/>
      <c r="B46" s="17">
        <v>2020.0</v>
      </c>
      <c r="C46" s="17" t="s">
        <v>20</v>
      </c>
      <c r="D46" s="17">
        <v>93.35</v>
      </c>
      <c r="E46" s="17">
        <v>96.92</v>
      </c>
      <c r="F46" s="17">
        <v>73.55</v>
      </c>
      <c r="G46" s="17">
        <v>74.4</v>
      </c>
      <c r="H46" s="17">
        <v>62.45</v>
      </c>
      <c r="I46" s="18">
        <v>4.37986E7</v>
      </c>
      <c r="J46" s="19">
        <f>7.64*K46</f>
        <v>7640000000</v>
      </c>
      <c r="K46" s="2">
        <f t="shared" si="2"/>
        <v>1000000000</v>
      </c>
      <c r="L46" s="3"/>
      <c r="P46" s="12">
        <f t="shared" si="25"/>
        <v>0.05177731848</v>
      </c>
      <c r="Q46" s="3">
        <f t="shared" si="26"/>
        <v>36.37408401</v>
      </c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16"/>
      <c r="B47" s="17">
        <v>2021.0</v>
      </c>
      <c r="C47" s="17" t="s">
        <v>20</v>
      </c>
      <c r="D47" s="17">
        <v>49.0</v>
      </c>
      <c r="E47" s="17">
        <v>64.9</v>
      </c>
      <c r="F47" s="17">
        <v>47.56</v>
      </c>
      <c r="G47" s="17">
        <v>56.69</v>
      </c>
      <c r="H47" s="17">
        <v>49.3</v>
      </c>
      <c r="I47" s="18">
        <v>6.44856E7</v>
      </c>
      <c r="J47" s="19">
        <f>19.53*K47</f>
        <v>19530000000</v>
      </c>
      <c r="K47" s="2">
        <f t="shared" si="2"/>
        <v>1000000000</v>
      </c>
      <c r="L47" s="3"/>
      <c r="P47" s="12">
        <f t="shared" si="25"/>
        <v>0.07655959105</v>
      </c>
      <c r="Q47" s="3">
        <f t="shared" si="26"/>
        <v>40.16852064</v>
      </c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16"/>
      <c r="B48" s="17">
        <v>2022.0</v>
      </c>
      <c r="C48" s="17" t="s">
        <v>20</v>
      </c>
      <c r="D48" s="17">
        <v>107.58</v>
      </c>
      <c r="E48" s="17">
        <v>134.06</v>
      </c>
      <c r="F48" s="17">
        <v>107.55</v>
      </c>
      <c r="G48" s="17">
        <v>126.16</v>
      </c>
      <c r="H48" s="17">
        <v>112.02</v>
      </c>
      <c r="I48" s="18">
        <v>5.94716E7</v>
      </c>
      <c r="J48" s="19">
        <f>24.88*K48</f>
        <v>24880000000</v>
      </c>
      <c r="K48" s="2">
        <f t="shared" si="2"/>
        <v>1000000000</v>
      </c>
      <c r="L48" s="3"/>
      <c r="P48" s="12">
        <f t="shared" si="25"/>
        <v>0.03981414282</v>
      </c>
      <c r="Q48" s="3">
        <f t="shared" si="26"/>
        <v>4.746243965</v>
      </c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20"/>
      <c r="B49" s="21">
        <v>2023.0</v>
      </c>
      <c r="C49" s="21" t="s">
        <v>20</v>
      </c>
      <c r="D49" s="21">
        <v>134.97</v>
      </c>
      <c r="E49" s="21">
        <v>152.79</v>
      </c>
      <c r="F49" s="21">
        <v>128.08</v>
      </c>
      <c r="G49" s="21">
        <v>146.12</v>
      </c>
      <c r="H49" s="21">
        <v>138.45</v>
      </c>
      <c r="I49" s="22">
        <v>3.87424E7</v>
      </c>
      <c r="J49" s="23">
        <f>27.75*K49</f>
        <v>27750000000</v>
      </c>
      <c r="K49" s="2">
        <f t="shared" si="2"/>
        <v>1000000000</v>
      </c>
      <c r="L49" s="3"/>
      <c r="P49" s="12">
        <f t="shared" si="25"/>
        <v>0.136651573</v>
      </c>
      <c r="Q49" s="3">
        <f t="shared" si="26"/>
        <v>53.24628542</v>
      </c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24" t="s">
        <v>32</v>
      </c>
      <c r="B50" s="9">
        <v>2016.0</v>
      </c>
      <c r="C50" s="9" t="s">
        <v>17</v>
      </c>
      <c r="D50" s="9">
        <v>31.78</v>
      </c>
      <c r="E50" s="9">
        <v>32.93</v>
      </c>
      <c r="F50" s="9">
        <v>19.69</v>
      </c>
      <c r="G50" s="9">
        <v>27.9</v>
      </c>
      <c r="H50" s="9">
        <v>20.64</v>
      </c>
      <c r="I50" s="10">
        <v>1.992275E8</v>
      </c>
      <c r="J50" s="11">
        <f>23.91*K50</f>
        <v>23910000000</v>
      </c>
      <c r="K50" s="2">
        <f t="shared" si="2"/>
        <v>1000000000</v>
      </c>
      <c r="L50" s="3"/>
      <c r="P50" s="12">
        <f t="shared" si="25"/>
        <v>0.1093173141</v>
      </c>
      <c r="Q50" s="3">
        <f t="shared" si="26"/>
        <v>120.2512318</v>
      </c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16"/>
      <c r="B51" s="17">
        <v>2017.0</v>
      </c>
      <c r="C51" s="17" t="s">
        <v>17</v>
      </c>
      <c r="D51" s="17">
        <v>46.82</v>
      </c>
      <c r="E51" s="17">
        <v>49.45</v>
      </c>
      <c r="F51" s="17">
        <v>44.42</v>
      </c>
      <c r="G51" s="17">
        <v>45.54</v>
      </c>
      <c r="H51" s="17">
        <v>34.2</v>
      </c>
      <c r="I51" s="18">
        <v>8.18651E7</v>
      </c>
      <c r="J51" s="19">
        <f>21.75*K51</f>
        <v>21750000000</v>
      </c>
      <c r="K51" s="2">
        <f t="shared" si="2"/>
        <v>1000000000</v>
      </c>
      <c r="L51" s="3"/>
      <c r="P51" s="4">
        <f t="shared" ref="P51:Q51" si="27">SUM(P41:P50)</f>
        <v>1</v>
      </c>
      <c r="Q51" s="5">
        <f t="shared" si="27"/>
        <v>518.5823532</v>
      </c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16"/>
      <c r="B52" s="17">
        <v>2018.0</v>
      </c>
      <c r="C52" s="17" t="s">
        <v>17</v>
      </c>
      <c r="D52" s="17">
        <v>41.79</v>
      </c>
      <c r="E52" s="17">
        <v>45.16</v>
      </c>
      <c r="F52" s="17">
        <v>41.07</v>
      </c>
      <c r="G52" s="17">
        <v>41.37</v>
      </c>
      <c r="H52" s="17">
        <v>31.28</v>
      </c>
      <c r="I52" s="18">
        <v>9.73762E7</v>
      </c>
      <c r="J52" s="19">
        <f>10.12*K52</f>
        <v>10120000000</v>
      </c>
      <c r="K52" s="2">
        <f t="shared" si="2"/>
        <v>1000000000</v>
      </c>
      <c r="L52" s="3"/>
      <c r="M52" s="12"/>
      <c r="N52" s="12"/>
      <c r="O52" s="12"/>
      <c r="P52" s="12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16"/>
      <c r="B53" s="17">
        <v>2019.0</v>
      </c>
      <c r="C53" s="17" t="s">
        <v>17</v>
      </c>
      <c r="D53" s="17">
        <v>21.94</v>
      </c>
      <c r="E53" s="17">
        <v>27.92</v>
      </c>
      <c r="F53" s="17">
        <v>21.76</v>
      </c>
      <c r="G53" s="17">
        <v>26.65</v>
      </c>
      <c r="H53" s="17">
        <v>20.32</v>
      </c>
      <c r="I53" s="18">
        <v>1.639208E8</v>
      </c>
      <c r="J53" s="19">
        <f>9.92*K53</f>
        <v>9920000000</v>
      </c>
      <c r="K53" s="2">
        <f t="shared" si="2"/>
        <v>1000000000</v>
      </c>
      <c r="L53" s="7">
        <v>2020.0</v>
      </c>
      <c r="P53" s="4" t="s">
        <v>12</v>
      </c>
      <c r="Q53" s="5" t="s">
        <v>13</v>
      </c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16"/>
      <c r="B54" s="17">
        <v>2020.0</v>
      </c>
      <c r="C54" s="17" t="s">
        <v>17</v>
      </c>
      <c r="D54" s="17">
        <v>26.21</v>
      </c>
      <c r="E54" s="17">
        <v>26.98</v>
      </c>
      <c r="F54" s="17">
        <v>21.27</v>
      </c>
      <c r="G54" s="17">
        <v>21.72</v>
      </c>
      <c r="H54" s="17">
        <v>16.79</v>
      </c>
      <c r="I54" s="18">
        <v>1.285392E8</v>
      </c>
      <c r="J54" s="19">
        <f>6.04*K54</f>
        <v>6040000000</v>
      </c>
      <c r="K54" s="2">
        <f t="shared" si="2"/>
        <v>1000000000</v>
      </c>
      <c r="L54" s="3"/>
      <c r="P54" s="12">
        <f t="shared" ref="P54:P63" si="28">(O54/$O$64)</f>
        <v>0.2729481556</v>
      </c>
      <c r="Q54" s="3">
        <f t="shared" ref="Q54:Q63" si="29">P54*N54</f>
        <v>125.496103</v>
      </c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16"/>
      <c r="B55" s="17">
        <v>2021.0</v>
      </c>
      <c r="C55" s="17" t="s">
        <v>17</v>
      </c>
      <c r="D55" s="17">
        <v>16.0</v>
      </c>
      <c r="E55" s="17">
        <v>20.77</v>
      </c>
      <c r="F55" s="17">
        <v>15.71</v>
      </c>
      <c r="G55" s="17">
        <v>16.46</v>
      </c>
      <c r="H55" s="17">
        <v>13.52</v>
      </c>
      <c r="I55" s="18">
        <v>3.414778E8</v>
      </c>
      <c r="J55" s="19">
        <f>29.82*K55</f>
        <v>29820000000</v>
      </c>
      <c r="K55" s="2">
        <f t="shared" si="2"/>
        <v>1000000000</v>
      </c>
      <c r="L55" s="3"/>
      <c r="P55" s="12">
        <f t="shared" si="28"/>
        <v>0.03981414282</v>
      </c>
      <c r="Q55" s="3">
        <f t="shared" si="29"/>
        <v>5.671524644</v>
      </c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16"/>
      <c r="B56" s="17">
        <v>2022.0</v>
      </c>
      <c r="C56" s="17" t="s">
        <v>17</v>
      </c>
      <c r="D56" s="17">
        <v>44.14</v>
      </c>
      <c r="E56" s="17">
        <v>54.26</v>
      </c>
      <c r="F56" s="17">
        <v>42.87</v>
      </c>
      <c r="G56" s="17">
        <v>50.57</v>
      </c>
      <c r="H56" s="17">
        <v>44.1</v>
      </c>
      <c r="I56" s="18">
        <v>2.804468E8</v>
      </c>
      <c r="J56" s="19">
        <f>40.2*K56</f>
        <v>40200000000</v>
      </c>
      <c r="K56" s="2">
        <f t="shared" si="2"/>
        <v>1000000000</v>
      </c>
      <c r="L56" s="3"/>
      <c r="P56" s="12">
        <f t="shared" si="28"/>
        <v>0.06736139598</v>
      </c>
      <c r="Q56" s="3">
        <f t="shared" si="29"/>
        <v>16.19570044</v>
      </c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20"/>
      <c r="B57" s="21">
        <v>2023.0</v>
      </c>
      <c r="C57" s="21" t="s">
        <v>17</v>
      </c>
      <c r="D57" s="21">
        <v>60.73</v>
      </c>
      <c r="E57" s="21">
        <v>66.96</v>
      </c>
      <c r="F57" s="21">
        <v>56.41</v>
      </c>
      <c r="G57" s="21">
        <v>63.24</v>
      </c>
      <c r="H57" s="21">
        <v>59.58</v>
      </c>
      <c r="I57" s="22">
        <v>1.464867E8</v>
      </c>
      <c r="J57" s="23">
        <f>29.02*K57</f>
        <v>29020000000</v>
      </c>
      <c r="K57" s="2">
        <f t="shared" si="2"/>
        <v>1000000000</v>
      </c>
      <c r="L57" s="3"/>
      <c r="P57" s="12">
        <f t="shared" si="28"/>
        <v>0.1765643243</v>
      </c>
      <c r="Q57" s="3">
        <f t="shared" si="29"/>
        <v>111.0624912</v>
      </c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24" t="s">
        <v>33</v>
      </c>
      <c r="B58" s="9">
        <v>2016.0</v>
      </c>
      <c r="C58" s="9" t="s">
        <v>16</v>
      </c>
      <c r="D58" s="9">
        <v>20.24</v>
      </c>
      <c r="E58" s="9">
        <v>22.25</v>
      </c>
      <c r="F58" s="9">
        <v>18.48</v>
      </c>
      <c r="G58" s="9">
        <v>20.13</v>
      </c>
      <c r="H58" s="9">
        <v>15.66</v>
      </c>
      <c r="I58" s="10">
        <v>2.765764E8</v>
      </c>
      <c r="J58" s="11">
        <f>10.86*K58</f>
        <v>10860000000</v>
      </c>
      <c r="K58" s="2">
        <f t="shared" si="2"/>
        <v>1000000000</v>
      </c>
      <c r="L58" s="3"/>
      <c r="P58" s="12">
        <f t="shared" si="28"/>
        <v>0.0291920419</v>
      </c>
      <c r="Q58" s="3">
        <f t="shared" si="29"/>
        <v>5.370168029</v>
      </c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16"/>
      <c r="B59" s="17">
        <v>2017.0</v>
      </c>
      <c r="C59" s="17" t="s">
        <v>16</v>
      </c>
      <c r="D59" s="17">
        <v>22.98</v>
      </c>
      <c r="E59" s="17">
        <v>23.33</v>
      </c>
      <c r="F59" s="17">
        <v>20.99</v>
      </c>
      <c r="G59" s="17">
        <v>21.48</v>
      </c>
      <c r="H59" s="17">
        <v>16.76</v>
      </c>
      <c r="I59" s="18">
        <v>1.302687E8</v>
      </c>
      <c r="J59" s="19">
        <f>13.22*K59</f>
        <v>13220000000</v>
      </c>
      <c r="K59" s="2">
        <f t="shared" si="2"/>
        <v>1000000000</v>
      </c>
      <c r="L59" s="3"/>
      <c r="P59" s="12">
        <f t="shared" si="28"/>
        <v>0.05177731848</v>
      </c>
      <c r="Q59" s="3">
        <f t="shared" si="29"/>
        <v>36.37408401</v>
      </c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16"/>
      <c r="B60" s="17">
        <v>2018.0</v>
      </c>
      <c r="C60" s="17" t="s">
        <v>16</v>
      </c>
      <c r="D60" s="17">
        <v>28.31</v>
      </c>
      <c r="E60" s="17">
        <v>29.56</v>
      </c>
      <c r="F60" s="17">
        <v>26.26</v>
      </c>
      <c r="G60" s="17">
        <v>26.35</v>
      </c>
      <c r="H60" s="17">
        <v>20.7</v>
      </c>
      <c r="I60" s="18">
        <v>9.72401E7</v>
      </c>
      <c r="J60" s="19">
        <f>9.44*K60</f>
        <v>9440000000</v>
      </c>
      <c r="K60" s="2">
        <f t="shared" si="2"/>
        <v>1000000000</v>
      </c>
      <c r="L60" s="3"/>
      <c r="P60" s="12">
        <f t="shared" si="28"/>
        <v>0.07655959105</v>
      </c>
      <c r="Q60" s="3">
        <f t="shared" si="29"/>
        <v>40.16852064</v>
      </c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16"/>
      <c r="B61" s="17">
        <v>2019.0</v>
      </c>
      <c r="C61" s="17" t="s">
        <v>16</v>
      </c>
      <c r="D61" s="17">
        <v>22.1</v>
      </c>
      <c r="E61" s="17">
        <v>26.12</v>
      </c>
      <c r="F61" s="17">
        <v>21.91</v>
      </c>
      <c r="G61" s="17">
        <v>24.95</v>
      </c>
      <c r="H61" s="17">
        <v>19.79</v>
      </c>
      <c r="I61" s="18">
        <v>1.387242E8</v>
      </c>
      <c r="J61" s="19">
        <f>6.92*K61</f>
        <v>6920000000</v>
      </c>
      <c r="K61" s="2">
        <f t="shared" si="2"/>
        <v>1000000000</v>
      </c>
      <c r="L61" s="3"/>
      <c r="P61" s="12">
        <f t="shared" si="28"/>
        <v>0.03981414282</v>
      </c>
      <c r="Q61" s="3">
        <f t="shared" si="29"/>
        <v>4.746243965</v>
      </c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16"/>
      <c r="B62" s="17">
        <v>2020.0</v>
      </c>
      <c r="C62" s="17" t="s">
        <v>16</v>
      </c>
      <c r="D62" s="17">
        <v>17.52</v>
      </c>
      <c r="E62" s="17">
        <v>17.81</v>
      </c>
      <c r="F62" s="17">
        <v>14.02</v>
      </c>
      <c r="G62" s="17">
        <v>14.09</v>
      </c>
      <c r="H62" s="17">
        <v>11.37</v>
      </c>
      <c r="I62" s="18">
        <v>1.7907E8</v>
      </c>
      <c r="J62" s="19">
        <f>6.49*K62</f>
        <v>6490000000</v>
      </c>
      <c r="K62" s="2">
        <f t="shared" si="2"/>
        <v>1000000000</v>
      </c>
      <c r="L62" s="3"/>
      <c r="P62" s="12">
        <f t="shared" si="28"/>
        <v>0.136651573</v>
      </c>
      <c r="Q62" s="3">
        <f t="shared" si="29"/>
        <v>53.24628542</v>
      </c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16"/>
      <c r="B63" s="17">
        <v>2021.0</v>
      </c>
      <c r="C63" s="17" t="s">
        <v>16</v>
      </c>
      <c r="D63" s="17">
        <v>16.49</v>
      </c>
      <c r="E63" s="17">
        <v>19.51</v>
      </c>
      <c r="F63" s="17">
        <v>16.3</v>
      </c>
      <c r="G63" s="17">
        <v>18.33</v>
      </c>
      <c r="H63" s="17">
        <v>15.13</v>
      </c>
      <c r="I63" s="18">
        <v>1.046291E8</v>
      </c>
      <c r="J63" s="19">
        <f>15.45*K63</f>
        <v>15450000000</v>
      </c>
      <c r="K63" s="2">
        <f t="shared" si="2"/>
        <v>1000000000</v>
      </c>
      <c r="L63" s="3"/>
      <c r="P63" s="12">
        <f t="shared" si="28"/>
        <v>0.1093173141</v>
      </c>
      <c r="Q63" s="3">
        <f t="shared" si="29"/>
        <v>120.2512318</v>
      </c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16"/>
      <c r="B64" s="17">
        <v>2022.0</v>
      </c>
      <c r="C64" s="17" t="s">
        <v>16</v>
      </c>
      <c r="D64" s="17">
        <v>18.9</v>
      </c>
      <c r="E64" s="17">
        <v>22.65</v>
      </c>
      <c r="F64" s="17">
        <v>18.39</v>
      </c>
      <c r="G64" s="17">
        <v>21.9</v>
      </c>
      <c r="H64" s="17">
        <v>19.13</v>
      </c>
      <c r="I64" s="18">
        <v>1.69041E8</v>
      </c>
      <c r="J64" s="19">
        <f>19.37*K64</f>
        <v>19370000000</v>
      </c>
      <c r="K64" s="2">
        <f t="shared" si="2"/>
        <v>1000000000</v>
      </c>
      <c r="L64" s="3"/>
      <c r="P64" s="4">
        <f t="shared" ref="P64:Q64" si="30">SUM(P54:P63)</f>
        <v>1</v>
      </c>
      <c r="Q64" s="5">
        <f t="shared" si="30"/>
        <v>518.5823532</v>
      </c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20"/>
      <c r="B65" s="21">
        <v>2023.0</v>
      </c>
      <c r="C65" s="21" t="s">
        <v>16</v>
      </c>
      <c r="D65" s="21">
        <v>24.2</v>
      </c>
      <c r="E65" s="21">
        <v>26.2</v>
      </c>
      <c r="F65" s="21">
        <v>22.76</v>
      </c>
      <c r="G65" s="21">
        <v>25.03</v>
      </c>
      <c r="H65" s="21">
        <v>23.91</v>
      </c>
      <c r="I65" s="22">
        <v>1.547098E8</v>
      </c>
      <c r="J65" s="23">
        <f>19.19*K65</f>
        <v>19190000000</v>
      </c>
      <c r="K65" s="2">
        <f t="shared" si="2"/>
        <v>1000000000</v>
      </c>
      <c r="L65" s="3"/>
      <c r="M65" s="12"/>
      <c r="N65" s="12"/>
      <c r="O65" s="12"/>
      <c r="P65" s="12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24" t="s">
        <v>34</v>
      </c>
      <c r="B66" s="9">
        <v>2016.0</v>
      </c>
      <c r="C66" s="9" t="s">
        <v>19</v>
      </c>
      <c r="D66" s="9">
        <v>28.17</v>
      </c>
      <c r="E66" s="9">
        <v>34.2</v>
      </c>
      <c r="F66" s="9">
        <v>26.29</v>
      </c>
      <c r="G66" s="9">
        <v>33.61</v>
      </c>
      <c r="H66" s="9">
        <v>31.84</v>
      </c>
      <c r="I66" s="10">
        <v>9.3229589E7</v>
      </c>
      <c r="J66" s="11">
        <f>11.29*K66</f>
        <v>11290000000</v>
      </c>
      <c r="K66" s="2">
        <f t="shared" si="2"/>
        <v>1000000000</v>
      </c>
      <c r="L66" s="7">
        <v>2021.0</v>
      </c>
      <c r="P66" s="4" t="s">
        <v>12</v>
      </c>
      <c r="Q66" s="5" t="s">
        <v>13</v>
      </c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16"/>
      <c r="B67" s="17">
        <v>2017.0</v>
      </c>
      <c r="C67" s="17" t="s">
        <v>19</v>
      </c>
      <c r="D67" s="17">
        <v>35.06</v>
      </c>
      <c r="E67" s="17">
        <v>36.15</v>
      </c>
      <c r="F67" s="17">
        <v>32.77</v>
      </c>
      <c r="G67" s="17">
        <v>33.0</v>
      </c>
      <c r="H67" s="17">
        <v>31.32</v>
      </c>
      <c r="I67" s="18">
        <v>7.093851E7</v>
      </c>
      <c r="J67" s="19">
        <f>15.09*K67</f>
        <v>15090000000</v>
      </c>
      <c r="K67" s="2">
        <f t="shared" si="2"/>
        <v>1000000000</v>
      </c>
      <c r="L67" s="3"/>
      <c r="P67" s="12">
        <f t="shared" ref="P67:P76" si="31">(O67/$O$77)</f>
        <v>0.2729481556</v>
      </c>
      <c r="Q67" s="3">
        <f t="shared" ref="Q67:Q76" si="32">P67*N67</f>
        <v>125.496103</v>
      </c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16"/>
      <c r="B68" s="17">
        <v>2018.0</v>
      </c>
      <c r="C68" s="17" t="s">
        <v>19</v>
      </c>
      <c r="D68" s="17">
        <v>31.31</v>
      </c>
      <c r="E68" s="17">
        <v>32.48</v>
      </c>
      <c r="F68" s="17">
        <v>29.46</v>
      </c>
      <c r="G68" s="17">
        <v>29.55</v>
      </c>
      <c r="H68" s="17">
        <v>28.1</v>
      </c>
      <c r="I68" s="18">
        <v>1.30397976E8</v>
      </c>
      <c r="J68" s="19">
        <f>4.8*K68</f>
        <v>4800000000</v>
      </c>
      <c r="K68" s="2">
        <f t="shared" si="2"/>
        <v>1000000000</v>
      </c>
      <c r="L68" s="3"/>
      <c r="P68" s="12">
        <f t="shared" si="31"/>
        <v>0.03981414282</v>
      </c>
      <c r="Q68" s="3">
        <f t="shared" si="32"/>
        <v>5.671524644</v>
      </c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16"/>
      <c r="B69" s="17">
        <v>2019.0</v>
      </c>
      <c r="C69" s="17" t="s">
        <v>19</v>
      </c>
      <c r="D69" s="17">
        <v>18.52</v>
      </c>
      <c r="E69" s="17">
        <v>21.42</v>
      </c>
      <c r="F69" s="17">
        <v>18.19</v>
      </c>
      <c r="G69" s="17">
        <v>19.47</v>
      </c>
      <c r="H69" s="17">
        <v>18.58</v>
      </c>
      <c r="I69" s="18">
        <v>1.118789E8</v>
      </c>
      <c r="J69" s="19">
        <f>2.78*K69</f>
        <v>2780000000</v>
      </c>
      <c r="K69" s="2">
        <f t="shared" si="2"/>
        <v>1000000000</v>
      </c>
      <c r="L69" s="3"/>
      <c r="P69" s="12">
        <f t="shared" si="31"/>
        <v>0.06736139598</v>
      </c>
      <c r="Q69" s="3">
        <f t="shared" si="32"/>
        <v>16.19570044</v>
      </c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16"/>
      <c r="B70" s="17">
        <v>2020.0</v>
      </c>
      <c r="C70" s="17" t="s">
        <v>19</v>
      </c>
      <c r="D70" s="17">
        <v>6.0</v>
      </c>
      <c r="E70" s="17">
        <v>6.16</v>
      </c>
      <c r="F70" s="17">
        <v>4.21</v>
      </c>
      <c r="G70" s="17">
        <v>5.87</v>
      </c>
      <c r="H70" s="17">
        <v>5.65</v>
      </c>
      <c r="I70" s="18">
        <v>1.900861E8</v>
      </c>
      <c r="J70" s="19">
        <f>3.5*K70</f>
        <v>3500000000</v>
      </c>
      <c r="K70" s="2">
        <f t="shared" si="2"/>
        <v>1000000000</v>
      </c>
      <c r="L70" s="3"/>
      <c r="P70" s="12">
        <f t="shared" si="31"/>
        <v>0.1765643243</v>
      </c>
      <c r="Q70" s="3">
        <f t="shared" si="32"/>
        <v>111.0624912</v>
      </c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16"/>
      <c r="B71" s="17">
        <v>2021.0</v>
      </c>
      <c r="C71" s="17" t="s">
        <v>19</v>
      </c>
      <c r="D71" s="17">
        <v>12.97</v>
      </c>
      <c r="E71" s="17">
        <v>18.66</v>
      </c>
      <c r="F71" s="17">
        <v>12.93</v>
      </c>
      <c r="G71" s="17">
        <v>16.31</v>
      </c>
      <c r="H71" s="17">
        <v>15.78</v>
      </c>
      <c r="I71" s="18">
        <v>1.239546E8</v>
      </c>
      <c r="J71" s="19">
        <f>8.24*K71</f>
        <v>8240000000</v>
      </c>
      <c r="K71" s="2">
        <f t="shared" si="2"/>
        <v>1000000000</v>
      </c>
      <c r="L71" s="3"/>
      <c r="P71" s="12">
        <f t="shared" si="31"/>
        <v>0.0291920419</v>
      </c>
      <c r="Q71" s="3">
        <f t="shared" si="32"/>
        <v>5.370168029</v>
      </c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16"/>
      <c r="B72" s="17">
        <v>2022.0</v>
      </c>
      <c r="C72" s="17" t="s">
        <v>19</v>
      </c>
      <c r="D72" s="17">
        <v>21.81</v>
      </c>
      <c r="E72" s="17">
        <v>24.84</v>
      </c>
      <c r="F72" s="17">
        <v>19.2</v>
      </c>
      <c r="G72" s="17">
        <v>21.25</v>
      </c>
      <c r="H72" s="17">
        <v>20.56</v>
      </c>
      <c r="I72" s="18">
        <v>1.620907E8</v>
      </c>
      <c r="J72" s="19">
        <f>12.41*K72</f>
        <v>12410000000</v>
      </c>
      <c r="K72" s="2">
        <f t="shared" si="2"/>
        <v>1000000000</v>
      </c>
      <c r="L72" s="3"/>
      <c r="P72" s="12">
        <f t="shared" si="31"/>
        <v>0.05177731848</v>
      </c>
      <c r="Q72" s="3">
        <f t="shared" si="32"/>
        <v>36.37408401</v>
      </c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20"/>
      <c r="B73" s="21">
        <v>2023.0</v>
      </c>
      <c r="C73" s="21" t="s">
        <v>19</v>
      </c>
      <c r="D73" s="21">
        <v>32.67</v>
      </c>
      <c r="E73" s="21">
        <v>35.98</v>
      </c>
      <c r="F73" s="21">
        <v>31.5</v>
      </c>
      <c r="G73" s="21">
        <v>32.67</v>
      </c>
      <c r="H73" s="21">
        <v>32.13</v>
      </c>
      <c r="I73" s="22">
        <v>1.318279E8</v>
      </c>
      <c r="J73" s="23">
        <f>15.9*K73</f>
        <v>15900000000</v>
      </c>
      <c r="K73" s="2">
        <f t="shared" si="2"/>
        <v>1000000000</v>
      </c>
      <c r="L73" s="3"/>
      <c r="P73" s="12">
        <f t="shared" si="31"/>
        <v>0.07655959105</v>
      </c>
      <c r="Q73" s="3">
        <f t="shared" si="32"/>
        <v>40.16852064</v>
      </c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24" t="s">
        <v>35</v>
      </c>
      <c r="B74" s="9">
        <v>2016.0</v>
      </c>
      <c r="C74" s="9" t="s">
        <v>22</v>
      </c>
      <c r="D74" s="9">
        <v>12.56</v>
      </c>
      <c r="E74" s="9">
        <v>13.0</v>
      </c>
      <c r="F74" s="9">
        <v>7.08</v>
      </c>
      <c r="G74" s="9">
        <v>9.73</v>
      </c>
      <c r="H74" s="9">
        <v>8.71</v>
      </c>
      <c r="I74" s="10">
        <v>4.964981E8</v>
      </c>
      <c r="J74" s="11">
        <f>14.66*K74</f>
        <v>14660000000</v>
      </c>
      <c r="K74" s="2">
        <f t="shared" si="2"/>
        <v>1000000000</v>
      </c>
      <c r="L74" s="3"/>
      <c r="P74" s="12">
        <f t="shared" si="31"/>
        <v>0.03981414282</v>
      </c>
      <c r="Q74" s="3">
        <f t="shared" si="32"/>
        <v>4.746243965</v>
      </c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16"/>
      <c r="B75" s="17">
        <v>2017.0</v>
      </c>
      <c r="C75" s="17" t="s">
        <v>22</v>
      </c>
      <c r="D75" s="17">
        <v>17.74</v>
      </c>
      <c r="E75" s="17">
        <v>18.27</v>
      </c>
      <c r="F75" s="17">
        <v>16.28</v>
      </c>
      <c r="G75" s="17">
        <v>16.75</v>
      </c>
      <c r="H75" s="17">
        <v>15.27</v>
      </c>
      <c r="I75" s="18">
        <v>1.791557E8</v>
      </c>
      <c r="J75" s="19">
        <f>14.38*K75</f>
        <v>14380000000</v>
      </c>
      <c r="K75" s="2">
        <f t="shared" si="2"/>
        <v>1000000000</v>
      </c>
      <c r="L75" s="3"/>
      <c r="P75" s="12">
        <f t="shared" si="31"/>
        <v>0.136651573</v>
      </c>
      <c r="Q75" s="3">
        <f t="shared" si="32"/>
        <v>53.24628542</v>
      </c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16"/>
      <c r="B76" s="17">
        <v>2018.0</v>
      </c>
      <c r="C76" s="17" t="s">
        <v>22</v>
      </c>
      <c r="D76" s="17">
        <v>17.11</v>
      </c>
      <c r="E76" s="17">
        <v>19.52</v>
      </c>
      <c r="F76" s="17">
        <v>17.04</v>
      </c>
      <c r="G76" s="17">
        <v>18.19</v>
      </c>
      <c r="H76" s="17">
        <v>16.81</v>
      </c>
      <c r="I76" s="18">
        <v>2.316134E8</v>
      </c>
      <c r="J76" s="19">
        <f>11.74*K76</f>
        <v>11740000000</v>
      </c>
      <c r="K76" s="2">
        <f t="shared" si="2"/>
        <v>1000000000</v>
      </c>
      <c r="L76" s="3"/>
      <c r="P76" s="12">
        <f t="shared" si="31"/>
        <v>0.1093173141</v>
      </c>
      <c r="Q76" s="3">
        <f t="shared" si="32"/>
        <v>120.2512318</v>
      </c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16"/>
      <c r="B77" s="17">
        <v>2019.0</v>
      </c>
      <c r="C77" s="17" t="s">
        <v>22</v>
      </c>
      <c r="D77" s="17">
        <v>13.9</v>
      </c>
      <c r="E77" s="17">
        <v>16.42</v>
      </c>
      <c r="F77" s="17">
        <v>13.86</v>
      </c>
      <c r="G77" s="17">
        <v>15.79</v>
      </c>
      <c r="H77" s="17">
        <v>14.76</v>
      </c>
      <c r="I77" s="18">
        <v>2.323381E8</v>
      </c>
      <c r="J77" s="19">
        <f>10.8*K77</f>
        <v>10800000000</v>
      </c>
      <c r="K77" s="2">
        <f t="shared" si="2"/>
        <v>1000000000</v>
      </c>
      <c r="L77" s="3"/>
      <c r="P77" s="4">
        <f t="shared" ref="P77:Q77" si="33">SUM(P67:P76)</f>
        <v>1</v>
      </c>
      <c r="Q77" s="5">
        <f t="shared" si="33"/>
        <v>518.5823532</v>
      </c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16"/>
      <c r="B78" s="17">
        <v>2020.0</v>
      </c>
      <c r="C78" s="17" t="s">
        <v>22</v>
      </c>
      <c r="D78" s="17">
        <v>13.69</v>
      </c>
      <c r="E78" s="17">
        <v>14.07</v>
      </c>
      <c r="F78" s="17">
        <v>11.36</v>
      </c>
      <c r="G78" s="17">
        <v>11.37</v>
      </c>
      <c r="H78" s="17">
        <v>10.78</v>
      </c>
      <c r="I78" s="18">
        <v>2.676924E8</v>
      </c>
      <c r="J78" s="19">
        <f>5.26*K78</f>
        <v>5260000000</v>
      </c>
      <c r="K78" s="2">
        <f t="shared" si="2"/>
        <v>1000000000</v>
      </c>
      <c r="L78" s="3"/>
      <c r="M78" s="12"/>
      <c r="N78" s="12"/>
      <c r="O78" s="12"/>
      <c r="P78" s="12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16"/>
      <c r="B79" s="17">
        <v>2021.0</v>
      </c>
      <c r="C79" s="17" t="s">
        <v>22</v>
      </c>
      <c r="D79" s="17">
        <v>6.78</v>
      </c>
      <c r="E79" s="17">
        <v>8.83</v>
      </c>
      <c r="F79" s="17">
        <v>6.6</v>
      </c>
      <c r="G79" s="17">
        <v>7.24</v>
      </c>
      <c r="H79" s="17">
        <v>6.93</v>
      </c>
      <c r="I79" s="18">
        <v>6.117382E8</v>
      </c>
      <c r="J79" s="19">
        <f>12.78*K79</f>
        <v>12780000000</v>
      </c>
      <c r="K79" s="2">
        <f t="shared" si="2"/>
        <v>1000000000</v>
      </c>
      <c r="L79" s="7">
        <v>2022.0</v>
      </c>
      <c r="P79" s="4" t="s">
        <v>12</v>
      </c>
      <c r="Q79" s="5" t="s">
        <v>13</v>
      </c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16"/>
      <c r="B80" s="17">
        <v>2022.0</v>
      </c>
      <c r="C80" s="17" t="s">
        <v>22</v>
      </c>
      <c r="D80" s="17">
        <v>16.42</v>
      </c>
      <c r="E80" s="17">
        <v>20.58</v>
      </c>
      <c r="F80" s="17">
        <v>16.4</v>
      </c>
      <c r="G80" s="17">
        <v>19.47</v>
      </c>
      <c r="H80" s="17">
        <v>18.92</v>
      </c>
      <c r="I80" s="18">
        <v>3.940545E8</v>
      </c>
      <c r="J80" s="19">
        <f>17.19*K80</f>
        <v>17190000000</v>
      </c>
      <c r="K80" s="2">
        <f t="shared" si="2"/>
        <v>1000000000</v>
      </c>
      <c r="L80" s="3"/>
      <c r="P80" s="12">
        <f t="shared" ref="P80:P89" si="34">(O80/$O$90)</f>
        <v>0.2729481556</v>
      </c>
      <c r="Q80" s="3">
        <f t="shared" ref="Q80:Q89" si="35">P80*N80</f>
        <v>125.496103</v>
      </c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20"/>
      <c r="B81" s="21">
        <v>2023.0</v>
      </c>
      <c r="C81" s="21" t="s">
        <v>22</v>
      </c>
      <c r="D81" s="21">
        <v>26.68</v>
      </c>
      <c r="E81" s="21">
        <v>29.85</v>
      </c>
      <c r="F81" s="21">
        <v>24.78</v>
      </c>
      <c r="G81" s="21">
        <v>27.47</v>
      </c>
      <c r="H81" s="21">
        <v>27.03</v>
      </c>
      <c r="I81" s="22">
        <v>1.817993E8</v>
      </c>
      <c r="J81" s="23">
        <f>14.13*K81</f>
        <v>14130000000</v>
      </c>
      <c r="K81" s="2">
        <f t="shared" si="2"/>
        <v>1000000000</v>
      </c>
      <c r="L81" s="3"/>
      <c r="P81" s="12">
        <f t="shared" si="34"/>
        <v>0.03981414282</v>
      </c>
      <c r="Q81" s="3">
        <f t="shared" si="35"/>
        <v>5.671524644</v>
      </c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K82" s="2"/>
      <c r="L82" s="3"/>
      <c r="P82" s="12">
        <f t="shared" si="34"/>
        <v>0.06736139598</v>
      </c>
      <c r="Q82" s="3">
        <f t="shared" si="35"/>
        <v>16.19570044</v>
      </c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K83" s="2"/>
      <c r="L83" s="3"/>
      <c r="P83" s="12">
        <f t="shared" si="34"/>
        <v>0.1765643243</v>
      </c>
      <c r="Q83" s="3">
        <f t="shared" si="35"/>
        <v>111.0624912</v>
      </c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K84" s="2"/>
      <c r="L84" s="3"/>
      <c r="P84" s="12">
        <f t="shared" si="34"/>
        <v>0.0291920419</v>
      </c>
      <c r="Q84" s="3">
        <f t="shared" si="35"/>
        <v>5.370168029</v>
      </c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K85" s="2"/>
      <c r="L85" s="3"/>
      <c r="P85" s="12">
        <f t="shared" si="34"/>
        <v>0.05177731848</v>
      </c>
      <c r="Q85" s="3">
        <f t="shared" si="35"/>
        <v>36.37408401</v>
      </c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K86" s="2"/>
      <c r="L86" s="3"/>
      <c r="P86" s="12">
        <f t="shared" si="34"/>
        <v>0.07655959105</v>
      </c>
      <c r="Q86" s="3">
        <f t="shared" si="35"/>
        <v>40.16852064</v>
      </c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K87" s="2"/>
      <c r="L87" s="3"/>
      <c r="P87" s="12">
        <f t="shared" si="34"/>
        <v>0.03981414282</v>
      </c>
      <c r="Q87" s="3">
        <f t="shared" si="35"/>
        <v>4.746243965</v>
      </c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K88" s="2"/>
      <c r="L88" s="3"/>
      <c r="P88" s="12">
        <f t="shared" si="34"/>
        <v>0.136651573</v>
      </c>
      <c r="Q88" s="3">
        <f t="shared" si="35"/>
        <v>53.24628542</v>
      </c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K89" s="2"/>
      <c r="L89" s="3"/>
      <c r="P89" s="12">
        <f t="shared" si="34"/>
        <v>0.1093173141</v>
      </c>
      <c r="Q89" s="3">
        <f t="shared" si="35"/>
        <v>120.2512318</v>
      </c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K90" s="2"/>
      <c r="L90" s="3"/>
      <c r="P90" s="4">
        <f t="shared" ref="P90:Q90" si="36">SUM(P80:P89)</f>
        <v>1</v>
      </c>
      <c r="Q90" s="5">
        <f t="shared" si="36"/>
        <v>518.5823532</v>
      </c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K91" s="2"/>
      <c r="L91" s="3"/>
      <c r="M91" s="12"/>
      <c r="N91" s="12"/>
      <c r="O91" s="12"/>
      <c r="P91" s="12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K92" s="2"/>
      <c r="L92" s="7">
        <v>2023.0</v>
      </c>
      <c r="P92" s="4" t="s">
        <v>12</v>
      </c>
      <c r="Q92" s="5" t="s">
        <v>13</v>
      </c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K93" s="2"/>
      <c r="L93" s="3"/>
      <c r="P93" s="12">
        <f t="shared" ref="P93:P102" si="37">(O93/$O$103)</f>
        <v>0.2729481556</v>
      </c>
      <c r="Q93" s="3">
        <f t="shared" ref="Q93:Q102" si="38">P93*N93</f>
        <v>125.496103</v>
      </c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K94" s="2"/>
      <c r="L94" s="3"/>
      <c r="P94" s="12">
        <f t="shared" si="37"/>
        <v>0.03981414282</v>
      </c>
      <c r="Q94" s="3">
        <f t="shared" si="38"/>
        <v>5.671524644</v>
      </c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K95" s="2"/>
      <c r="L95" s="3"/>
      <c r="P95" s="12">
        <f t="shared" si="37"/>
        <v>0.06736139598</v>
      </c>
      <c r="Q95" s="3">
        <f t="shared" si="38"/>
        <v>16.19570044</v>
      </c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K96" s="2"/>
      <c r="L96" s="3"/>
      <c r="P96" s="12">
        <f t="shared" si="37"/>
        <v>0.1765643243</v>
      </c>
      <c r="Q96" s="3">
        <f t="shared" si="38"/>
        <v>111.0624912</v>
      </c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K97" s="2"/>
      <c r="L97" s="3"/>
      <c r="P97" s="12">
        <f t="shared" si="37"/>
        <v>0.0291920419</v>
      </c>
      <c r="Q97" s="3">
        <f t="shared" si="38"/>
        <v>5.370168029</v>
      </c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K98" s="2"/>
      <c r="L98" s="3"/>
      <c r="P98" s="12">
        <f t="shared" si="37"/>
        <v>0.05177731848</v>
      </c>
      <c r="Q98" s="3">
        <f t="shared" si="38"/>
        <v>36.37408401</v>
      </c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K99" s="2"/>
      <c r="L99" s="3"/>
      <c r="P99" s="12">
        <f t="shared" si="37"/>
        <v>0.07655959105</v>
      </c>
      <c r="Q99" s="3">
        <f t="shared" si="38"/>
        <v>40.16852064</v>
      </c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K100" s="2"/>
      <c r="L100" s="3"/>
      <c r="P100" s="12">
        <f t="shared" si="37"/>
        <v>0.03981414282</v>
      </c>
      <c r="Q100" s="3">
        <f t="shared" si="38"/>
        <v>4.746243965</v>
      </c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K101" s="2"/>
      <c r="L101" s="3"/>
      <c r="P101" s="12">
        <f t="shared" si="37"/>
        <v>0.136651573</v>
      </c>
      <c r="Q101" s="3">
        <f t="shared" si="38"/>
        <v>53.24628542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K102" s="2"/>
      <c r="L102" s="3"/>
      <c r="P102" s="12">
        <f t="shared" si="37"/>
        <v>0.1093173141</v>
      </c>
      <c r="Q102" s="3">
        <f t="shared" si="38"/>
        <v>120.2512318</v>
      </c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K103" s="2"/>
      <c r="L103" s="3"/>
      <c r="P103" s="4">
        <f t="shared" ref="P103:Q103" si="39">SUM(P93:P102)</f>
        <v>1</v>
      </c>
      <c r="Q103" s="5">
        <f t="shared" si="39"/>
        <v>518.5823532</v>
      </c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K104" s="2"/>
      <c r="L104" s="3"/>
      <c r="M104" s="12"/>
      <c r="N104" s="12"/>
      <c r="O104" s="12"/>
      <c r="P104" s="12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K105" s="2"/>
      <c r="L105" s="3"/>
      <c r="M105" s="12"/>
      <c r="N105" s="12"/>
      <c r="O105" s="12"/>
      <c r="P105" s="12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K106" s="2"/>
      <c r="L106" s="3"/>
      <c r="M106" s="12"/>
      <c r="N106" s="12"/>
      <c r="O106" s="12"/>
      <c r="P106" s="12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K107" s="2"/>
      <c r="L107" s="3"/>
      <c r="M107" s="12"/>
      <c r="N107" s="12"/>
      <c r="O107" s="12"/>
      <c r="P107" s="12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K108" s="2"/>
      <c r="L108" s="3"/>
      <c r="M108" s="12"/>
      <c r="N108" s="12"/>
      <c r="O108" s="12"/>
      <c r="P108" s="12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K109" s="2"/>
      <c r="L109" s="3"/>
      <c r="M109" s="12"/>
      <c r="N109" s="12"/>
      <c r="O109" s="12"/>
      <c r="P109" s="12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K110" s="2"/>
      <c r="L110" s="3"/>
      <c r="M110" s="12"/>
      <c r="N110" s="12"/>
      <c r="O110" s="12"/>
      <c r="P110" s="12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K111" s="2"/>
      <c r="L111" s="3"/>
      <c r="M111" s="12"/>
      <c r="N111" s="12"/>
      <c r="O111" s="12"/>
      <c r="P111" s="12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K112" s="2"/>
      <c r="L112" s="3"/>
      <c r="M112" s="12"/>
      <c r="N112" s="12"/>
      <c r="O112" s="12"/>
      <c r="P112" s="12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K113" s="2"/>
      <c r="L113" s="3"/>
      <c r="M113" s="12"/>
      <c r="N113" s="12"/>
      <c r="O113" s="12"/>
      <c r="P113" s="12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K114" s="2"/>
      <c r="L114" s="3"/>
      <c r="M114" s="12"/>
      <c r="N114" s="12"/>
      <c r="O114" s="12"/>
      <c r="P114" s="12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K115" s="2"/>
      <c r="L115" s="3"/>
      <c r="M115" s="12"/>
      <c r="N115" s="12"/>
      <c r="O115" s="12"/>
      <c r="P115" s="12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K116" s="2"/>
      <c r="L116" s="3"/>
      <c r="M116" s="12"/>
      <c r="N116" s="12"/>
      <c r="O116" s="12"/>
      <c r="P116" s="12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K117" s="2"/>
      <c r="L117" s="3"/>
      <c r="M117" s="12"/>
      <c r="N117" s="12"/>
      <c r="O117" s="12"/>
      <c r="P117" s="12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K118" s="2"/>
      <c r="L118" s="3"/>
      <c r="M118" s="12"/>
      <c r="N118" s="12"/>
      <c r="O118" s="12"/>
      <c r="P118" s="12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K119" s="2"/>
      <c r="L119" s="3"/>
      <c r="M119" s="12"/>
      <c r="N119" s="12"/>
      <c r="O119" s="12"/>
      <c r="P119" s="12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K120" s="2"/>
      <c r="L120" s="3"/>
      <c r="M120" s="12"/>
      <c r="N120" s="12"/>
      <c r="O120" s="12"/>
      <c r="P120" s="12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K121" s="2"/>
      <c r="L121" s="3"/>
      <c r="M121" s="12"/>
      <c r="N121" s="12"/>
      <c r="O121" s="12"/>
      <c r="P121" s="12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K122" s="2"/>
      <c r="L122" s="3"/>
      <c r="M122" s="12"/>
      <c r="N122" s="12"/>
      <c r="O122" s="12"/>
      <c r="P122" s="12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K123" s="2"/>
      <c r="L123" s="3"/>
      <c r="M123" s="12"/>
      <c r="N123" s="12"/>
      <c r="O123" s="12"/>
      <c r="P123" s="12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K124" s="2"/>
      <c r="L124" s="3"/>
      <c r="M124" s="12"/>
      <c r="N124" s="12"/>
      <c r="O124" s="12"/>
      <c r="P124" s="12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K125" s="2"/>
      <c r="L125" s="3"/>
      <c r="M125" s="12"/>
      <c r="N125" s="12"/>
      <c r="O125" s="12"/>
      <c r="P125" s="12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K126" s="2"/>
      <c r="L126" s="3"/>
      <c r="M126" s="12"/>
      <c r="N126" s="12"/>
      <c r="O126" s="12"/>
      <c r="P126" s="12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K127" s="2"/>
      <c r="L127" s="3"/>
      <c r="M127" s="12"/>
      <c r="N127" s="12"/>
      <c r="O127" s="12"/>
      <c r="P127" s="12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K128" s="2"/>
      <c r="L128" s="3"/>
      <c r="M128" s="12"/>
      <c r="N128" s="12"/>
      <c r="O128" s="12"/>
      <c r="P128" s="12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K129" s="2"/>
      <c r="L129" s="3"/>
      <c r="M129" s="12"/>
      <c r="N129" s="12"/>
      <c r="O129" s="12"/>
      <c r="P129" s="12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K130" s="2"/>
      <c r="L130" s="3"/>
      <c r="M130" s="12"/>
      <c r="N130" s="12"/>
      <c r="O130" s="12"/>
      <c r="P130" s="12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K131" s="2"/>
      <c r="L131" s="3"/>
      <c r="M131" s="12"/>
      <c r="N131" s="12"/>
      <c r="O131" s="12"/>
      <c r="P131" s="12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K132" s="2"/>
      <c r="L132" s="3"/>
      <c r="M132" s="12"/>
      <c r="N132" s="12"/>
      <c r="O132" s="12"/>
      <c r="P132" s="12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K133" s="2"/>
      <c r="L133" s="3"/>
      <c r="M133" s="12"/>
      <c r="N133" s="12"/>
      <c r="O133" s="12"/>
      <c r="P133" s="12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K134" s="2"/>
      <c r="L134" s="3"/>
      <c r="M134" s="12"/>
      <c r="N134" s="12"/>
      <c r="O134" s="12"/>
      <c r="P134" s="12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K135" s="2"/>
      <c r="L135" s="3"/>
      <c r="M135" s="12"/>
      <c r="N135" s="12"/>
      <c r="O135" s="12"/>
      <c r="P135" s="12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K136" s="2"/>
      <c r="L136" s="3"/>
      <c r="M136" s="12"/>
      <c r="N136" s="12"/>
      <c r="O136" s="12"/>
      <c r="P136" s="12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K137" s="2"/>
      <c r="L137" s="3"/>
      <c r="M137" s="12"/>
      <c r="N137" s="12"/>
      <c r="O137" s="12"/>
      <c r="P137" s="12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K138" s="2"/>
      <c r="L138" s="3"/>
      <c r="M138" s="12"/>
      <c r="N138" s="12"/>
      <c r="O138" s="12"/>
      <c r="P138" s="12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K139" s="2"/>
      <c r="L139" s="3"/>
      <c r="M139" s="12"/>
      <c r="N139" s="12"/>
      <c r="O139" s="12"/>
      <c r="P139" s="12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K140" s="2"/>
      <c r="L140" s="3"/>
      <c r="M140" s="12"/>
      <c r="N140" s="12"/>
      <c r="O140" s="12"/>
      <c r="P140" s="12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K141" s="2"/>
      <c r="L141" s="3"/>
      <c r="M141" s="12"/>
      <c r="N141" s="12"/>
      <c r="O141" s="12"/>
      <c r="P141" s="12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K142" s="2"/>
      <c r="L142" s="3"/>
      <c r="M142" s="12"/>
      <c r="N142" s="12"/>
      <c r="O142" s="12"/>
      <c r="P142" s="12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K143" s="2"/>
      <c r="L143" s="3"/>
      <c r="M143" s="12"/>
      <c r="N143" s="12"/>
      <c r="O143" s="12"/>
      <c r="P143" s="12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K144" s="2"/>
      <c r="L144" s="3"/>
      <c r="M144" s="12"/>
      <c r="N144" s="12"/>
      <c r="O144" s="12"/>
      <c r="P144" s="12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K145" s="2"/>
      <c r="L145" s="3"/>
      <c r="M145" s="12"/>
      <c r="N145" s="12"/>
      <c r="O145" s="12"/>
      <c r="P145" s="12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K146" s="2"/>
      <c r="L146" s="3"/>
      <c r="M146" s="12"/>
      <c r="N146" s="12"/>
      <c r="O146" s="12"/>
      <c r="P146" s="12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K147" s="2"/>
      <c r="L147" s="3"/>
      <c r="M147" s="12"/>
      <c r="N147" s="12"/>
      <c r="O147" s="12"/>
      <c r="P147" s="12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K148" s="2"/>
      <c r="L148" s="3"/>
      <c r="M148" s="12"/>
      <c r="N148" s="12"/>
      <c r="O148" s="12"/>
      <c r="P148" s="12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K149" s="2"/>
      <c r="L149" s="3"/>
      <c r="M149" s="12"/>
      <c r="N149" s="12"/>
      <c r="O149" s="12"/>
      <c r="P149" s="12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K150" s="2"/>
      <c r="L150" s="3"/>
      <c r="M150" s="12"/>
      <c r="N150" s="12"/>
      <c r="O150" s="12"/>
      <c r="P150" s="12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K151" s="2"/>
      <c r="L151" s="3"/>
      <c r="M151" s="12"/>
      <c r="N151" s="12"/>
      <c r="O151" s="12"/>
      <c r="P151" s="12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K152" s="2"/>
      <c r="L152" s="3"/>
      <c r="M152" s="12"/>
      <c r="N152" s="12"/>
      <c r="O152" s="12"/>
      <c r="P152" s="12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K153" s="2"/>
      <c r="L153" s="3"/>
      <c r="M153" s="12"/>
      <c r="N153" s="12"/>
      <c r="O153" s="12"/>
      <c r="P153" s="12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K154" s="2"/>
      <c r="L154" s="3"/>
      <c r="M154" s="12"/>
      <c r="N154" s="12"/>
      <c r="O154" s="12"/>
      <c r="P154" s="12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K155" s="2"/>
      <c r="L155" s="3"/>
      <c r="M155" s="12"/>
      <c r="N155" s="12"/>
      <c r="O155" s="12"/>
      <c r="P155" s="12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K156" s="2"/>
      <c r="L156" s="3"/>
      <c r="M156" s="12"/>
      <c r="N156" s="12"/>
      <c r="O156" s="12"/>
      <c r="P156" s="12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K157" s="2"/>
      <c r="L157" s="3"/>
      <c r="M157" s="12"/>
      <c r="N157" s="12"/>
      <c r="O157" s="12"/>
      <c r="P157" s="12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K158" s="2"/>
      <c r="L158" s="3"/>
      <c r="M158" s="12"/>
      <c r="N158" s="12"/>
      <c r="O158" s="12"/>
      <c r="P158" s="12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K159" s="2"/>
      <c r="L159" s="3"/>
      <c r="M159" s="12"/>
      <c r="N159" s="12"/>
      <c r="O159" s="12"/>
      <c r="P159" s="12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K160" s="2"/>
      <c r="L160" s="3"/>
      <c r="M160" s="12"/>
      <c r="N160" s="12"/>
      <c r="O160" s="12"/>
      <c r="P160" s="12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K161" s="2"/>
      <c r="L161" s="3"/>
      <c r="M161" s="12"/>
      <c r="N161" s="12"/>
      <c r="O161" s="12"/>
      <c r="P161" s="12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K162" s="2"/>
      <c r="L162" s="3"/>
      <c r="M162" s="12"/>
      <c r="N162" s="12"/>
      <c r="O162" s="12"/>
      <c r="P162" s="12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K163" s="2"/>
      <c r="L163" s="3"/>
      <c r="M163" s="12"/>
      <c r="N163" s="12"/>
      <c r="O163" s="12"/>
      <c r="P163" s="12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K164" s="2"/>
      <c r="L164" s="3"/>
      <c r="M164" s="12"/>
      <c r="N164" s="12"/>
      <c r="O164" s="12"/>
      <c r="P164" s="12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K165" s="2"/>
      <c r="L165" s="3"/>
      <c r="M165" s="12"/>
      <c r="N165" s="12"/>
      <c r="O165" s="12"/>
      <c r="P165" s="12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K166" s="2"/>
      <c r="L166" s="3"/>
      <c r="M166" s="12"/>
      <c r="N166" s="12"/>
      <c r="O166" s="12"/>
      <c r="P166" s="12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K167" s="2"/>
      <c r="L167" s="3"/>
      <c r="M167" s="12"/>
      <c r="N167" s="12"/>
      <c r="O167" s="12"/>
      <c r="P167" s="12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K168" s="2"/>
      <c r="L168" s="3"/>
      <c r="M168" s="12"/>
      <c r="N168" s="12"/>
      <c r="O168" s="12"/>
      <c r="P168" s="12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K169" s="2"/>
      <c r="L169" s="3"/>
      <c r="M169" s="12"/>
      <c r="N169" s="12"/>
      <c r="O169" s="12"/>
      <c r="P169" s="12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K170" s="2"/>
      <c r="L170" s="3"/>
      <c r="M170" s="12"/>
      <c r="N170" s="12"/>
      <c r="O170" s="12"/>
      <c r="P170" s="12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K171" s="2"/>
      <c r="L171" s="3"/>
      <c r="M171" s="12"/>
      <c r="N171" s="12"/>
      <c r="O171" s="12"/>
      <c r="P171" s="12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K172" s="2"/>
      <c r="L172" s="3"/>
      <c r="M172" s="12"/>
      <c r="N172" s="12"/>
      <c r="O172" s="12"/>
      <c r="P172" s="12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K173" s="2"/>
      <c r="L173" s="3"/>
      <c r="M173" s="12"/>
      <c r="N173" s="12"/>
      <c r="O173" s="12"/>
      <c r="P173" s="12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K174" s="2"/>
      <c r="L174" s="3"/>
      <c r="M174" s="12"/>
      <c r="N174" s="12"/>
      <c r="O174" s="12"/>
      <c r="P174" s="12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K175" s="2"/>
      <c r="L175" s="3"/>
      <c r="M175" s="12"/>
      <c r="N175" s="12"/>
      <c r="O175" s="12"/>
      <c r="P175" s="12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K176" s="2"/>
      <c r="L176" s="3"/>
      <c r="M176" s="12"/>
      <c r="N176" s="12"/>
      <c r="O176" s="12"/>
      <c r="P176" s="12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K177" s="2"/>
      <c r="L177" s="3"/>
      <c r="M177" s="12"/>
      <c r="N177" s="12"/>
      <c r="O177" s="12"/>
      <c r="P177" s="12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K178" s="2"/>
      <c r="L178" s="3"/>
      <c r="M178" s="12"/>
      <c r="N178" s="12"/>
      <c r="O178" s="12"/>
      <c r="P178" s="12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K179" s="2"/>
      <c r="L179" s="3"/>
      <c r="M179" s="12"/>
      <c r="N179" s="12"/>
      <c r="O179" s="12"/>
      <c r="P179" s="12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K180" s="2"/>
      <c r="L180" s="3"/>
      <c r="M180" s="12"/>
      <c r="N180" s="12"/>
      <c r="O180" s="12"/>
      <c r="P180" s="12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K181" s="2"/>
      <c r="L181" s="3"/>
      <c r="M181" s="12"/>
      <c r="N181" s="12"/>
      <c r="O181" s="12"/>
      <c r="P181" s="12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K182" s="2"/>
      <c r="L182" s="3"/>
      <c r="M182" s="12"/>
      <c r="N182" s="12"/>
      <c r="O182" s="12"/>
      <c r="P182" s="12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K183" s="2"/>
      <c r="L183" s="3"/>
      <c r="M183" s="12"/>
      <c r="N183" s="12"/>
      <c r="O183" s="12"/>
      <c r="P183" s="12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K184" s="2"/>
      <c r="L184" s="3"/>
      <c r="M184" s="12"/>
      <c r="N184" s="12"/>
      <c r="O184" s="12"/>
      <c r="P184" s="12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K185" s="2"/>
      <c r="L185" s="3"/>
      <c r="M185" s="12"/>
      <c r="N185" s="12"/>
      <c r="O185" s="12"/>
      <c r="P185" s="12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K186" s="2"/>
      <c r="L186" s="3"/>
      <c r="M186" s="12"/>
      <c r="N186" s="12"/>
      <c r="O186" s="12"/>
      <c r="P186" s="12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K187" s="2"/>
      <c r="L187" s="3"/>
      <c r="M187" s="12"/>
      <c r="N187" s="12"/>
      <c r="O187" s="12"/>
      <c r="P187" s="12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K188" s="2"/>
      <c r="L188" s="3"/>
      <c r="M188" s="12"/>
      <c r="N188" s="12"/>
      <c r="O188" s="12"/>
      <c r="P188" s="12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K189" s="2"/>
      <c r="L189" s="3"/>
      <c r="M189" s="12"/>
      <c r="N189" s="12"/>
      <c r="O189" s="12"/>
      <c r="P189" s="12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K190" s="2"/>
      <c r="L190" s="3"/>
      <c r="M190" s="12"/>
      <c r="N190" s="12"/>
      <c r="O190" s="12"/>
      <c r="P190" s="12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K191" s="2"/>
      <c r="L191" s="3"/>
      <c r="M191" s="12"/>
      <c r="N191" s="12"/>
      <c r="O191" s="12"/>
      <c r="P191" s="12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K192" s="2"/>
      <c r="L192" s="3"/>
      <c r="M192" s="12"/>
      <c r="N192" s="12"/>
      <c r="O192" s="12"/>
      <c r="P192" s="12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K193" s="2"/>
      <c r="L193" s="3"/>
      <c r="M193" s="12"/>
      <c r="N193" s="12"/>
      <c r="O193" s="12"/>
      <c r="P193" s="12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K194" s="2"/>
      <c r="L194" s="3"/>
      <c r="M194" s="12"/>
      <c r="N194" s="12"/>
      <c r="O194" s="12"/>
      <c r="P194" s="12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K195" s="2"/>
      <c r="L195" s="3"/>
      <c r="M195" s="12"/>
      <c r="N195" s="12"/>
      <c r="O195" s="12"/>
      <c r="P195" s="12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K196" s="2"/>
      <c r="L196" s="3"/>
      <c r="M196" s="12"/>
      <c r="N196" s="12"/>
      <c r="O196" s="12"/>
      <c r="P196" s="12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K197" s="2"/>
      <c r="L197" s="3"/>
      <c r="M197" s="12"/>
      <c r="N197" s="12"/>
      <c r="O197" s="12"/>
      <c r="P197" s="12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K198" s="2"/>
      <c r="L198" s="3"/>
      <c r="M198" s="12"/>
      <c r="N198" s="12"/>
      <c r="O198" s="12"/>
      <c r="P198" s="12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K199" s="2"/>
      <c r="L199" s="3"/>
      <c r="M199" s="12"/>
      <c r="N199" s="12"/>
      <c r="O199" s="12"/>
      <c r="P199" s="12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K200" s="2"/>
      <c r="L200" s="3"/>
      <c r="M200" s="12"/>
      <c r="N200" s="12"/>
      <c r="O200" s="12"/>
      <c r="P200" s="12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K201" s="2"/>
      <c r="L201" s="3"/>
      <c r="M201" s="12"/>
      <c r="N201" s="12"/>
      <c r="O201" s="12"/>
      <c r="P201" s="12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K202" s="2"/>
      <c r="L202" s="3"/>
      <c r="M202" s="12"/>
      <c r="N202" s="12"/>
      <c r="O202" s="12"/>
      <c r="P202" s="12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K203" s="2"/>
      <c r="L203" s="3"/>
      <c r="M203" s="12"/>
      <c r="N203" s="12"/>
      <c r="O203" s="12"/>
      <c r="P203" s="12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K204" s="2"/>
      <c r="L204" s="3"/>
      <c r="M204" s="12"/>
      <c r="N204" s="12"/>
      <c r="O204" s="12"/>
      <c r="P204" s="12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K205" s="2"/>
      <c r="L205" s="3"/>
      <c r="M205" s="12"/>
      <c r="N205" s="12"/>
      <c r="O205" s="12"/>
      <c r="P205" s="12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K206" s="2"/>
      <c r="L206" s="3"/>
      <c r="M206" s="12"/>
      <c r="N206" s="12"/>
      <c r="O206" s="12"/>
      <c r="P206" s="12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K207" s="2"/>
      <c r="L207" s="3"/>
      <c r="M207" s="12"/>
      <c r="N207" s="12"/>
      <c r="O207" s="12"/>
      <c r="P207" s="12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K208" s="2"/>
      <c r="L208" s="3"/>
      <c r="M208" s="12"/>
      <c r="N208" s="12"/>
      <c r="O208" s="12"/>
      <c r="P208" s="12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K209" s="2"/>
      <c r="L209" s="3"/>
      <c r="M209" s="12"/>
      <c r="N209" s="12"/>
      <c r="O209" s="12"/>
      <c r="P209" s="12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K210" s="2"/>
      <c r="L210" s="3"/>
      <c r="M210" s="12"/>
      <c r="N210" s="12"/>
      <c r="O210" s="12"/>
      <c r="P210" s="12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K211" s="2"/>
      <c r="L211" s="3"/>
      <c r="M211" s="12"/>
      <c r="N211" s="12"/>
      <c r="O211" s="12"/>
      <c r="P211" s="12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K212" s="2"/>
      <c r="L212" s="3"/>
      <c r="M212" s="12"/>
      <c r="N212" s="12"/>
      <c r="O212" s="12"/>
      <c r="P212" s="12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K213" s="2"/>
      <c r="L213" s="3"/>
      <c r="M213" s="12"/>
      <c r="N213" s="12"/>
      <c r="O213" s="12"/>
      <c r="P213" s="12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K214" s="2"/>
      <c r="L214" s="3"/>
      <c r="M214" s="12"/>
      <c r="N214" s="12"/>
      <c r="O214" s="12"/>
      <c r="P214" s="12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K215" s="2"/>
      <c r="L215" s="3"/>
      <c r="M215" s="12"/>
      <c r="N215" s="12"/>
      <c r="O215" s="12"/>
      <c r="P215" s="12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K216" s="2"/>
      <c r="L216" s="3"/>
      <c r="M216" s="12"/>
      <c r="N216" s="12"/>
      <c r="O216" s="12"/>
      <c r="P216" s="12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K217" s="2"/>
      <c r="L217" s="3"/>
      <c r="M217" s="12"/>
      <c r="N217" s="12"/>
      <c r="O217" s="12"/>
      <c r="P217" s="12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K218" s="2"/>
      <c r="L218" s="3"/>
      <c r="M218" s="12"/>
      <c r="N218" s="12"/>
      <c r="O218" s="12"/>
      <c r="P218" s="12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K219" s="2"/>
      <c r="L219" s="3"/>
      <c r="M219" s="12"/>
      <c r="N219" s="12"/>
      <c r="O219" s="12"/>
      <c r="P219" s="12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K220" s="2"/>
      <c r="L220" s="3"/>
      <c r="M220" s="12"/>
      <c r="N220" s="12"/>
      <c r="O220" s="12"/>
      <c r="P220" s="12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K221" s="2"/>
      <c r="L221" s="3"/>
      <c r="M221" s="12"/>
      <c r="N221" s="12"/>
      <c r="O221" s="12"/>
      <c r="P221" s="12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K222" s="2"/>
      <c r="L222" s="3"/>
      <c r="M222" s="12"/>
      <c r="N222" s="12"/>
      <c r="O222" s="12"/>
      <c r="P222" s="12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K223" s="2"/>
      <c r="L223" s="3"/>
      <c r="M223" s="12"/>
      <c r="N223" s="12"/>
      <c r="O223" s="12"/>
      <c r="P223" s="12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K224" s="2"/>
      <c r="L224" s="3"/>
      <c r="M224" s="12"/>
      <c r="N224" s="12"/>
      <c r="O224" s="12"/>
      <c r="P224" s="12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K225" s="2"/>
      <c r="L225" s="3"/>
      <c r="M225" s="12"/>
      <c r="N225" s="12"/>
      <c r="O225" s="12"/>
      <c r="P225" s="12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K226" s="2"/>
      <c r="L226" s="3"/>
      <c r="M226" s="12"/>
      <c r="N226" s="12"/>
      <c r="O226" s="12"/>
      <c r="P226" s="12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K227" s="2"/>
      <c r="L227" s="3"/>
      <c r="M227" s="12"/>
      <c r="N227" s="12"/>
      <c r="O227" s="12"/>
      <c r="P227" s="12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K228" s="2"/>
      <c r="L228" s="3"/>
      <c r="M228" s="12"/>
      <c r="N228" s="12"/>
      <c r="O228" s="12"/>
      <c r="P228" s="12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K229" s="2"/>
      <c r="L229" s="3"/>
      <c r="M229" s="12"/>
      <c r="N229" s="12"/>
      <c r="O229" s="12"/>
      <c r="P229" s="12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K230" s="2"/>
      <c r="L230" s="3"/>
      <c r="M230" s="12"/>
      <c r="N230" s="12"/>
      <c r="O230" s="12"/>
      <c r="P230" s="12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K231" s="2"/>
      <c r="L231" s="3"/>
      <c r="M231" s="12"/>
      <c r="N231" s="12"/>
      <c r="O231" s="12"/>
      <c r="P231" s="12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K232" s="2"/>
      <c r="L232" s="3"/>
      <c r="M232" s="12"/>
      <c r="N232" s="12"/>
      <c r="O232" s="12"/>
      <c r="P232" s="12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K233" s="2"/>
      <c r="L233" s="3"/>
      <c r="M233" s="12"/>
      <c r="N233" s="12"/>
      <c r="O233" s="12"/>
      <c r="P233" s="12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K234" s="2"/>
      <c r="L234" s="3"/>
      <c r="M234" s="12"/>
      <c r="N234" s="12"/>
      <c r="O234" s="12"/>
      <c r="P234" s="12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K235" s="2"/>
      <c r="L235" s="3"/>
      <c r="M235" s="12"/>
      <c r="N235" s="12"/>
      <c r="O235" s="12"/>
      <c r="P235" s="12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K236" s="2"/>
      <c r="L236" s="3"/>
      <c r="M236" s="12"/>
      <c r="N236" s="12"/>
      <c r="O236" s="12"/>
      <c r="P236" s="12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K237" s="2"/>
      <c r="L237" s="3"/>
      <c r="M237" s="12"/>
      <c r="N237" s="12"/>
      <c r="O237" s="12"/>
      <c r="P237" s="12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K238" s="2"/>
      <c r="L238" s="3"/>
      <c r="M238" s="12"/>
      <c r="N238" s="12"/>
      <c r="O238" s="12"/>
      <c r="P238" s="12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K239" s="2"/>
      <c r="L239" s="3"/>
      <c r="M239" s="12"/>
      <c r="N239" s="12"/>
      <c r="O239" s="12"/>
      <c r="P239" s="12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K240" s="2"/>
      <c r="L240" s="3"/>
      <c r="M240" s="12"/>
      <c r="N240" s="12"/>
      <c r="O240" s="12"/>
      <c r="P240" s="12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K241" s="2"/>
      <c r="L241" s="3"/>
      <c r="M241" s="12"/>
      <c r="N241" s="12"/>
      <c r="O241" s="12"/>
      <c r="P241" s="12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K242" s="2"/>
      <c r="L242" s="3"/>
      <c r="M242" s="12"/>
      <c r="N242" s="12"/>
      <c r="O242" s="12"/>
      <c r="P242" s="12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K243" s="2"/>
      <c r="L243" s="3"/>
      <c r="M243" s="12"/>
      <c r="N243" s="12"/>
      <c r="O243" s="12"/>
      <c r="P243" s="12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K244" s="2"/>
      <c r="L244" s="3"/>
      <c r="M244" s="12"/>
      <c r="N244" s="12"/>
      <c r="O244" s="12"/>
      <c r="P244" s="12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K245" s="2"/>
      <c r="L245" s="3"/>
      <c r="M245" s="12"/>
      <c r="N245" s="12"/>
      <c r="O245" s="12"/>
      <c r="P245" s="12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K246" s="2"/>
      <c r="L246" s="3"/>
      <c r="M246" s="12"/>
      <c r="N246" s="12"/>
      <c r="O246" s="12"/>
      <c r="P246" s="12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K247" s="2"/>
      <c r="L247" s="3"/>
      <c r="M247" s="12"/>
      <c r="N247" s="12"/>
      <c r="O247" s="12"/>
      <c r="P247" s="12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K248" s="2"/>
      <c r="L248" s="3"/>
      <c r="M248" s="12"/>
      <c r="N248" s="12"/>
      <c r="O248" s="12"/>
      <c r="P248" s="12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K249" s="2"/>
      <c r="L249" s="3"/>
      <c r="M249" s="12"/>
      <c r="N249" s="12"/>
      <c r="O249" s="12"/>
      <c r="P249" s="12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K250" s="2"/>
      <c r="L250" s="3"/>
      <c r="M250" s="12"/>
      <c r="N250" s="12"/>
      <c r="O250" s="12"/>
      <c r="P250" s="12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K251" s="2"/>
      <c r="L251" s="3"/>
      <c r="M251" s="12"/>
      <c r="N251" s="12"/>
      <c r="O251" s="12"/>
      <c r="P251" s="12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K252" s="2"/>
      <c r="L252" s="3"/>
      <c r="M252" s="12"/>
      <c r="N252" s="12"/>
      <c r="O252" s="12"/>
      <c r="P252" s="12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K253" s="2"/>
      <c r="L253" s="3"/>
      <c r="M253" s="12"/>
      <c r="N253" s="12"/>
      <c r="O253" s="12"/>
      <c r="P253" s="12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K254" s="2"/>
      <c r="L254" s="3"/>
      <c r="M254" s="12"/>
      <c r="N254" s="12"/>
      <c r="O254" s="12"/>
      <c r="P254" s="12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K255" s="2"/>
      <c r="L255" s="3"/>
      <c r="M255" s="12"/>
      <c r="N255" s="12"/>
      <c r="O255" s="12"/>
      <c r="P255" s="12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K256" s="2"/>
      <c r="L256" s="3"/>
      <c r="M256" s="12"/>
      <c r="N256" s="12"/>
      <c r="O256" s="12"/>
      <c r="P256" s="12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K257" s="2"/>
      <c r="L257" s="3"/>
      <c r="M257" s="12"/>
      <c r="N257" s="12"/>
      <c r="O257" s="12"/>
      <c r="P257" s="12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K258" s="2"/>
      <c r="L258" s="3"/>
      <c r="M258" s="12"/>
      <c r="N258" s="12"/>
      <c r="O258" s="12"/>
      <c r="P258" s="12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K259" s="2"/>
      <c r="L259" s="3"/>
      <c r="M259" s="12"/>
      <c r="N259" s="12"/>
      <c r="O259" s="12"/>
      <c r="P259" s="12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K260" s="2"/>
      <c r="L260" s="3"/>
      <c r="M260" s="12"/>
      <c r="N260" s="12"/>
      <c r="O260" s="12"/>
      <c r="P260" s="12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K261" s="2"/>
      <c r="L261" s="3"/>
      <c r="M261" s="12"/>
      <c r="N261" s="12"/>
      <c r="O261" s="12"/>
      <c r="P261" s="12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K262" s="2"/>
      <c r="L262" s="3"/>
      <c r="M262" s="12"/>
      <c r="N262" s="12"/>
      <c r="O262" s="12"/>
      <c r="P262" s="12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K263" s="2"/>
      <c r="L263" s="3"/>
      <c r="M263" s="12"/>
      <c r="N263" s="12"/>
      <c r="O263" s="12"/>
      <c r="P263" s="12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K264" s="2"/>
      <c r="L264" s="3"/>
      <c r="M264" s="12"/>
      <c r="N264" s="12"/>
      <c r="O264" s="12"/>
      <c r="P264" s="12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K265" s="2"/>
      <c r="L265" s="3"/>
      <c r="M265" s="12"/>
      <c r="N265" s="12"/>
      <c r="O265" s="12"/>
      <c r="P265" s="12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K266" s="2"/>
      <c r="L266" s="3"/>
      <c r="M266" s="12"/>
      <c r="N266" s="12"/>
      <c r="O266" s="12"/>
      <c r="P266" s="12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K267" s="2"/>
      <c r="L267" s="3"/>
      <c r="M267" s="12"/>
      <c r="N267" s="12"/>
      <c r="O267" s="12"/>
      <c r="P267" s="12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K268" s="2"/>
      <c r="L268" s="3"/>
      <c r="M268" s="12"/>
      <c r="N268" s="12"/>
      <c r="O268" s="12"/>
      <c r="P268" s="12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K269" s="2"/>
      <c r="L269" s="3"/>
      <c r="M269" s="12"/>
      <c r="N269" s="12"/>
      <c r="O269" s="12"/>
      <c r="P269" s="12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K270" s="2"/>
      <c r="L270" s="3"/>
      <c r="M270" s="12"/>
      <c r="N270" s="12"/>
      <c r="O270" s="12"/>
      <c r="P270" s="12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K271" s="2"/>
      <c r="L271" s="3"/>
      <c r="M271" s="12"/>
      <c r="N271" s="12"/>
      <c r="O271" s="12"/>
      <c r="P271" s="12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K272" s="2"/>
      <c r="L272" s="3"/>
      <c r="M272" s="12"/>
      <c r="N272" s="12"/>
      <c r="O272" s="12"/>
      <c r="P272" s="12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K273" s="2"/>
      <c r="L273" s="3"/>
      <c r="M273" s="12"/>
      <c r="N273" s="12"/>
      <c r="O273" s="12"/>
      <c r="P273" s="12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K274" s="2"/>
      <c r="L274" s="3"/>
      <c r="M274" s="12"/>
      <c r="N274" s="12"/>
      <c r="O274" s="12"/>
      <c r="P274" s="12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K275" s="2"/>
      <c r="L275" s="3"/>
      <c r="M275" s="12"/>
      <c r="N275" s="12"/>
      <c r="O275" s="12"/>
      <c r="P275" s="12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K276" s="2"/>
      <c r="L276" s="3"/>
      <c r="M276" s="12"/>
      <c r="N276" s="12"/>
      <c r="O276" s="12"/>
      <c r="P276" s="12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K277" s="2"/>
      <c r="L277" s="3"/>
      <c r="M277" s="12"/>
      <c r="N277" s="12"/>
      <c r="O277" s="12"/>
      <c r="P277" s="12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K278" s="2"/>
      <c r="L278" s="3"/>
      <c r="M278" s="12"/>
      <c r="N278" s="12"/>
      <c r="O278" s="12"/>
      <c r="P278" s="12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K279" s="2"/>
      <c r="L279" s="3"/>
      <c r="M279" s="12"/>
      <c r="N279" s="12"/>
      <c r="O279" s="12"/>
      <c r="P279" s="12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K280" s="2"/>
      <c r="L280" s="3"/>
      <c r="M280" s="12"/>
      <c r="N280" s="12"/>
      <c r="O280" s="12"/>
      <c r="P280" s="12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K281" s="2"/>
      <c r="L281" s="3"/>
      <c r="M281" s="12"/>
      <c r="N281" s="12"/>
      <c r="O281" s="12"/>
      <c r="P281" s="12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K282" s="2"/>
      <c r="L282" s="3"/>
      <c r="M282" s="12"/>
      <c r="N282" s="12"/>
      <c r="O282" s="12"/>
      <c r="P282" s="12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K283" s="2"/>
      <c r="L283" s="3"/>
      <c r="M283" s="12"/>
      <c r="N283" s="12"/>
      <c r="O283" s="12"/>
      <c r="P283" s="12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K284" s="2"/>
      <c r="L284" s="3"/>
      <c r="M284" s="12"/>
      <c r="N284" s="12"/>
      <c r="O284" s="12"/>
      <c r="P284" s="12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K285" s="2"/>
      <c r="L285" s="3"/>
      <c r="M285" s="12"/>
      <c r="N285" s="12"/>
      <c r="O285" s="12"/>
      <c r="P285" s="12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K286" s="2"/>
      <c r="L286" s="3"/>
      <c r="M286" s="12"/>
      <c r="N286" s="12"/>
      <c r="O286" s="12"/>
      <c r="P286" s="12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K287" s="2"/>
      <c r="L287" s="3"/>
      <c r="M287" s="12"/>
      <c r="N287" s="12"/>
      <c r="O287" s="12"/>
      <c r="P287" s="12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K288" s="2"/>
      <c r="L288" s="3"/>
      <c r="M288" s="12"/>
      <c r="N288" s="12"/>
      <c r="O288" s="12"/>
      <c r="P288" s="12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K289" s="2"/>
      <c r="L289" s="3"/>
      <c r="M289" s="12"/>
      <c r="N289" s="12"/>
      <c r="O289" s="12"/>
      <c r="P289" s="12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K290" s="2"/>
      <c r="L290" s="3"/>
      <c r="M290" s="12"/>
      <c r="N290" s="12"/>
      <c r="O290" s="12"/>
      <c r="P290" s="12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K291" s="2"/>
      <c r="L291" s="3"/>
      <c r="M291" s="12"/>
      <c r="N291" s="12"/>
      <c r="O291" s="12"/>
      <c r="P291" s="12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K292" s="2"/>
      <c r="L292" s="3"/>
      <c r="M292" s="12"/>
      <c r="N292" s="12"/>
      <c r="O292" s="12"/>
      <c r="P292" s="12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K293" s="2"/>
      <c r="L293" s="3"/>
      <c r="M293" s="12"/>
      <c r="N293" s="12"/>
      <c r="O293" s="12"/>
      <c r="P293" s="12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K294" s="2"/>
      <c r="L294" s="3"/>
      <c r="M294" s="12"/>
      <c r="N294" s="12"/>
      <c r="O294" s="12"/>
      <c r="P294" s="12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K295" s="2"/>
      <c r="L295" s="3"/>
      <c r="M295" s="12"/>
      <c r="N295" s="12"/>
      <c r="O295" s="12"/>
      <c r="P295" s="12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K296" s="2"/>
      <c r="L296" s="3"/>
      <c r="M296" s="12"/>
      <c r="N296" s="12"/>
      <c r="O296" s="12"/>
      <c r="P296" s="12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K297" s="2"/>
      <c r="L297" s="3"/>
      <c r="M297" s="12"/>
      <c r="N297" s="12"/>
      <c r="O297" s="12"/>
      <c r="P297" s="12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K298" s="2"/>
      <c r="L298" s="3"/>
      <c r="M298" s="12"/>
      <c r="N298" s="12"/>
      <c r="O298" s="12"/>
      <c r="P298" s="12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K299" s="2"/>
      <c r="L299" s="3"/>
      <c r="M299" s="12"/>
      <c r="N299" s="12"/>
      <c r="O299" s="12"/>
      <c r="P299" s="12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K300" s="2"/>
      <c r="L300" s="3"/>
      <c r="M300" s="12"/>
      <c r="N300" s="12"/>
      <c r="O300" s="12"/>
      <c r="P300" s="12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K301" s="2"/>
      <c r="L301" s="3"/>
      <c r="M301" s="12"/>
      <c r="N301" s="12"/>
      <c r="O301" s="12"/>
      <c r="P301" s="12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K302" s="2"/>
      <c r="L302" s="3"/>
      <c r="M302" s="12"/>
      <c r="N302" s="12"/>
      <c r="O302" s="12"/>
      <c r="P302" s="12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K303" s="2"/>
      <c r="L303" s="3"/>
      <c r="M303" s="12"/>
      <c r="N303" s="12"/>
      <c r="O303" s="12"/>
      <c r="P303" s="12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K304" s="2"/>
      <c r="L304" s="3"/>
      <c r="M304" s="12"/>
      <c r="N304" s="12"/>
      <c r="O304" s="12"/>
      <c r="P304" s="12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K305" s="2"/>
      <c r="L305" s="3"/>
      <c r="M305" s="12"/>
      <c r="N305" s="12"/>
      <c r="O305" s="12"/>
      <c r="P305" s="12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K306" s="2"/>
      <c r="L306" s="3"/>
      <c r="M306" s="12"/>
      <c r="N306" s="12"/>
      <c r="O306" s="12"/>
      <c r="P306" s="12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K307" s="2"/>
      <c r="L307" s="3"/>
      <c r="M307" s="12"/>
      <c r="N307" s="12"/>
      <c r="O307" s="12"/>
      <c r="P307" s="12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K308" s="2"/>
      <c r="L308" s="3"/>
      <c r="M308" s="12"/>
      <c r="N308" s="12"/>
      <c r="O308" s="12"/>
      <c r="P308" s="12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K309" s="2"/>
      <c r="L309" s="3"/>
      <c r="M309" s="12"/>
      <c r="N309" s="12"/>
      <c r="O309" s="12"/>
      <c r="P309" s="12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K310" s="2"/>
      <c r="L310" s="3"/>
      <c r="M310" s="12"/>
      <c r="N310" s="12"/>
      <c r="O310" s="12"/>
      <c r="P310" s="12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K311" s="2"/>
      <c r="L311" s="3"/>
      <c r="M311" s="12"/>
      <c r="N311" s="12"/>
      <c r="O311" s="12"/>
      <c r="P311" s="12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K312" s="2"/>
      <c r="L312" s="3"/>
      <c r="M312" s="12"/>
      <c r="N312" s="12"/>
      <c r="O312" s="12"/>
      <c r="P312" s="12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K313" s="2"/>
      <c r="L313" s="3"/>
      <c r="M313" s="12"/>
      <c r="N313" s="12"/>
      <c r="O313" s="12"/>
      <c r="P313" s="12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K314" s="2"/>
      <c r="L314" s="3"/>
      <c r="M314" s="12"/>
      <c r="N314" s="12"/>
      <c r="O314" s="12"/>
      <c r="P314" s="12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K315" s="2"/>
      <c r="L315" s="3"/>
      <c r="M315" s="12"/>
      <c r="N315" s="12"/>
      <c r="O315" s="12"/>
      <c r="P315" s="12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K316" s="2"/>
      <c r="L316" s="3"/>
      <c r="M316" s="12"/>
      <c r="N316" s="12"/>
      <c r="O316" s="12"/>
      <c r="P316" s="12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K317" s="2"/>
      <c r="L317" s="3"/>
      <c r="M317" s="12"/>
      <c r="N317" s="12"/>
      <c r="O317" s="12"/>
      <c r="P317" s="12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K318" s="2"/>
      <c r="L318" s="3"/>
      <c r="M318" s="12"/>
      <c r="N318" s="12"/>
      <c r="O318" s="12"/>
      <c r="P318" s="12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K319" s="2"/>
      <c r="L319" s="3"/>
      <c r="M319" s="12"/>
      <c r="N319" s="12"/>
      <c r="O319" s="12"/>
      <c r="P319" s="12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K320" s="2"/>
      <c r="L320" s="3"/>
      <c r="M320" s="12"/>
      <c r="N320" s="12"/>
      <c r="O320" s="12"/>
      <c r="P320" s="12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K321" s="2"/>
      <c r="L321" s="3"/>
      <c r="M321" s="12"/>
      <c r="N321" s="12"/>
      <c r="O321" s="12"/>
      <c r="P321" s="12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K322" s="2"/>
      <c r="L322" s="3"/>
      <c r="M322" s="12"/>
      <c r="N322" s="12"/>
      <c r="O322" s="12"/>
      <c r="P322" s="12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K323" s="2"/>
      <c r="L323" s="3"/>
      <c r="M323" s="12"/>
      <c r="N323" s="12"/>
      <c r="O323" s="12"/>
      <c r="P323" s="12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K324" s="2"/>
      <c r="L324" s="3"/>
      <c r="M324" s="12"/>
      <c r="N324" s="12"/>
      <c r="O324" s="12"/>
      <c r="P324" s="12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K325" s="2"/>
      <c r="L325" s="3"/>
      <c r="M325" s="12"/>
      <c r="N325" s="12"/>
      <c r="O325" s="12"/>
      <c r="P325" s="12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K326" s="2"/>
      <c r="L326" s="3"/>
      <c r="M326" s="12"/>
      <c r="N326" s="12"/>
      <c r="O326" s="12"/>
      <c r="P326" s="12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K327" s="2"/>
      <c r="L327" s="3"/>
      <c r="M327" s="12"/>
      <c r="N327" s="12"/>
      <c r="O327" s="12"/>
      <c r="P327" s="12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K328" s="2"/>
      <c r="L328" s="3"/>
      <c r="M328" s="12"/>
      <c r="N328" s="12"/>
      <c r="O328" s="12"/>
      <c r="P328" s="12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K329" s="2"/>
      <c r="L329" s="3"/>
      <c r="M329" s="12"/>
      <c r="N329" s="12"/>
      <c r="O329" s="12"/>
      <c r="P329" s="12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K330" s="2"/>
      <c r="L330" s="3"/>
      <c r="M330" s="12"/>
      <c r="N330" s="12"/>
      <c r="O330" s="12"/>
      <c r="P330" s="12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K331" s="2"/>
      <c r="L331" s="3"/>
      <c r="M331" s="12"/>
      <c r="N331" s="12"/>
      <c r="O331" s="12"/>
      <c r="P331" s="12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K332" s="2"/>
      <c r="L332" s="3"/>
      <c r="M332" s="12"/>
      <c r="N332" s="12"/>
      <c r="O332" s="12"/>
      <c r="P332" s="12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K333" s="2"/>
      <c r="L333" s="3"/>
      <c r="M333" s="12"/>
      <c r="N333" s="12"/>
      <c r="O333" s="12"/>
      <c r="P333" s="12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K334" s="2"/>
      <c r="L334" s="3"/>
      <c r="M334" s="12"/>
      <c r="N334" s="12"/>
      <c r="O334" s="12"/>
      <c r="P334" s="12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K335" s="2"/>
      <c r="L335" s="3"/>
      <c r="M335" s="12"/>
      <c r="N335" s="12"/>
      <c r="O335" s="12"/>
      <c r="P335" s="12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K336" s="2"/>
      <c r="L336" s="3"/>
      <c r="M336" s="12"/>
      <c r="N336" s="12"/>
      <c r="O336" s="12"/>
      <c r="P336" s="12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K337" s="2"/>
      <c r="L337" s="3"/>
      <c r="M337" s="12"/>
      <c r="N337" s="12"/>
      <c r="O337" s="12"/>
      <c r="P337" s="12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K338" s="2"/>
      <c r="L338" s="3"/>
      <c r="M338" s="12"/>
      <c r="N338" s="12"/>
      <c r="O338" s="12"/>
      <c r="P338" s="12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K339" s="2"/>
      <c r="L339" s="3"/>
      <c r="M339" s="12"/>
      <c r="N339" s="12"/>
      <c r="O339" s="12"/>
      <c r="P339" s="12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K340" s="2"/>
      <c r="L340" s="3"/>
      <c r="M340" s="12"/>
      <c r="N340" s="12"/>
      <c r="O340" s="12"/>
      <c r="P340" s="12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K341" s="2"/>
      <c r="L341" s="3"/>
      <c r="M341" s="12"/>
      <c r="N341" s="12"/>
      <c r="O341" s="12"/>
      <c r="P341" s="12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K342" s="2"/>
      <c r="L342" s="3"/>
      <c r="M342" s="12"/>
      <c r="N342" s="12"/>
      <c r="O342" s="12"/>
      <c r="P342" s="12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K343" s="2"/>
      <c r="L343" s="3"/>
      <c r="M343" s="12"/>
      <c r="N343" s="12"/>
      <c r="O343" s="12"/>
      <c r="P343" s="12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K344" s="2"/>
      <c r="L344" s="3"/>
      <c r="M344" s="12"/>
      <c r="N344" s="12"/>
      <c r="O344" s="12"/>
      <c r="P344" s="12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K345" s="2"/>
      <c r="L345" s="3"/>
      <c r="M345" s="12"/>
      <c r="N345" s="12"/>
      <c r="O345" s="12"/>
      <c r="P345" s="12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K346" s="2"/>
      <c r="L346" s="3"/>
      <c r="M346" s="12"/>
      <c r="N346" s="12"/>
      <c r="O346" s="12"/>
      <c r="P346" s="12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K347" s="2"/>
      <c r="L347" s="3"/>
      <c r="M347" s="12"/>
      <c r="N347" s="12"/>
      <c r="O347" s="12"/>
      <c r="P347" s="12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K348" s="2"/>
      <c r="L348" s="3"/>
      <c r="M348" s="12"/>
      <c r="N348" s="12"/>
      <c r="O348" s="12"/>
      <c r="P348" s="12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K349" s="2"/>
      <c r="L349" s="3"/>
      <c r="M349" s="12"/>
      <c r="N349" s="12"/>
      <c r="O349" s="12"/>
      <c r="P349" s="12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K350" s="2"/>
      <c r="L350" s="3"/>
      <c r="M350" s="12"/>
      <c r="N350" s="12"/>
      <c r="O350" s="12"/>
      <c r="P350" s="12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K351" s="2"/>
      <c r="L351" s="3"/>
      <c r="M351" s="12"/>
      <c r="N351" s="12"/>
      <c r="O351" s="12"/>
      <c r="P351" s="12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K352" s="2"/>
      <c r="L352" s="3"/>
      <c r="M352" s="12"/>
      <c r="N352" s="12"/>
      <c r="O352" s="12"/>
      <c r="P352" s="12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K353" s="2"/>
      <c r="L353" s="3"/>
      <c r="M353" s="12"/>
      <c r="N353" s="12"/>
      <c r="O353" s="12"/>
      <c r="P353" s="12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K354" s="2"/>
      <c r="L354" s="3"/>
      <c r="M354" s="12"/>
      <c r="N354" s="12"/>
      <c r="O354" s="12"/>
      <c r="P354" s="12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K355" s="2"/>
      <c r="L355" s="3"/>
      <c r="M355" s="12"/>
      <c r="N355" s="12"/>
      <c r="O355" s="12"/>
      <c r="P355" s="12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K356" s="2"/>
      <c r="L356" s="3"/>
      <c r="M356" s="12"/>
      <c r="N356" s="12"/>
      <c r="O356" s="12"/>
      <c r="P356" s="12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K357" s="2"/>
      <c r="L357" s="3"/>
      <c r="M357" s="12"/>
      <c r="N357" s="12"/>
      <c r="O357" s="12"/>
      <c r="P357" s="12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K358" s="2"/>
      <c r="L358" s="3"/>
      <c r="M358" s="12"/>
      <c r="N358" s="12"/>
      <c r="O358" s="12"/>
      <c r="P358" s="12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K359" s="2"/>
      <c r="L359" s="3"/>
      <c r="M359" s="12"/>
      <c r="N359" s="12"/>
      <c r="O359" s="12"/>
      <c r="P359" s="12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K360" s="2"/>
      <c r="L360" s="3"/>
      <c r="M360" s="12"/>
      <c r="N360" s="12"/>
      <c r="O360" s="12"/>
      <c r="P360" s="12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K361" s="2"/>
      <c r="L361" s="3"/>
      <c r="M361" s="12"/>
      <c r="N361" s="12"/>
      <c r="O361" s="12"/>
      <c r="P361" s="12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K362" s="2"/>
      <c r="L362" s="3"/>
      <c r="M362" s="12"/>
      <c r="N362" s="12"/>
      <c r="O362" s="12"/>
      <c r="P362" s="12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K363" s="2"/>
      <c r="L363" s="3"/>
      <c r="M363" s="12"/>
      <c r="N363" s="12"/>
      <c r="O363" s="12"/>
      <c r="P363" s="12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K364" s="2"/>
      <c r="L364" s="3"/>
      <c r="M364" s="12"/>
      <c r="N364" s="12"/>
      <c r="O364" s="12"/>
      <c r="P364" s="12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K365" s="2"/>
      <c r="L365" s="3"/>
      <c r="M365" s="12"/>
      <c r="N365" s="12"/>
      <c r="O365" s="12"/>
      <c r="P365" s="12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K366" s="2"/>
      <c r="L366" s="3"/>
      <c r="M366" s="12"/>
      <c r="N366" s="12"/>
      <c r="O366" s="12"/>
      <c r="P366" s="12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K367" s="2"/>
      <c r="L367" s="3"/>
      <c r="M367" s="12"/>
      <c r="N367" s="12"/>
      <c r="O367" s="12"/>
      <c r="P367" s="12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K368" s="2"/>
      <c r="L368" s="3"/>
      <c r="M368" s="12"/>
      <c r="N368" s="12"/>
      <c r="O368" s="12"/>
      <c r="P368" s="12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K369" s="2"/>
      <c r="L369" s="3"/>
      <c r="M369" s="12"/>
      <c r="N369" s="12"/>
      <c r="O369" s="12"/>
      <c r="P369" s="12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K370" s="2"/>
      <c r="L370" s="3"/>
      <c r="M370" s="12"/>
      <c r="N370" s="12"/>
      <c r="O370" s="12"/>
      <c r="P370" s="12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K371" s="2"/>
      <c r="L371" s="3"/>
      <c r="M371" s="12"/>
      <c r="N371" s="12"/>
      <c r="O371" s="12"/>
      <c r="P371" s="12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K372" s="2"/>
      <c r="L372" s="3"/>
      <c r="M372" s="12"/>
      <c r="N372" s="12"/>
      <c r="O372" s="12"/>
      <c r="P372" s="12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K373" s="2"/>
      <c r="L373" s="3"/>
      <c r="M373" s="12"/>
      <c r="N373" s="12"/>
      <c r="O373" s="12"/>
      <c r="P373" s="12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K374" s="2"/>
      <c r="L374" s="3"/>
      <c r="M374" s="12"/>
      <c r="N374" s="12"/>
      <c r="O374" s="12"/>
      <c r="P374" s="12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K375" s="2"/>
      <c r="L375" s="3"/>
      <c r="M375" s="12"/>
      <c r="N375" s="12"/>
      <c r="O375" s="12"/>
      <c r="P375" s="12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K376" s="2"/>
      <c r="L376" s="3"/>
      <c r="M376" s="12"/>
      <c r="N376" s="12"/>
      <c r="O376" s="12"/>
      <c r="P376" s="12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K377" s="2"/>
      <c r="L377" s="3"/>
      <c r="M377" s="12"/>
      <c r="N377" s="12"/>
      <c r="O377" s="12"/>
      <c r="P377" s="12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K378" s="2"/>
      <c r="L378" s="3"/>
      <c r="M378" s="12"/>
      <c r="N378" s="12"/>
      <c r="O378" s="12"/>
      <c r="P378" s="12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K379" s="2"/>
      <c r="L379" s="3"/>
      <c r="M379" s="12"/>
      <c r="N379" s="12"/>
      <c r="O379" s="12"/>
      <c r="P379" s="12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K380" s="2"/>
      <c r="L380" s="3"/>
      <c r="M380" s="12"/>
      <c r="N380" s="12"/>
      <c r="O380" s="12"/>
      <c r="P380" s="12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K381" s="2"/>
      <c r="L381" s="3"/>
      <c r="M381" s="12"/>
      <c r="N381" s="12"/>
      <c r="O381" s="12"/>
      <c r="P381" s="12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K382" s="2"/>
      <c r="L382" s="3"/>
      <c r="M382" s="12"/>
      <c r="N382" s="12"/>
      <c r="O382" s="12"/>
      <c r="P382" s="12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K383" s="2"/>
      <c r="L383" s="3"/>
      <c r="M383" s="12"/>
      <c r="N383" s="12"/>
      <c r="O383" s="12"/>
      <c r="P383" s="12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K384" s="2"/>
      <c r="L384" s="3"/>
      <c r="M384" s="12"/>
      <c r="N384" s="12"/>
      <c r="O384" s="12"/>
      <c r="P384" s="12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K385" s="2"/>
      <c r="L385" s="3"/>
      <c r="M385" s="12"/>
      <c r="N385" s="12"/>
      <c r="O385" s="12"/>
      <c r="P385" s="12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K386" s="2"/>
      <c r="L386" s="3"/>
      <c r="M386" s="12"/>
      <c r="N386" s="12"/>
      <c r="O386" s="12"/>
      <c r="P386" s="12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K387" s="2"/>
      <c r="L387" s="3"/>
      <c r="M387" s="12"/>
      <c r="N387" s="12"/>
      <c r="O387" s="12"/>
      <c r="P387" s="12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K388" s="2"/>
      <c r="L388" s="3"/>
      <c r="M388" s="12"/>
      <c r="N388" s="12"/>
      <c r="O388" s="12"/>
      <c r="P388" s="12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K389" s="2"/>
      <c r="L389" s="3"/>
      <c r="M389" s="12"/>
      <c r="N389" s="12"/>
      <c r="O389" s="12"/>
      <c r="P389" s="12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K390" s="2"/>
      <c r="L390" s="3"/>
      <c r="M390" s="12"/>
      <c r="N390" s="12"/>
      <c r="O390" s="12"/>
      <c r="P390" s="12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K391" s="2"/>
      <c r="L391" s="3"/>
      <c r="M391" s="12"/>
      <c r="N391" s="12"/>
      <c r="O391" s="12"/>
      <c r="P391" s="12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K392" s="2"/>
      <c r="L392" s="3"/>
      <c r="M392" s="12"/>
      <c r="N392" s="12"/>
      <c r="O392" s="12"/>
      <c r="P392" s="12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K393" s="2"/>
      <c r="L393" s="3"/>
      <c r="M393" s="12"/>
      <c r="N393" s="12"/>
      <c r="O393" s="12"/>
      <c r="P393" s="12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K394" s="2"/>
      <c r="L394" s="3"/>
      <c r="M394" s="12"/>
      <c r="N394" s="12"/>
      <c r="O394" s="12"/>
      <c r="P394" s="12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K395" s="2"/>
      <c r="L395" s="3"/>
      <c r="M395" s="12"/>
      <c r="N395" s="12"/>
      <c r="O395" s="12"/>
      <c r="P395" s="12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K396" s="2"/>
      <c r="L396" s="3"/>
      <c r="M396" s="12"/>
      <c r="N396" s="12"/>
      <c r="O396" s="12"/>
      <c r="P396" s="12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K397" s="2"/>
      <c r="L397" s="3"/>
      <c r="M397" s="12"/>
      <c r="N397" s="12"/>
      <c r="O397" s="12"/>
      <c r="P397" s="12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K398" s="2"/>
      <c r="L398" s="3"/>
      <c r="M398" s="12"/>
      <c r="N398" s="12"/>
      <c r="O398" s="12"/>
      <c r="P398" s="12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K399" s="2"/>
      <c r="L399" s="3"/>
      <c r="M399" s="12"/>
      <c r="N399" s="12"/>
      <c r="O399" s="12"/>
      <c r="P399" s="12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K400" s="2"/>
      <c r="L400" s="3"/>
      <c r="M400" s="12"/>
      <c r="N400" s="12"/>
      <c r="O400" s="12"/>
      <c r="P400" s="12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K401" s="2"/>
      <c r="L401" s="3"/>
      <c r="M401" s="12"/>
      <c r="N401" s="12"/>
      <c r="O401" s="12"/>
      <c r="P401" s="12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K402" s="2"/>
      <c r="L402" s="3"/>
      <c r="M402" s="12"/>
      <c r="N402" s="12"/>
      <c r="O402" s="12"/>
      <c r="P402" s="12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K403" s="2"/>
      <c r="L403" s="3"/>
      <c r="M403" s="12"/>
      <c r="N403" s="12"/>
      <c r="O403" s="12"/>
      <c r="P403" s="12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K404" s="2"/>
      <c r="L404" s="3"/>
      <c r="M404" s="12"/>
      <c r="N404" s="12"/>
      <c r="O404" s="12"/>
      <c r="P404" s="12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K405" s="2"/>
      <c r="L405" s="3"/>
      <c r="M405" s="12"/>
      <c r="N405" s="12"/>
      <c r="O405" s="12"/>
      <c r="P405" s="12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K406" s="2"/>
      <c r="L406" s="3"/>
      <c r="M406" s="12"/>
      <c r="N406" s="12"/>
      <c r="O406" s="12"/>
      <c r="P406" s="12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K407" s="2"/>
      <c r="L407" s="3"/>
      <c r="M407" s="12"/>
      <c r="N407" s="12"/>
      <c r="O407" s="12"/>
      <c r="P407" s="12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K408" s="2"/>
      <c r="L408" s="3"/>
      <c r="M408" s="12"/>
      <c r="N408" s="12"/>
      <c r="O408" s="12"/>
      <c r="P408" s="12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K409" s="2"/>
      <c r="L409" s="3"/>
      <c r="M409" s="12"/>
      <c r="N409" s="12"/>
      <c r="O409" s="12"/>
      <c r="P409" s="12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K410" s="2"/>
      <c r="L410" s="3"/>
      <c r="M410" s="12"/>
      <c r="N410" s="12"/>
      <c r="O410" s="12"/>
      <c r="P410" s="12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K411" s="2"/>
      <c r="L411" s="3"/>
      <c r="M411" s="12"/>
      <c r="N411" s="12"/>
      <c r="O411" s="12"/>
      <c r="P411" s="12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K412" s="2"/>
      <c r="L412" s="3"/>
      <c r="M412" s="12"/>
      <c r="N412" s="12"/>
      <c r="O412" s="12"/>
      <c r="P412" s="12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K413" s="2"/>
      <c r="L413" s="3"/>
      <c r="M413" s="12"/>
      <c r="N413" s="12"/>
      <c r="O413" s="12"/>
      <c r="P413" s="12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K414" s="2"/>
      <c r="L414" s="3"/>
      <c r="M414" s="12"/>
      <c r="N414" s="12"/>
      <c r="O414" s="12"/>
      <c r="P414" s="12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K415" s="2"/>
      <c r="L415" s="3"/>
      <c r="M415" s="12"/>
      <c r="N415" s="12"/>
      <c r="O415" s="12"/>
      <c r="P415" s="12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K416" s="2"/>
      <c r="L416" s="3"/>
      <c r="M416" s="12"/>
      <c r="N416" s="12"/>
      <c r="O416" s="12"/>
      <c r="P416" s="12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K417" s="2"/>
      <c r="L417" s="3"/>
      <c r="M417" s="12"/>
      <c r="N417" s="12"/>
      <c r="O417" s="12"/>
      <c r="P417" s="12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K418" s="2"/>
      <c r="L418" s="3"/>
      <c r="M418" s="12"/>
      <c r="N418" s="12"/>
      <c r="O418" s="12"/>
      <c r="P418" s="12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K419" s="2"/>
      <c r="L419" s="3"/>
      <c r="M419" s="12"/>
      <c r="N419" s="12"/>
      <c r="O419" s="12"/>
      <c r="P419" s="12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K420" s="2"/>
      <c r="L420" s="3"/>
      <c r="M420" s="12"/>
      <c r="N420" s="12"/>
      <c r="O420" s="12"/>
      <c r="P420" s="12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K421" s="2"/>
      <c r="L421" s="3"/>
      <c r="M421" s="12"/>
      <c r="N421" s="12"/>
      <c r="O421" s="12"/>
      <c r="P421" s="12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K422" s="2"/>
      <c r="L422" s="3"/>
      <c r="M422" s="12"/>
      <c r="N422" s="12"/>
      <c r="O422" s="12"/>
      <c r="P422" s="12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K423" s="2"/>
      <c r="L423" s="3"/>
      <c r="M423" s="12"/>
      <c r="N423" s="12"/>
      <c r="O423" s="12"/>
      <c r="P423" s="12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K424" s="2"/>
      <c r="L424" s="3"/>
      <c r="M424" s="12"/>
      <c r="N424" s="12"/>
      <c r="O424" s="12"/>
      <c r="P424" s="12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K425" s="2"/>
      <c r="L425" s="3"/>
      <c r="M425" s="12"/>
      <c r="N425" s="12"/>
      <c r="O425" s="12"/>
      <c r="P425" s="12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K426" s="2"/>
      <c r="L426" s="3"/>
      <c r="M426" s="12"/>
      <c r="N426" s="12"/>
      <c r="O426" s="12"/>
      <c r="P426" s="12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K427" s="2"/>
      <c r="L427" s="3"/>
      <c r="M427" s="12"/>
      <c r="N427" s="12"/>
      <c r="O427" s="12"/>
      <c r="P427" s="12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K428" s="2"/>
      <c r="L428" s="3"/>
      <c r="M428" s="12"/>
      <c r="N428" s="12"/>
      <c r="O428" s="12"/>
      <c r="P428" s="12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K429" s="2"/>
      <c r="L429" s="3"/>
      <c r="M429" s="12"/>
      <c r="N429" s="12"/>
      <c r="O429" s="12"/>
      <c r="P429" s="12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K430" s="2"/>
      <c r="L430" s="3"/>
      <c r="M430" s="12"/>
      <c r="N430" s="12"/>
      <c r="O430" s="12"/>
      <c r="P430" s="12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K431" s="2"/>
      <c r="L431" s="3"/>
      <c r="M431" s="12"/>
      <c r="N431" s="12"/>
      <c r="O431" s="12"/>
      <c r="P431" s="12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K432" s="2"/>
      <c r="L432" s="3"/>
      <c r="M432" s="12"/>
      <c r="N432" s="12"/>
      <c r="O432" s="12"/>
      <c r="P432" s="12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K433" s="2"/>
      <c r="L433" s="3"/>
      <c r="M433" s="12"/>
      <c r="N433" s="12"/>
      <c r="O433" s="12"/>
      <c r="P433" s="12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K434" s="2"/>
      <c r="L434" s="3"/>
      <c r="M434" s="12"/>
      <c r="N434" s="12"/>
      <c r="O434" s="12"/>
      <c r="P434" s="12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K435" s="2"/>
      <c r="L435" s="3"/>
      <c r="M435" s="12"/>
      <c r="N435" s="12"/>
      <c r="O435" s="12"/>
      <c r="P435" s="12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K436" s="2"/>
      <c r="L436" s="3"/>
      <c r="M436" s="12"/>
      <c r="N436" s="12"/>
      <c r="O436" s="12"/>
      <c r="P436" s="12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K437" s="2"/>
      <c r="L437" s="3"/>
      <c r="M437" s="12"/>
      <c r="N437" s="12"/>
      <c r="O437" s="12"/>
      <c r="P437" s="12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K438" s="2"/>
      <c r="L438" s="3"/>
      <c r="M438" s="12"/>
      <c r="N438" s="12"/>
      <c r="O438" s="12"/>
      <c r="P438" s="12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K439" s="2"/>
      <c r="L439" s="3"/>
      <c r="M439" s="12"/>
      <c r="N439" s="12"/>
      <c r="O439" s="12"/>
      <c r="P439" s="12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K440" s="2"/>
      <c r="L440" s="3"/>
      <c r="M440" s="12"/>
      <c r="N440" s="12"/>
      <c r="O440" s="12"/>
      <c r="P440" s="12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K441" s="2"/>
      <c r="L441" s="3"/>
      <c r="M441" s="12"/>
      <c r="N441" s="12"/>
      <c r="O441" s="12"/>
      <c r="P441" s="12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K442" s="2"/>
      <c r="L442" s="3"/>
      <c r="M442" s="12"/>
      <c r="N442" s="12"/>
      <c r="O442" s="12"/>
      <c r="P442" s="12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K443" s="2"/>
      <c r="L443" s="3"/>
      <c r="M443" s="12"/>
      <c r="N443" s="12"/>
      <c r="O443" s="12"/>
      <c r="P443" s="12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K444" s="2"/>
      <c r="L444" s="3"/>
      <c r="M444" s="12"/>
      <c r="N444" s="12"/>
      <c r="O444" s="12"/>
      <c r="P444" s="12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K445" s="2"/>
      <c r="L445" s="3"/>
      <c r="M445" s="12"/>
      <c r="N445" s="12"/>
      <c r="O445" s="12"/>
      <c r="P445" s="12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K446" s="2"/>
      <c r="L446" s="3"/>
      <c r="M446" s="12"/>
      <c r="N446" s="12"/>
      <c r="O446" s="12"/>
      <c r="P446" s="12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K447" s="2"/>
      <c r="L447" s="3"/>
      <c r="M447" s="12"/>
      <c r="N447" s="12"/>
      <c r="O447" s="12"/>
      <c r="P447" s="12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K448" s="2"/>
      <c r="L448" s="3"/>
      <c r="M448" s="12"/>
      <c r="N448" s="12"/>
      <c r="O448" s="12"/>
      <c r="P448" s="12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K449" s="2"/>
      <c r="L449" s="3"/>
      <c r="M449" s="12"/>
      <c r="N449" s="12"/>
      <c r="O449" s="12"/>
      <c r="P449" s="12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K450" s="2"/>
      <c r="L450" s="3"/>
      <c r="M450" s="12"/>
      <c r="N450" s="12"/>
      <c r="O450" s="12"/>
      <c r="P450" s="12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K451" s="2"/>
      <c r="L451" s="3"/>
      <c r="M451" s="12"/>
      <c r="N451" s="12"/>
      <c r="O451" s="12"/>
      <c r="P451" s="12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K452" s="2"/>
      <c r="L452" s="3"/>
      <c r="M452" s="12"/>
      <c r="N452" s="12"/>
      <c r="O452" s="12"/>
      <c r="P452" s="12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K453" s="2"/>
      <c r="L453" s="3"/>
      <c r="M453" s="12"/>
      <c r="N453" s="12"/>
      <c r="O453" s="12"/>
      <c r="P453" s="12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K454" s="2"/>
      <c r="L454" s="3"/>
      <c r="M454" s="12"/>
      <c r="N454" s="12"/>
      <c r="O454" s="12"/>
      <c r="P454" s="12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K455" s="2"/>
      <c r="L455" s="3"/>
      <c r="M455" s="12"/>
      <c r="N455" s="12"/>
      <c r="O455" s="12"/>
      <c r="P455" s="12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K456" s="2"/>
      <c r="L456" s="3"/>
      <c r="M456" s="12"/>
      <c r="N456" s="12"/>
      <c r="O456" s="12"/>
      <c r="P456" s="12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K457" s="2"/>
      <c r="L457" s="3"/>
      <c r="M457" s="12"/>
      <c r="N457" s="12"/>
      <c r="O457" s="12"/>
      <c r="P457" s="12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K458" s="2"/>
      <c r="L458" s="3"/>
      <c r="M458" s="12"/>
      <c r="N458" s="12"/>
      <c r="O458" s="12"/>
      <c r="P458" s="12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K459" s="2"/>
      <c r="L459" s="3"/>
      <c r="M459" s="12"/>
      <c r="N459" s="12"/>
      <c r="O459" s="12"/>
      <c r="P459" s="12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K460" s="2"/>
      <c r="L460" s="3"/>
      <c r="M460" s="12"/>
      <c r="N460" s="12"/>
      <c r="O460" s="12"/>
      <c r="P460" s="12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K461" s="2"/>
      <c r="L461" s="3"/>
      <c r="M461" s="12"/>
      <c r="N461" s="12"/>
      <c r="O461" s="12"/>
      <c r="P461" s="12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K462" s="2"/>
      <c r="L462" s="3"/>
      <c r="M462" s="12"/>
      <c r="N462" s="12"/>
      <c r="O462" s="12"/>
      <c r="P462" s="12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K463" s="2"/>
      <c r="L463" s="3"/>
      <c r="M463" s="12"/>
      <c r="N463" s="12"/>
      <c r="O463" s="12"/>
      <c r="P463" s="12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K464" s="2"/>
      <c r="L464" s="3"/>
      <c r="M464" s="12"/>
      <c r="N464" s="12"/>
      <c r="O464" s="12"/>
      <c r="P464" s="12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K465" s="2"/>
      <c r="L465" s="3"/>
      <c r="M465" s="12"/>
      <c r="N465" s="12"/>
      <c r="O465" s="12"/>
      <c r="P465" s="12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K466" s="2"/>
      <c r="L466" s="3"/>
      <c r="M466" s="12"/>
      <c r="N466" s="12"/>
      <c r="O466" s="12"/>
      <c r="P466" s="12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K467" s="2"/>
      <c r="L467" s="3"/>
      <c r="M467" s="12"/>
      <c r="N467" s="12"/>
      <c r="O467" s="12"/>
      <c r="P467" s="12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K468" s="2"/>
      <c r="L468" s="3"/>
      <c r="M468" s="12"/>
      <c r="N468" s="12"/>
      <c r="O468" s="12"/>
      <c r="P468" s="12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K469" s="2"/>
      <c r="L469" s="3"/>
      <c r="M469" s="12"/>
      <c r="N469" s="12"/>
      <c r="O469" s="12"/>
      <c r="P469" s="12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K470" s="2"/>
      <c r="L470" s="3"/>
      <c r="M470" s="12"/>
      <c r="N470" s="12"/>
      <c r="O470" s="12"/>
      <c r="P470" s="12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K471" s="2"/>
      <c r="L471" s="3"/>
      <c r="M471" s="12"/>
      <c r="N471" s="12"/>
      <c r="O471" s="12"/>
      <c r="P471" s="12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K472" s="2"/>
      <c r="L472" s="3"/>
      <c r="M472" s="12"/>
      <c r="N472" s="12"/>
      <c r="O472" s="12"/>
      <c r="P472" s="12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K473" s="2"/>
      <c r="L473" s="3"/>
      <c r="M473" s="12"/>
      <c r="N473" s="12"/>
      <c r="O473" s="12"/>
      <c r="P473" s="12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K474" s="2"/>
      <c r="L474" s="3"/>
      <c r="M474" s="12"/>
      <c r="N474" s="12"/>
      <c r="O474" s="12"/>
      <c r="P474" s="12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K475" s="2"/>
      <c r="L475" s="3"/>
      <c r="M475" s="12"/>
      <c r="N475" s="12"/>
      <c r="O475" s="12"/>
      <c r="P475" s="12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K476" s="2"/>
      <c r="L476" s="3"/>
      <c r="M476" s="12"/>
      <c r="N476" s="12"/>
      <c r="O476" s="12"/>
      <c r="P476" s="12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K477" s="2"/>
      <c r="L477" s="3"/>
      <c r="M477" s="12"/>
      <c r="N477" s="12"/>
      <c r="O477" s="12"/>
      <c r="P477" s="12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K478" s="2"/>
      <c r="L478" s="3"/>
      <c r="M478" s="12"/>
      <c r="N478" s="12"/>
      <c r="O478" s="12"/>
      <c r="P478" s="12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K479" s="2"/>
      <c r="L479" s="3"/>
      <c r="M479" s="12"/>
      <c r="N479" s="12"/>
      <c r="O479" s="12"/>
      <c r="P479" s="12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K480" s="2"/>
      <c r="L480" s="3"/>
      <c r="M480" s="12"/>
      <c r="N480" s="12"/>
      <c r="O480" s="12"/>
      <c r="P480" s="12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K481" s="2"/>
      <c r="L481" s="3"/>
      <c r="M481" s="12"/>
      <c r="N481" s="12"/>
      <c r="O481" s="12"/>
      <c r="P481" s="12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K482" s="2"/>
      <c r="L482" s="3"/>
      <c r="M482" s="12"/>
      <c r="N482" s="12"/>
      <c r="O482" s="12"/>
      <c r="P482" s="12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K483" s="2"/>
      <c r="L483" s="3"/>
      <c r="M483" s="12"/>
      <c r="N483" s="12"/>
      <c r="O483" s="12"/>
      <c r="P483" s="12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K484" s="2"/>
      <c r="L484" s="3"/>
      <c r="M484" s="12"/>
      <c r="N484" s="12"/>
      <c r="O484" s="12"/>
      <c r="P484" s="12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K485" s="2"/>
      <c r="L485" s="3"/>
      <c r="M485" s="12"/>
      <c r="N485" s="12"/>
      <c r="O485" s="12"/>
      <c r="P485" s="12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K486" s="2"/>
      <c r="L486" s="3"/>
      <c r="M486" s="12"/>
      <c r="N486" s="12"/>
      <c r="O486" s="12"/>
      <c r="P486" s="12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K487" s="2"/>
      <c r="L487" s="3"/>
      <c r="M487" s="12"/>
      <c r="N487" s="12"/>
      <c r="O487" s="12"/>
      <c r="P487" s="12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K488" s="2"/>
      <c r="L488" s="3"/>
      <c r="M488" s="12"/>
      <c r="N488" s="12"/>
      <c r="O488" s="12"/>
      <c r="P488" s="12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K489" s="2"/>
      <c r="L489" s="3"/>
      <c r="M489" s="12"/>
      <c r="N489" s="12"/>
      <c r="O489" s="12"/>
      <c r="P489" s="12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K490" s="2"/>
      <c r="L490" s="3"/>
      <c r="M490" s="12"/>
      <c r="N490" s="12"/>
      <c r="O490" s="12"/>
      <c r="P490" s="12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K491" s="2"/>
      <c r="L491" s="3"/>
      <c r="M491" s="12"/>
      <c r="N491" s="12"/>
      <c r="O491" s="12"/>
      <c r="P491" s="12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K492" s="2"/>
      <c r="L492" s="3"/>
      <c r="M492" s="12"/>
      <c r="N492" s="12"/>
      <c r="O492" s="12"/>
      <c r="P492" s="12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K493" s="2"/>
      <c r="L493" s="3"/>
      <c r="M493" s="12"/>
      <c r="N493" s="12"/>
      <c r="O493" s="12"/>
      <c r="P493" s="12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K494" s="2"/>
      <c r="L494" s="3"/>
      <c r="M494" s="12"/>
      <c r="N494" s="12"/>
      <c r="O494" s="12"/>
      <c r="P494" s="12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K495" s="2"/>
      <c r="L495" s="3"/>
      <c r="M495" s="12"/>
      <c r="N495" s="12"/>
      <c r="O495" s="12"/>
      <c r="P495" s="12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K496" s="2"/>
      <c r="L496" s="3"/>
      <c r="M496" s="12"/>
      <c r="N496" s="12"/>
      <c r="O496" s="12"/>
      <c r="P496" s="12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K497" s="2"/>
      <c r="L497" s="3"/>
      <c r="M497" s="12"/>
      <c r="N497" s="12"/>
      <c r="O497" s="12"/>
      <c r="P497" s="12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K498" s="2"/>
      <c r="L498" s="3"/>
      <c r="M498" s="12"/>
      <c r="N498" s="12"/>
      <c r="O498" s="12"/>
      <c r="P498" s="12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K499" s="2"/>
      <c r="L499" s="3"/>
      <c r="M499" s="12"/>
      <c r="N499" s="12"/>
      <c r="O499" s="12"/>
      <c r="P499" s="12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K500" s="2"/>
      <c r="L500" s="3"/>
      <c r="M500" s="12"/>
      <c r="N500" s="12"/>
      <c r="O500" s="12"/>
      <c r="P500" s="12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K501" s="2"/>
      <c r="L501" s="3"/>
      <c r="M501" s="12"/>
      <c r="N501" s="12"/>
      <c r="O501" s="12"/>
      <c r="P501" s="12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K502" s="2"/>
      <c r="L502" s="3"/>
      <c r="M502" s="12"/>
      <c r="N502" s="12"/>
      <c r="O502" s="12"/>
      <c r="P502" s="12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K503" s="2"/>
      <c r="L503" s="3"/>
      <c r="M503" s="12"/>
      <c r="N503" s="12"/>
      <c r="O503" s="12"/>
      <c r="P503" s="12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K504" s="2"/>
      <c r="L504" s="3"/>
      <c r="M504" s="12"/>
      <c r="N504" s="12"/>
      <c r="O504" s="12"/>
      <c r="P504" s="12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K505" s="2"/>
      <c r="L505" s="3"/>
      <c r="M505" s="12"/>
      <c r="N505" s="12"/>
      <c r="O505" s="12"/>
      <c r="P505" s="12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K506" s="2"/>
      <c r="L506" s="3"/>
      <c r="M506" s="12"/>
      <c r="N506" s="12"/>
      <c r="O506" s="12"/>
      <c r="P506" s="12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K507" s="2"/>
      <c r="L507" s="3"/>
      <c r="M507" s="12"/>
      <c r="N507" s="12"/>
      <c r="O507" s="12"/>
      <c r="P507" s="12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K508" s="2"/>
      <c r="L508" s="3"/>
      <c r="M508" s="12"/>
      <c r="N508" s="12"/>
      <c r="O508" s="12"/>
      <c r="P508" s="12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K509" s="2"/>
      <c r="L509" s="3"/>
      <c r="M509" s="12"/>
      <c r="N509" s="12"/>
      <c r="O509" s="12"/>
      <c r="P509" s="12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K510" s="2"/>
      <c r="L510" s="3"/>
      <c r="M510" s="12"/>
      <c r="N510" s="12"/>
      <c r="O510" s="12"/>
      <c r="P510" s="12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K511" s="2"/>
      <c r="L511" s="3"/>
      <c r="M511" s="12"/>
      <c r="N511" s="12"/>
      <c r="O511" s="12"/>
      <c r="P511" s="12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K512" s="2"/>
      <c r="L512" s="3"/>
      <c r="M512" s="12"/>
      <c r="N512" s="12"/>
      <c r="O512" s="12"/>
      <c r="P512" s="12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K513" s="2"/>
      <c r="L513" s="3"/>
      <c r="M513" s="12"/>
      <c r="N513" s="12"/>
      <c r="O513" s="12"/>
      <c r="P513" s="12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K514" s="2"/>
      <c r="L514" s="3"/>
      <c r="M514" s="12"/>
      <c r="N514" s="12"/>
      <c r="O514" s="12"/>
      <c r="P514" s="12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K515" s="2"/>
      <c r="L515" s="3"/>
      <c r="M515" s="12"/>
      <c r="N515" s="12"/>
      <c r="O515" s="12"/>
      <c r="P515" s="12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K516" s="2"/>
      <c r="L516" s="3"/>
      <c r="M516" s="12"/>
      <c r="N516" s="12"/>
      <c r="O516" s="12"/>
      <c r="P516" s="12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K517" s="2"/>
      <c r="L517" s="3"/>
      <c r="M517" s="12"/>
      <c r="N517" s="12"/>
      <c r="O517" s="12"/>
      <c r="P517" s="12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K518" s="2"/>
      <c r="L518" s="3"/>
      <c r="M518" s="12"/>
      <c r="N518" s="12"/>
      <c r="O518" s="12"/>
      <c r="P518" s="12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K519" s="2"/>
      <c r="L519" s="3"/>
      <c r="M519" s="12"/>
      <c r="N519" s="12"/>
      <c r="O519" s="12"/>
      <c r="P519" s="12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K520" s="2"/>
      <c r="L520" s="3"/>
      <c r="M520" s="12"/>
      <c r="N520" s="12"/>
      <c r="O520" s="12"/>
      <c r="P520" s="12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K521" s="2"/>
      <c r="L521" s="3"/>
      <c r="M521" s="12"/>
      <c r="N521" s="12"/>
      <c r="O521" s="12"/>
      <c r="P521" s="12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K522" s="2"/>
      <c r="L522" s="3"/>
      <c r="M522" s="12"/>
      <c r="N522" s="12"/>
      <c r="O522" s="12"/>
      <c r="P522" s="12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K523" s="2"/>
      <c r="L523" s="3"/>
      <c r="M523" s="12"/>
      <c r="N523" s="12"/>
      <c r="O523" s="12"/>
      <c r="P523" s="12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K524" s="2"/>
      <c r="L524" s="3"/>
      <c r="M524" s="12"/>
      <c r="N524" s="12"/>
      <c r="O524" s="12"/>
      <c r="P524" s="12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K525" s="2"/>
      <c r="L525" s="3"/>
      <c r="M525" s="12"/>
      <c r="N525" s="12"/>
      <c r="O525" s="12"/>
      <c r="P525" s="12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K526" s="2"/>
      <c r="L526" s="3"/>
      <c r="M526" s="12"/>
      <c r="N526" s="12"/>
      <c r="O526" s="12"/>
      <c r="P526" s="12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K527" s="2"/>
      <c r="L527" s="3"/>
      <c r="M527" s="12"/>
      <c r="N527" s="12"/>
      <c r="O527" s="12"/>
      <c r="P527" s="12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K528" s="2"/>
      <c r="L528" s="3"/>
      <c r="M528" s="12"/>
      <c r="N528" s="12"/>
      <c r="O528" s="12"/>
      <c r="P528" s="12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K529" s="2"/>
      <c r="L529" s="3"/>
      <c r="M529" s="12"/>
      <c r="N529" s="12"/>
      <c r="O529" s="12"/>
      <c r="P529" s="12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K530" s="2"/>
      <c r="L530" s="3"/>
      <c r="M530" s="12"/>
      <c r="N530" s="12"/>
      <c r="O530" s="12"/>
      <c r="P530" s="12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K531" s="2"/>
      <c r="L531" s="3"/>
      <c r="M531" s="12"/>
      <c r="N531" s="12"/>
      <c r="O531" s="12"/>
      <c r="P531" s="12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K532" s="2"/>
      <c r="L532" s="3"/>
      <c r="M532" s="12"/>
      <c r="N532" s="12"/>
      <c r="O532" s="12"/>
      <c r="P532" s="12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K533" s="2"/>
      <c r="L533" s="3"/>
      <c r="M533" s="12"/>
      <c r="N533" s="12"/>
      <c r="O533" s="12"/>
      <c r="P533" s="12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K534" s="2"/>
      <c r="L534" s="3"/>
      <c r="M534" s="12"/>
      <c r="N534" s="12"/>
      <c r="O534" s="12"/>
      <c r="P534" s="12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K535" s="2"/>
      <c r="L535" s="3"/>
      <c r="M535" s="12"/>
      <c r="N535" s="12"/>
      <c r="O535" s="12"/>
      <c r="P535" s="12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K536" s="2"/>
      <c r="L536" s="3"/>
      <c r="M536" s="12"/>
      <c r="N536" s="12"/>
      <c r="O536" s="12"/>
      <c r="P536" s="12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K537" s="2"/>
      <c r="L537" s="3"/>
      <c r="M537" s="12"/>
      <c r="N537" s="12"/>
      <c r="O537" s="12"/>
      <c r="P537" s="12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K538" s="2"/>
      <c r="L538" s="3"/>
      <c r="M538" s="12"/>
      <c r="N538" s="12"/>
      <c r="O538" s="12"/>
      <c r="P538" s="12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K539" s="2"/>
      <c r="L539" s="3"/>
      <c r="M539" s="12"/>
      <c r="N539" s="12"/>
      <c r="O539" s="12"/>
      <c r="P539" s="12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K540" s="2"/>
      <c r="L540" s="3"/>
      <c r="M540" s="12"/>
      <c r="N540" s="12"/>
      <c r="O540" s="12"/>
      <c r="P540" s="12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K541" s="2"/>
      <c r="L541" s="3"/>
      <c r="M541" s="12"/>
      <c r="N541" s="12"/>
      <c r="O541" s="12"/>
      <c r="P541" s="12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K542" s="2"/>
      <c r="L542" s="3"/>
      <c r="M542" s="12"/>
      <c r="N542" s="12"/>
      <c r="O542" s="12"/>
      <c r="P542" s="12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K543" s="2"/>
      <c r="L543" s="3"/>
      <c r="M543" s="12"/>
      <c r="N543" s="12"/>
      <c r="O543" s="12"/>
      <c r="P543" s="12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K544" s="2"/>
      <c r="L544" s="3"/>
      <c r="M544" s="12"/>
      <c r="N544" s="12"/>
      <c r="O544" s="12"/>
      <c r="P544" s="12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K545" s="2"/>
      <c r="L545" s="3"/>
      <c r="M545" s="12"/>
      <c r="N545" s="12"/>
      <c r="O545" s="12"/>
      <c r="P545" s="12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K546" s="2"/>
      <c r="L546" s="3"/>
      <c r="M546" s="12"/>
      <c r="N546" s="12"/>
      <c r="O546" s="12"/>
      <c r="P546" s="12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K547" s="2"/>
      <c r="L547" s="3"/>
      <c r="M547" s="12"/>
      <c r="N547" s="12"/>
      <c r="O547" s="12"/>
      <c r="P547" s="12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K548" s="2"/>
      <c r="L548" s="3"/>
      <c r="M548" s="12"/>
      <c r="N548" s="12"/>
      <c r="O548" s="12"/>
      <c r="P548" s="12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K549" s="2"/>
      <c r="L549" s="3"/>
      <c r="M549" s="12"/>
      <c r="N549" s="12"/>
      <c r="O549" s="12"/>
      <c r="P549" s="12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K550" s="2"/>
      <c r="L550" s="3"/>
      <c r="M550" s="12"/>
      <c r="N550" s="12"/>
      <c r="O550" s="12"/>
      <c r="P550" s="12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K551" s="2"/>
      <c r="L551" s="3"/>
      <c r="M551" s="12"/>
      <c r="N551" s="12"/>
      <c r="O551" s="12"/>
      <c r="P551" s="12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K552" s="2"/>
      <c r="L552" s="3"/>
      <c r="M552" s="12"/>
      <c r="N552" s="12"/>
      <c r="O552" s="12"/>
      <c r="P552" s="12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K553" s="2"/>
      <c r="L553" s="3"/>
      <c r="M553" s="12"/>
      <c r="N553" s="12"/>
      <c r="O553" s="12"/>
      <c r="P553" s="12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K554" s="2"/>
      <c r="L554" s="3"/>
      <c r="M554" s="12"/>
      <c r="N554" s="12"/>
      <c r="O554" s="12"/>
      <c r="P554" s="12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K555" s="2"/>
      <c r="L555" s="3"/>
      <c r="M555" s="12"/>
      <c r="N555" s="12"/>
      <c r="O555" s="12"/>
      <c r="P555" s="12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K556" s="2"/>
      <c r="L556" s="3"/>
      <c r="M556" s="12"/>
      <c r="N556" s="12"/>
      <c r="O556" s="12"/>
      <c r="P556" s="12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K557" s="2"/>
      <c r="L557" s="3"/>
      <c r="M557" s="12"/>
      <c r="N557" s="12"/>
      <c r="O557" s="12"/>
      <c r="P557" s="12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K558" s="2"/>
      <c r="L558" s="3"/>
      <c r="M558" s="12"/>
      <c r="N558" s="12"/>
      <c r="O558" s="12"/>
      <c r="P558" s="12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K559" s="2"/>
      <c r="L559" s="3"/>
      <c r="M559" s="12"/>
      <c r="N559" s="12"/>
      <c r="O559" s="12"/>
      <c r="P559" s="12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K560" s="2"/>
      <c r="L560" s="3"/>
      <c r="M560" s="12"/>
      <c r="N560" s="12"/>
      <c r="O560" s="12"/>
      <c r="P560" s="12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K561" s="2"/>
      <c r="L561" s="3"/>
      <c r="M561" s="12"/>
      <c r="N561" s="12"/>
      <c r="O561" s="12"/>
      <c r="P561" s="12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K562" s="2"/>
      <c r="L562" s="3"/>
      <c r="M562" s="12"/>
      <c r="N562" s="12"/>
      <c r="O562" s="12"/>
      <c r="P562" s="12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K563" s="2"/>
      <c r="L563" s="3"/>
      <c r="M563" s="12"/>
      <c r="N563" s="12"/>
      <c r="O563" s="12"/>
      <c r="P563" s="12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K564" s="2"/>
      <c r="L564" s="3"/>
      <c r="M564" s="12"/>
      <c r="N564" s="12"/>
      <c r="O564" s="12"/>
      <c r="P564" s="12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K565" s="2"/>
      <c r="L565" s="3"/>
      <c r="M565" s="12"/>
      <c r="N565" s="12"/>
      <c r="O565" s="12"/>
      <c r="P565" s="12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K566" s="2"/>
      <c r="L566" s="3"/>
      <c r="M566" s="12"/>
      <c r="N566" s="12"/>
      <c r="O566" s="12"/>
      <c r="P566" s="12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K567" s="2"/>
      <c r="L567" s="3"/>
      <c r="M567" s="12"/>
      <c r="N567" s="12"/>
      <c r="O567" s="12"/>
      <c r="P567" s="12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K568" s="2"/>
      <c r="L568" s="3"/>
      <c r="M568" s="12"/>
      <c r="N568" s="12"/>
      <c r="O568" s="12"/>
      <c r="P568" s="12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K569" s="2"/>
      <c r="L569" s="3"/>
      <c r="M569" s="12"/>
      <c r="N569" s="12"/>
      <c r="O569" s="12"/>
      <c r="P569" s="12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K570" s="2"/>
      <c r="L570" s="3"/>
      <c r="M570" s="12"/>
      <c r="N570" s="12"/>
      <c r="O570" s="12"/>
      <c r="P570" s="12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K571" s="2"/>
      <c r="L571" s="3"/>
      <c r="M571" s="12"/>
      <c r="N571" s="12"/>
      <c r="O571" s="12"/>
      <c r="P571" s="12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K572" s="2"/>
      <c r="L572" s="3"/>
      <c r="M572" s="12"/>
      <c r="N572" s="12"/>
      <c r="O572" s="12"/>
      <c r="P572" s="12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K573" s="2"/>
      <c r="L573" s="3"/>
      <c r="M573" s="12"/>
      <c r="N573" s="12"/>
      <c r="O573" s="12"/>
      <c r="P573" s="12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K574" s="2"/>
      <c r="L574" s="3"/>
      <c r="M574" s="12"/>
      <c r="N574" s="12"/>
      <c r="O574" s="12"/>
      <c r="P574" s="12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K575" s="2"/>
      <c r="L575" s="3"/>
      <c r="M575" s="12"/>
      <c r="N575" s="12"/>
      <c r="O575" s="12"/>
      <c r="P575" s="12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K576" s="2"/>
      <c r="L576" s="3"/>
      <c r="M576" s="12"/>
      <c r="N576" s="12"/>
      <c r="O576" s="12"/>
      <c r="P576" s="12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K577" s="2"/>
      <c r="L577" s="3"/>
      <c r="M577" s="12"/>
      <c r="N577" s="12"/>
      <c r="O577" s="12"/>
      <c r="P577" s="12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K578" s="2"/>
      <c r="L578" s="3"/>
      <c r="M578" s="12"/>
      <c r="N578" s="12"/>
      <c r="O578" s="12"/>
      <c r="P578" s="12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K579" s="2"/>
      <c r="L579" s="3"/>
      <c r="M579" s="12"/>
      <c r="N579" s="12"/>
      <c r="O579" s="12"/>
      <c r="P579" s="12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K580" s="2"/>
      <c r="L580" s="3"/>
      <c r="M580" s="12"/>
      <c r="N580" s="12"/>
      <c r="O580" s="12"/>
      <c r="P580" s="12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K581" s="2"/>
      <c r="L581" s="3"/>
      <c r="M581" s="12"/>
      <c r="N581" s="12"/>
      <c r="O581" s="12"/>
      <c r="P581" s="12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K582" s="2"/>
      <c r="L582" s="3"/>
      <c r="M582" s="12"/>
      <c r="N582" s="12"/>
      <c r="O582" s="12"/>
      <c r="P582" s="12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K583" s="2"/>
      <c r="L583" s="3"/>
      <c r="M583" s="12"/>
      <c r="N583" s="12"/>
      <c r="O583" s="12"/>
      <c r="P583" s="12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K584" s="2"/>
      <c r="L584" s="3"/>
      <c r="M584" s="12"/>
      <c r="N584" s="12"/>
      <c r="O584" s="12"/>
      <c r="P584" s="12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K585" s="2"/>
      <c r="L585" s="3"/>
      <c r="M585" s="12"/>
      <c r="N585" s="12"/>
      <c r="O585" s="12"/>
      <c r="P585" s="12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K586" s="2"/>
      <c r="L586" s="3"/>
      <c r="M586" s="12"/>
      <c r="N586" s="12"/>
      <c r="O586" s="12"/>
      <c r="P586" s="12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K587" s="2"/>
      <c r="L587" s="3"/>
      <c r="M587" s="12"/>
      <c r="N587" s="12"/>
      <c r="O587" s="12"/>
      <c r="P587" s="12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K588" s="2"/>
      <c r="L588" s="3"/>
      <c r="M588" s="12"/>
      <c r="N588" s="12"/>
      <c r="O588" s="12"/>
      <c r="P588" s="12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K589" s="2"/>
      <c r="L589" s="3"/>
      <c r="M589" s="12"/>
      <c r="N589" s="12"/>
      <c r="O589" s="12"/>
      <c r="P589" s="12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K590" s="2"/>
      <c r="L590" s="3"/>
      <c r="M590" s="12"/>
      <c r="N590" s="12"/>
      <c r="O590" s="12"/>
      <c r="P590" s="12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K591" s="2"/>
      <c r="L591" s="3"/>
      <c r="M591" s="12"/>
      <c r="N591" s="12"/>
      <c r="O591" s="12"/>
      <c r="P591" s="12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K592" s="2"/>
      <c r="L592" s="3"/>
      <c r="M592" s="12"/>
      <c r="N592" s="12"/>
      <c r="O592" s="12"/>
      <c r="P592" s="12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K593" s="2"/>
      <c r="L593" s="3"/>
      <c r="M593" s="12"/>
      <c r="N593" s="12"/>
      <c r="O593" s="12"/>
      <c r="P593" s="12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K594" s="2"/>
      <c r="L594" s="3"/>
      <c r="M594" s="12"/>
      <c r="N594" s="12"/>
      <c r="O594" s="12"/>
      <c r="P594" s="12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K595" s="2"/>
      <c r="L595" s="3"/>
      <c r="M595" s="12"/>
      <c r="N595" s="12"/>
      <c r="O595" s="12"/>
      <c r="P595" s="12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K596" s="2"/>
      <c r="L596" s="3"/>
      <c r="M596" s="12"/>
      <c r="N596" s="12"/>
      <c r="O596" s="12"/>
      <c r="P596" s="12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K597" s="2"/>
      <c r="L597" s="3"/>
      <c r="M597" s="12"/>
      <c r="N597" s="12"/>
      <c r="O597" s="12"/>
      <c r="P597" s="12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K598" s="2"/>
      <c r="L598" s="3"/>
      <c r="M598" s="12"/>
      <c r="N598" s="12"/>
      <c r="O598" s="12"/>
      <c r="P598" s="12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K599" s="2"/>
      <c r="L599" s="3"/>
      <c r="M599" s="12"/>
      <c r="N599" s="12"/>
      <c r="O599" s="12"/>
      <c r="P599" s="12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K600" s="2"/>
      <c r="L600" s="3"/>
      <c r="M600" s="12"/>
      <c r="N600" s="12"/>
      <c r="O600" s="12"/>
      <c r="P600" s="12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K601" s="2"/>
      <c r="L601" s="3"/>
      <c r="M601" s="12"/>
      <c r="N601" s="12"/>
      <c r="O601" s="12"/>
      <c r="P601" s="12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K602" s="2"/>
      <c r="L602" s="3"/>
      <c r="M602" s="12"/>
      <c r="N602" s="12"/>
      <c r="O602" s="12"/>
      <c r="P602" s="12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K603" s="2"/>
      <c r="L603" s="3"/>
      <c r="M603" s="12"/>
      <c r="N603" s="12"/>
      <c r="O603" s="12"/>
      <c r="P603" s="12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K604" s="2"/>
      <c r="L604" s="3"/>
      <c r="M604" s="12"/>
      <c r="N604" s="12"/>
      <c r="O604" s="12"/>
      <c r="P604" s="12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K605" s="2"/>
      <c r="L605" s="3"/>
      <c r="M605" s="12"/>
      <c r="N605" s="12"/>
      <c r="O605" s="12"/>
      <c r="P605" s="12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K606" s="2"/>
      <c r="L606" s="3"/>
      <c r="M606" s="12"/>
      <c r="N606" s="12"/>
      <c r="O606" s="12"/>
      <c r="P606" s="12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K607" s="2"/>
      <c r="L607" s="3"/>
      <c r="M607" s="12"/>
      <c r="N607" s="12"/>
      <c r="O607" s="12"/>
      <c r="P607" s="12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K608" s="2"/>
      <c r="L608" s="3"/>
      <c r="M608" s="12"/>
      <c r="N608" s="12"/>
      <c r="O608" s="12"/>
      <c r="P608" s="12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K609" s="2"/>
      <c r="L609" s="3"/>
      <c r="M609" s="12"/>
      <c r="N609" s="12"/>
      <c r="O609" s="12"/>
      <c r="P609" s="12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K610" s="2"/>
      <c r="L610" s="3"/>
      <c r="M610" s="12"/>
      <c r="N610" s="12"/>
      <c r="O610" s="12"/>
      <c r="P610" s="12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K611" s="2"/>
      <c r="L611" s="3"/>
      <c r="M611" s="12"/>
      <c r="N611" s="12"/>
      <c r="O611" s="12"/>
      <c r="P611" s="12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K612" s="2"/>
      <c r="L612" s="3"/>
      <c r="M612" s="12"/>
      <c r="N612" s="12"/>
      <c r="O612" s="12"/>
      <c r="P612" s="12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K613" s="2"/>
      <c r="L613" s="3"/>
      <c r="M613" s="12"/>
      <c r="N613" s="12"/>
      <c r="O613" s="12"/>
      <c r="P613" s="12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K614" s="2"/>
      <c r="L614" s="3"/>
      <c r="M614" s="12"/>
      <c r="N614" s="12"/>
      <c r="O614" s="12"/>
      <c r="P614" s="12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K615" s="2"/>
      <c r="L615" s="3"/>
      <c r="M615" s="12"/>
      <c r="N615" s="12"/>
      <c r="O615" s="12"/>
      <c r="P615" s="12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K616" s="2"/>
      <c r="L616" s="3"/>
      <c r="M616" s="12"/>
      <c r="N616" s="12"/>
      <c r="O616" s="12"/>
      <c r="P616" s="12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K617" s="2"/>
      <c r="L617" s="3"/>
      <c r="M617" s="12"/>
      <c r="N617" s="12"/>
      <c r="O617" s="12"/>
      <c r="P617" s="12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K618" s="2"/>
      <c r="L618" s="3"/>
      <c r="M618" s="12"/>
      <c r="N618" s="12"/>
      <c r="O618" s="12"/>
      <c r="P618" s="12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K619" s="2"/>
      <c r="L619" s="3"/>
      <c r="M619" s="12"/>
      <c r="N619" s="12"/>
      <c r="O619" s="12"/>
      <c r="P619" s="12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K620" s="2"/>
      <c r="L620" s="3"/>
      <c r="M620" s="12"/>
      <c r="N620" s="12"/>
      <c r="O620" s="12"/>
      <c r="P620" s="12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K621" s="2"/>
      <c r="L621" s="3"/>
      <c r="M621" s="12"/>
      <c r="N621" s="12"/>
      <c r="O621" s="12"/>
      <c r="P621" s="12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K622" s="2"/>
      <c r="L622" s="3"/>
      <c r="M622" s="12"/>
      <c r="N622" s="12"/>
      <c r="O622" s="12"/>
      <c r="P622" s="12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K623" s="2"/>
      <c r="L623" s="3"/>
      <c r="M623" s="12"/>
      <c r="N623" s="12"/>
      <c r="O623" s="12"/>
      <c r="P623" s="12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K624" s="2"/>
      <c r="L624" s="3"/>
      <c r="M624" s="12"/>
      <c r="N624" s="12"/>
      <c r="O624" s="12"/>
      <c r="P624" s="12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K625" s="2"/>
      <c r="L625" s="3"/>
      <c r="M625" s="12"/>
      <c r="N625" s="12"/>
      <c r="O625" s="12"/>
      <c r="P625" s="12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K626" s="2"/>
      <c r="L626" s="3"/>
      <c r="M626" s="12"/>
      <c r="N626" s="12"/>
      <c r="O626" s="12"/>
      <c r="P626" s="12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K627" s="2"/>
      <c r="L627" s="3"/>
      <c r="M627" s="12"/>
      <c r="N627" s="12"/>
      <c r="O627" s="12"/>
      <c r="P627" s="12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K628" s="2"/>
      <c r="L628" s="3"/>
      <c r="M628" s="12"/>
      <c r="N628" s="12"/>
      <c r="O628" s="12"/>
      <c r="P628" s="12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K629" s="2"/>
      <c r="L629" s="3"/>
      <c r="M629" s="12"/>
      <c r="N629" s="12"/>
      <c r="O629" s="12"/>
      <c r="P629" s="12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K630" s="2"/>
      <c r="L630" s="3"/>
      <c r="M630" s="12"/>
      <c r="N630" s="12"/>
      <c r="O630" s="12"/>
      <c r="P630" s="12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K631" s="2"/>
      <c r="L631" s="3"/>
      <c r="M631" s="12"/>
      <c r="N631" s="12"/>
      <c r="O631" s="12"/>
      <c r="P631" s="12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K632" s="2"/>
      <c r="L632" s="3"/>
      <c r="M632" s="12"/>
      <c r="N632" s="12"/>
      <c r="O632" s="12"/>
      <c r="P632" s="12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K633" s="2"/>
      <c r="L633" s="3"/>
      <c r="M633" s="12"/>
      <c r="N633" s="12"/>
      <c r="O633" s="12"/>
      <c r="P633" s="12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K634" s="2"/>
      <c r="L634" s="3"/>
      <c r="M634" s="12"/>
      <c r="N634" s="12"/>
      <c r="O634" s="12"/>
      <c r="P634" s="12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K635" s="2"/>
      <c r="L635" s="3"/>
      <c r="M635" s="12"/>
      <c r="N635" s="12"/>
      <c r="O635" s="12"/>
      <c r="P635" s="12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K636" s="2"/>
      <c r="L636" s="3"/>
      <c r="M636" s="12"/>
      <c r="N636" s="12"/>
      <c r="O636" s="12"/>
      <c r="P636" s="12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K637" s="2"/>
      <c r="L637" s="3"/>
      <c r="M637" s="12"/>
      <c r="N637" s="12"/>
      <c r="O637" s="12"/>
      <c r="P637" s="12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K638" s="2"/>
      <c r="L638" s="3"/>
      <c r="M638" s="12"/>
      <c r="N638" s="12"/>
      <c r="O638" s="12"/>
      <c r="P638" s="12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K639" s="2"/>
      <c r="L639" s="3"/>
      <c r="M639" s="12"/>
      <c r="N639" s="12"/>
      <c r="O639" s="12"/>
      <c r="P639" s="12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K640" s="2"/>
      <c r="L640" s="3"/>
      <c r="M640" s="12"/>
      <c r="N640" s="12"/>
      <c r="O640" s="12"/>
      <c r="P640" s="12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K641" s="2"/>
      <c r="L641" s="3"/>
      <c r="M641" s="12"/>
      <c r="N641" s="12"/>
      <c r="O641" s="12"/>
      <c r="P641" s="12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K642" s="2"/>
      <c r="L642" s="3"/>
      <c r="M642" s="12"/>
      <c r="N642" s="12"/>
      <c r="O642" s="12"/>
      <c r="P642" s="12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K643" s="2"/>
      <c r="L643" s="3"/>
      <c r="M643" s="12"/>
      <c r="N643" s="12"/>
      <c r="O643" s="12"/>
      <c r="P643" s="12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K644" s="2"/>
      <c r="L644" s="3"/>
      <c r="M644" s="12"/>
      <c r="N644" s="12"/>
      <c r="O644" s="12"/>
      <c r="P644" s="12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K645" s="2"/>
      <c r="L645" s="3"/>
      <c r="M645" s="12"/>
      <c r="N645" s="12"/>
      <c r="O645" s="12"/>
      <c r="P645" s="12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K646" s="2"/>
      <c r="L646" s="3"/>
      <c r="M646" s="12"/>
      <c r="N646" s="12"/>
      <c r="O646" s="12"/>
      <c r="P646" s="12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K647" s="2"/>
      <c r="L647" s="3"/>
      <c r="M647" s="12"/>
      <c r="N647" s="12"/>
      <c r="O647" s="12"/>
      <c r="P647" s="12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K648" s="2"/>
      <c r="L648" s="3"/>
      <c r="M648" s="12"/>
      <c r="N648" s="12"/>
      <c r="O648" s="12"/>
      <c r="P648" s="12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K649" s="2"/>
      <c r="L649" s="3"/>
      <c r="M649" s="12"/>
      <c r="N649" s="12"/>
      <c r="O649" s="12"/>
      <c r="P649" s="12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K650" s="2"/>
      <c r="L650" s="3"/>
      <c r="M650" s="12"/>
      <c r="N650" s="12"/>
      <c r="O650" s="12"/>
      <c r="P650" s="12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K651" s="2"/>
      <c r="L651" s="3"/>
      <c r="M651" s="12"/>
      <c r="N651" s="12"/>
      <c r="O651" s="12"/>
      <c r="P651" s="12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K652" s="2"/>
      <c r="L652" s="3"/>
      <c r="M652" s="12"/>
      <c r="N652" s="12"/>
      <c r="O652" s="12"/>
      <c r="P652" s="12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K653" s="2"/>
      <c r="L653" s="3"/>
      <c r="M653" s="12"/>
      <c r="N653" s="12"/>
      <c r="O653" s="12"/>
      <c r="P653" s="12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K654" s="2"/>
      <c r="L654" s="3"/>
      <c r="M654" s="12"/>
      <c r="N654" s="12"/>
      <c r="O654" s="12"/>
      <c r="P654" s="12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K655" s="2"/>
      <c r="L655" s="3"/>
      <c r="M655" s="12"/>
      <c r="N655" s="12"/>
      <c r="O655" s="12"/>
      <c r="P655" s="12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K656" s="2"/>
      <c r="L656" s="3"/>
      <c r="M656" s="12"/>
      <c r="N656" s="12"/>
      <c r="O656" s="12"/>
      <c r="P656" s="12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K657" s="2"/>
      <c r="L657" s="3"/>
      <c r="M657" s="12"/>
      <c r="N657" s="12"/>
      <c r="O657" s="12"/>
      <c r="P657" s="12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K658" s="2"/>
      <c r="L658" s="3"/>
      <c r="M658" s="12"/>
      <c r="N658" s="12"/>
      <c r="O658" s="12"/>
      <c r="P658" s="12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K659" s="2"/>
      <c r="L659" s="3"/>
      <c r="M659" s="12"/>
      <c r="N659" s="12"/>
      <c r="O659" s="12"/>
      <c r="P659" s="12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K660" s="2"/>
      <c r="L660" s="3"/>
      <c r="M660" s="12"/>
      <c r="N660" s="12"/>
      <c r="O660" s="12"/>
      <c r="P660" s="12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K661" s="2"/>
      <c r="L661" s="3"/>
      <c r="M661" s="12"/>
      <c r="N661" s="12"/>
      <c r="O661" s="12"/>
      <c r="P661" s="12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K662" s="2"/>
      <c r="L662" s="3"/>
      <c r="M662" s="12"/>
      <c r="N662" s="12"/>
      <c r="O662" s="12"/>
      <c r="P662" s="12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K663" s="2"/>
      <c r="L663" s="3"/>
      <c r="M663" s="12"/>
      <c r="N663" s="12"/>
      <c r="O663" s="12"/>
      <c r="P663" s="12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K664" s="2"/>
      <c r="L664" s="3"/>
      <c r="M664" s="12"/>
      <c r="N664" s="12"/>
      <c r="O664" s="12"/>
      <c r="P664" s="12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K665" s="2"/>
      <c r="L665" s="3"/>
      <c r="M665" s="12"/>
      <c r="N665" s="12"/>
      <c r="O665" s="12"/>
      <c r="P665" s="12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K666" s="2"/>
      <c r="L666" s="3"/>
      <c r="M666" s="12"/>
      <c r="N666" s="12"/>
      <c r="O666" s="12"/>
      <c r="P666" s="12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K667" s="2"/>
      <c r="L667" s="3"/>
      <c r="M667" s="12"/>
      <c r="N667" s="12"/>
      <c r="O667" s="12"/>
      <c r="P667" s="12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K668" s="2"/>
      <c r="L668" s="3"/>
      <c r="M668" s="12"/>
      <c r="N668" s="12"/>
      <c r="O668" s="12"/>
      <c r="P668" s="12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K669" s="2"/>
      <c r="L669" s="3"/>
      <c r="M669" s="12"/>
      <c r="N669" s="12"/>
      <c r="O669" s="12"/>
      <c r="P669" s="12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K670" s="2"/>
      <c r="L670" s="3"/>
      <c r="M670" s="12"/>
      <c r="N670" s="12"/>
      <c r="O670" s="12"/>
      <c r="P670" s="12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K671" s="2"/>
      <c r="L671" s="3"/>
      <c r="M671" s="12"/>
      <c r="N671" s="12"/>
      <c r="O671" s="12"/>
      <c r="P671" s="12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K672" s="2"/>
      <c r="L672" s="3"/>
      <c r="M672" s="12"/>
      <c r="N672" s="12"/>
      <c r="O672" s="12"/>
      <c r="P672" s="12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K673" s="2"/>
      <c r="L673" s="3"/>
      <c r="M673" s="12"/>
      <c r="N673" s="12"/>
      <c r="O673" s="12"/>
      <c r="P673" s="12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K674" s="2"/>
      <c r="L674" s="3"/>
      <c r="M674" s="12"/>
      <c r="N674" s="12"/>
      <c r="O674" s="12"/>
      <c r="P674" s="12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K675" s="2"/>
      <c r="L675" s="3"/>
      <c r="M675" s="12"/>
      <c r="N675" s="12"/>
      <c r="O675" s="12"/>
      <c r="P675" s="12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K676" s="2"/>
      <c r="L676" s="3"/>
      <c r="M676" s="12"/>
      <c r="N676" s="12"/>
      <c r="O676" s="12"/>
      <c r="P676" s="12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K677" s="2"/>
      <c r="L677" s="3"/>
      <c r="M677" s="12"/>
      <c r="N677" s="12"/>
      <c r="O677" s="12"/>
      <c r="P677" s="12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K678" s="2"/>
      <c r="L678" s="3"/>
      <c r="M678" s="12"/>
      <c r="N678" s="12"/>
      <c r="O678" s="12"/>
      <c r="P678" s="12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K679" s="2"/>
      <c r="L679" s="3"/>
      <c r="M679" s="12"/>
      <c r="N679" s="12"/>
      <c r="O679" s="12"/>
      <c r="P679" s="12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K680" s="2"/>
      <c r="L680" s="3"/>
      <c r="M680" s="12"/>
      <c r="N680" s="12"/>
      <c r="O680" s="12"/>
      <c r="P680" s="12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K681" s="2"/>
      <c r="L681" s="3"/>
      <c r="M681" s="12"/>
      <c r="N681" s="12"/>
      <c r="O681" s="12"/>
      <c r="P681" s="12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K682" s="2"/>
      <c r="L682" s="3"/>
      <c r="M682" s="12"/>
      <c r="N682" s="12"/>
      <c r="O682" s="12"/>
      <c r="P682" s="12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K683" s="2"/>
      <c r="L683" s="3"/>
      <c r="M683" s="12"/>
      <c r="N683" s="12"/>
      <c r="O683" s="12"/>
      <c r="P683" s="12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K684" s="2"/>
      <c r="L684" s="3"/>
      <c r="M684" s="12"/>
      <c r="N684" s="12"/>
      <c r="O684" s="12"/>
      <c r="P684" s="12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K685" s="2"/>
      <c r="L685" s="3"/>
      <c r="M685" s="12"/>
      <c r="N685" s="12"/>
      <c r="O685" s="12"/>
      <c r="P685" s="12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K686" s="2"/>
      <c r="L686" s="3"/>
      <c r="M686" s="12"/>
      <c r="N686" s="12"/>
      <c r="O686" s="12"/>
      <c r="P686" s="12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K687" s="2"/>
      <c r="L687" s="3"/>
      <c r="M687" s="12"/>
      <c r="N687" s="12"/>
      <c r="O687" s="12"/>
      <c r="P687" s="12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K688" s="2"/>
      <c r="L688" s="3"/>
      <c r="M688" s="12"/>
      <c r="N688" s="12"/>
      <c r="O688" s="12"/>
      <c r="P688" s="12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K689" s="2"/>
      <c r="L689" s="3"/>
      <c r="M689" s="12"/>
      <c r="N689" s="12"/>
      <c r="O689" s="12"/>
      <c r="P689" s="12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K690" s="2"/>
      <c r="L690" s="3"/>
      <c r="M690" s="12"/>
      <c r="N690" s="12"/>
      <c r="O690" s="12"/>
      <c r="P690" s="12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K691" s="2"/>
      <c r="L691" s="3"/>
      <c r="M691" s="12"/>
      <c r="N691" s="12"/>
      <c r="O691" s="12"/>
      <c r="P691" s="12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K692" s="2"/>
      <c r="L692" s="3"/>
      <c r="M692" s="12"/>
      <c r="N692" s="12"/>
      <c r="O692" s="12"/>
      <c r="P692" s="12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K693" s="2"/>
      <c r="L693" s="3"/>
      <c r="M693" s="12"/>
      <c r="N693" s="12"/>
      <c r="O693" s="12"/>
      <c r="P693" s="12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K694" s="2"/>
      <c r="L694" s="3"/>
      <c r="M694" s="12"/>
      <c r="N694" s="12"/>
      <c r="O694" s="12"/>
      <c r="P694" s="12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K695" s="2"/>
      <c r="L695" s="3"/>
      <c r="M695" s="12"/>
      <c r="N695" s="12"/>
      <c r="O695" s="12"/>
      <c r="P695" s="12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K696" s="2"/>
      <c r="L696" s="3"/>
      <c r="M696" s="12"/>
      <c r="N696" s="12"/>
      <c r="O696" s="12"/>
      <c r="P696" s="12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K697" s="2"/>
      <c r="L697" s="3"/>
      <c r="M697" s="12"/>
      <c r="N697" s="12"/>
      <c r="O697" s="12"/>
      <c r="P697" s="12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K698" s="2"/>
      <c r="L698" s="3"/>
      <c r="M698" s="12"/>
      <c r="N698" s="12"/>
      <c r="O698" s="12"/>
      <c r="P698" s="12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K699" s="2"/>
      <c r="L699" s="3"/>
      <c r="M699" s="12"/>
      <c r="N699" s="12"/>
      <c r="O699" s="12"/>
      <c r="P699" s="12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K700" s="2"/>
      <c r="L700" s="3"/>
      <c r="M700" s="12"/>
      <c r="N700" s="12"/>
      <c r="O700" s="12"/>
      <c r="P700" s="12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K701" s="2"/>
      <c r="L701" s="3"/>
      <c r="M701" s="12"/>
      <c r="N701" s="12"/>
      <c r="O701" s="12"/>
      <c r="P701" s="12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K702" s="2"/>
      <c r="L702" s="3"/>
      <c r="M702" s="12"/>
      <c r="N702" s="12"/>
      <c r="O702" s="12"/>
      <c r="P702" s="12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K703" s="2"/>
      <c r="L703" s="3"/>
      <c r="M703" s="12"/>
      <c r="N703" s="12"/>
      <c r="O703" s="12"/>
      <c r="P703" s="12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K704" s="2"/>
      <c r="L704" s="3"/>
      <c r="M704" s="12"/>
      <c r="N704" s="12"/>
      <c r="O704" s="12"/>
      <c r="P704" s="12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K705" s="2"/>
      <c r="L705" s="3"/>
      <c r="M705" s="12"/>
      <c r="N705" s="12"/>
      <c r="O705" s="12"/>
      <c r="P705" s="12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K706" s="2"/>
      <c r="L706" s="3"/>
      <c r="M706" s="12"/>
      <c r="N706" s="12"/>
      <c r="O706" s="12"/>
      <c r="P706" s="12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K707" s="2"/>
      <c r="L707" s="3"/>
      <c r="M707" s="12"/>
      <c r="N707" s="12"/>
      <c r="O707" s="12"/>
      <c r="P707" s="12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K708" s="2"/>
      <c r="L708" s="3"/>
      <c r="M708" s="12"/>
      <c r="N708" s="12"/>
      <c r="O708" s="12"/>
      <c r="P708" s="12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K709" s="2"/>
      <c r="L709" s="3"/>
      <c r="M709" s="12"/>
      <c r="N709" s="12"/>
      <c r="O709" s="12"/>
      <c r="P709" s="12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K710" s="2"/>
      <c r="L710" s="3"/>
      <c r="M710" s="12"/>
      <c r="N710" s="12"/>
      <c r="O710" s="12"/>
      <c r="P710" s="12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K711" s="2"/>
      <c r="L711" s="3"/>
      <c r="M711" s="12"/>
      <c r="N711" s="12"/>
      <c r="O711" s="12"/>
      <c r="P711" s="12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K712" s="2"/>
      <c r="L712" s="3"/>
      <c r="M712" s="12"/>
      <c r="N712" s="12"/>
      <c r="O712" s="12"/>
      <c r="P712" s="12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K713" s="2"/>
      <c r="L713" s="3"/>
      <c r="M713" s="12"/>
      <c r="N713" s="12"/>
      <c r="O713" s="12"/>
      <c r="P713" s="12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K714" s="2"/>
      <c r="L714" s="3"/>
      <c r="M714" s="12"/>
      <c r="N714" s="12"/>
      <c r="O714" s="12"/>
      <c r="P714" s="12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K715" s="2"/>
      <c r="L715" s="3"/>
      <c r="M715" s="12"/>
      <c r="N715" s="12"/>
      <c r="O715" s="12"/>
      <c r="P715" s="12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K716" s="2"/>
      <c r="L716" s="3"/>
      <c r="M716" s="12"/>
      <c r="N716" s="12"/>
      <c r="O716" s="12"/>
      <c r="P716" s="12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K717" s="2"/>
      <c r="L717" s="3"/>
      <c r="M717" s="12"/>
      <c r="N717" s="12"/>
      <c r="O717" s="12"/>
      <c r="P717" s="12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K718" s="2"/>
      <c r="L718" s="3"/>
      <c r="M718" s="12"/>
      <c r="N718" s="12"/>
      <c r="O718" s="12"/>
      <c r="P718" s="12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K719" s="2"/>
      <c r="L719" s="3"/>
      <c r="M719" s="12"/>
      <c r="N719" s="12"/>
      <c r="O719" s="12"/>
      <c r="P719" s="12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K720" s="2"/>
      <c r="L720" s="3"/>
      <c r="M720" s="12"/>
      <c r="N720" s="12"/>
      <c r="O720" s="12"/>
      <c r="P720" s="12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K721" s="2"/>
      <c r="L721" s="3"/>
      <c r="M721" s="12"/>
      <c r="N721" s="12"/>
      <c r="O721" s="12"/>
      <c r="P721" s="12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K722" s="2"/>
      <c r="L722" s="3"/>
      <c r="M722" s="12"/>
      <c r="N722" s="12"/>
      <c r="O722" s="12"/>
      <c r="P722" s="12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K723" s="2"/>
      <c r="L723" s="3"/>
      <c r="M723" s="12"/>
      <c r="N723" s="12"/>
      <c r="O723" s="12"/>
      <c r="P723" s="12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K724" s="2"/>
      <c r="L724" s="3"/>
      <c r="M724" s="12"/>
      <c r="N724" s="12"/>
      <c r="O724" s="12"/>
      <c r="P724" s="12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K725" s="2"/>
      <c r="L725" s="3"/>
      <c r="M725" s="12"/>
      <c r="N725" s="12"/>
      <c r="O725" s="12"/>
      <c r="P725" s="12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K726" s="2"/>
      <c r="L726" s="3"/>
      <c r="M726" s="12"/>
      <c r="N726" s="12"/>
      <c r="O726" s="12"/>
      <c r="P726" s="12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K727" s="2"/>
      <c r="L727" s="3"/>
      <c r="M727" s="12"/>
      <c r="N727" s="12"/>
      <c r="O727" s="12"/>
      <c r="P727" s="12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K728" s="2"/>
      <c r="L728" s="3"/>
      <c r="M728" s="12"/>
      <c r="N728" s="12"/>
      <c r="O728" s="12"/>
      <c r="P728" s="12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K729" s="2"/>
      <c r="L729" s="3"/>
      <c r="M729" s="12"/>
      <c r="N729" s="12"/>
      <c r="O729" s="12"/>
      <c r="P729" s="12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K730" s="2"/>
      <c r="L730" s="3"/>
      <c r="M730" s="12"/>
      <c r="N730" s="12"/>
      <c r="O730" s="12"/>
      <c r="P730" s="12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K731" s="2"/>
      <c r="L731" s="3"/>
      <c r="M731" s="12"/>
      <c r="N731" s="12"/>
      <c r="O731" s="12"/>
      <c r="P731" s="12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K732" s="2"/>
      <c r="L732" s="3"/>
      <c r="M732" s="12"/>
      <c r="N732" s="12"/>
      <c r="O732" s="12"/>
      <c r="P732" s="12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K733" s="2"/>
      <c r="L733" s="3"/>
      <c r="M733" s="12"/>
      <c r="N733" s="12"/>
      <c r="O733" s="12"/>
      <c r="P733" s="12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K734" s="2"/>
      <c r="L734" s="3"/>
      <c r="M734" s="12"/>
      <c r="N734" s="12"/>
      <c r="O734" s="12"/>
      <c r="P734" s="12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K735" s="2"/>
      <c r="L735" s="3"/>
      <c r="M735" s="12"/>
      <c r="N735" s="12"/>
      <c r="O735" s="12"/>
      <c r="P735" s="12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K736" s="2"/>
      <c r="L736" s="3"/>
      <c r="M736" s="12"/>
      <c r="N736" s="12"/>
      <c r="O736" s="12"/>
      <c r="P736" s="12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K737" s="2"/>
      <c r="L737" s="3"/>
      <c r="M737" s="12"/>
      <c r="N737" s="12"/>
      <c r="O737" s="12"/>
      <c r="P737" s="12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K738" s="2"/>
      <c r="L738" s="3"/>
      <c r="M738" s="12"/>
      <c r="N738" s="12"/>
      <c r="O738" s="12"/>
      <c r="P738" s="12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K739" s="2"/>
      <c r="L739" s="3"/>
      <c r="M739" s="12"/>
      <c r="N739" s="12"/>
      <c r="O739" s="12"/>
      <c r="P739" s="12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K740" s="2"/>
      <c r="L740" s="3"/>
      <c r="M740" s="12"/>
      <c r="N740" s="12"/>
      <c r="O740" s="12"/>
      <c r="P740" s="12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K741" s="2"/>
      <c r="L741" s="3"/>
      <c r="M741" s="12"/>
      <c r="N741" s="12"/>
      <c r="O741" s="12"/>
      <c r="P741" s="12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K742" s="2"/>
      <c r="L742" s="3"/>
      <c r="M742" s="12"/>
      <c r="N742" s="12"/>
      <c r="O742" s="12"/>
      <c r="P742" s="12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K743" s="2"/>
      <c r="L743" s="3"/>
      <c r="M743" s="12"/>
      <c r="N743" s="12"/>
      <c r="O743" s="12"/>
      <c r="P743" s="12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K744" s="2"/>
      <c r="L744" s="3"/>
      <c r="M744" s="12"/>
      <c r="N744" s="12"/>
      <c r="O744" s="12"/>
      <c r="P744" s="12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K745" s="2"/>
      <c r="L745" s="3"/>
      <c r="M745" s="12"/>
      <c r="N745" s="12"/>
      <c r="O745" s="12"/>
      <c r="P745" s="12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K746" s="2"/>
      <c r="L746" s="3"/>
      <c r="M746" s="12"/>
      <c r="N746" s="12"/>
      <c r="O746" s="12"/>
      <c r="P746" s="12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K747" s="2"/>
      <c r="L747" s="3"/>
      <c r="M747" s="12"/>
      <c r="N747" s="12"/>
      <c r="O747" s="12"/>
      <c r="P747" s="12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K748" s="2"/>
      <c r="L748" s="3"/>
      <c r="M748" s="12"/>
      <c r="N748" s="12"/>
      <c r="O748" s="12"/>
      <c r="P748" s="12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K749" s="2"/>
      <c r="L749" s="3"/>
      <c r="M749" s="12"/>
      <c r="N749" s="12"/>
      <c r="O749" s="12"/>
      <c r="P749" s="12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K750" s="2"/>
      <c r="L750" s="3"/>
      <c r="M750" s="12"/>
      <c r="N750" s="12"/>
      <c r="O750" s="12"/>
      <c r="P750" s="12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K751" s="2"/>
      <c r="L751" s="3"/>
      <c r="M751" s="12"/>
      <c r="N751" s="12"/>
      <c r="O751" s="12"/>
      <c r="P751" s="12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K752" s="2"/>
      <c r="L752" s="3"/>
      <c r="M752" s="12"/>
      <c r="N752" s="12"/>
      <c r="O752" s="12"/>
      <c r="P752" s="12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K753" s="2"/>
      <c r="L753" s="3"/>
      <c r="M753" s="12"/>
      <c r="N753" s="12"/>
      <c r="O753" s="12"/>
      <c r="P753" s="12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K754" s="2"/>
      <c r="L754" s="3"/>
      <c r="M754" s="12"/>
      <c r="N754" s="12"/>
      <c r="O754" s="12"/>
      <c r="P754" s="12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K755" s="2"/>
      <c r="L755" s="3"/>
      <c r="M755" s="12"/>
      <c r="N755" s="12"/>
      <c r="O755" s="12"/>
      <c r="P755" s="12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K756" s="2"/>
      <c r="L756" s="3"/>
      <c r="M756" s="12"/>
      <c r="N756" s="12"/>
      <c r="O756" s="12"/>
      <c r="P756" s="12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K757" s="2"/>
      <c r="L757" s="3"/>
      <c r="M757" s="12"/>
      <c r="N757" s="12"/>
      <c r="O757" s="12"/>
      <c r="P757" s="12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K758" s="2"/>
      <c r="L758" s="3"/>
      <c r="M758" s="12"/>
      <c r="N758" s="12"/>
      <c r="O758" s="12"/>
      <c r="P758" s="12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K759" s="2"/>
      <c r="L759" s="3"/>
      <c r="M759" s="12"/>
      <c r="N759" s="12"/>
      <c r="O759" s="12"/>
      <c r="P759" s="12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K760" s="2"/>
      <c r="L760" s="3"/>
      <c r="M760" s="12"/>
      <c r="N760" s="12"/>
      <c r="O760" s="12"/>
      <c r="P760" s="12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K761" s="2"/>
      <c r="L761" s="3"/>
      <c r="M761" s="12"/>
      <c r="N761" s="12"/>
      <c r="O761" s="12"/>
      <c r="P761" s="12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K762" s="2"/>
      <c r="L762" s="3"/>
      <c r="M762" s="12"/>
      <c r="N762" s="12"/>
      <c r="O762" s="12"/>
      <c r="P762" s="12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K763" s="2"/>
      <c r="L763" s="3"/>
      <c r="M763" s="12"/>
      <c r="N763" s="12"/>
      <c r="O763" s="12"/>
      <c r="P763" s="12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K764" s="2"/>
      <c r="L764" s="3"/>
      <c r="M764" s="12"/>
      <c r="N764" s="12"/>
      <c r="O764" s="12"/>
      <c r="P764" s="12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K765" s="2"/>
      <c r="L765" s="3"/>
      <c r="M765" s="12"/>
      <c r="N765" s="12"/>
      <c r="O765" s="12"/>
      <c r="P765" s="12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K766" s="2"/>
      <c r="L766" s="3"/>
      <c r="M766" s="12"/>
      <c r="N766" s="12"/>
      <c r="O766" s="12"/>
      <c r="P766" s="12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K767" s="2"/>
      <c r="L767" s="3"/>
      <c r="M767" s="12"/>
      <c r="N767" s="12"/>
      <c r="O767" s="12"/>
      <c r="P767" s="12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K768" s="2"/>
      <c r="L768" s="3"/>
      <c r="M768" s="12"/>
      <c r="N768" s="12"/>
      <c r="O768" s="12"/>
      <c r="P768" s="12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K769" s="2"/>
      <c r="L769" s="3"/>
      <c r="M769" s="12"/>
      <c r="N769" s="12"/>
      <c r="O769" s="12"/>
      <c r="P769" s="12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K770" s="2"/>
      <c r="L770" s="3"/>
      <c r="M770" s="12"/>
      <c r="N770" s="12"/>
      <c r="O770" s="12"/>
      <c r="P770" s="12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K771" s="2"/>
      <c r="L771" s="3"/>
      <c r="M771" s="12"/>
      <c r="N771" s="12"/>
      <c r="O771" s="12"/>
      <c r="P771" s="12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K772" s="2"/>
      <c r="L772" s="3"/>
      <c r="M772" s="12"/>
      <c r="N772" s="12"/>
      <c r="O772" s="12"/>
      <c r="P772" s="12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K773" s="2"/>
      <c r="L773" s="3"/>
      <c r="M773" s="12"/>
      <c r="N773" s="12"/>
      <c r="O773" s="12"/>
      <c r="P773" s="12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K774" s="2"/>
      <c r="L774" s="3"/>
      <c r="M774" s="12"/>
      <c r="N774" s="12"/>
      <c r="O774" s="12"/>
      <c r="P774" s="12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K775" s="2"/>
      <c r="L775" s="3"/>
      <c r="M775" s="12"/>
      <c r="N775" s="12"/>
      <c r="O775" s="12"/>
      <c r="P775" s="12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K776" s="2"/>
      <c r="L776" s="3"/>
      <c r="M776" s="12"/>
      <c r="N776" s="12"/>
      <c r="O776" s="12"/>
      <c r="P776" s="12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K777" s="2"/>
      <c r="L777" s="3"/>
      <c r="M777" s="12"/>
      <c r="N777" s="12"/>
      <c r="O777" s="12"/>
      <c r="P777" s="12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K778" s="2"/>
      <c r="L778" s="3"/>
      <c r="M778" s="12"/>
      <c r="N778" s="12"/>
      <c r="O778" s="12"/>
      <c r="P778" s="12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K779" s="2"/>
      <c r="L779" s="3"/>
      <c r="M779" s="12"/>
      <c r="N779" s="12"/>
      <c r="O779" s="12"/>
      <c r="P779" s="12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K780" s="2"/>
      <c r="L780" s="3"/>
      <c r="M780" s="12"/>
      <c r="N780" s="12"/>
      <c r="O780" s="12"/>
      <c r="P780" s="12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K781" s="2"/>
      <c r="L781" s="3"/>
      <c r="M781" s="12"/>
      <c r="N781" s="12"/>
      <c r="O781" s="12"/>
      <c r="P781" s="12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K782" s="2"/>
      <c r="L782" s="3"/>
      <c r="M782" s="12"/>
      <c r="N782" s="12"/>
      <c r="O782" s="12"/>
      <c r="P782" s="12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K783" s="2"/>
      <c r="L783" s="3"/>
      <c r="M783" s="12"/>
      <c r="N783" s="12"/>
      <c r="O783" s="12"/>
      <c r="P783" s="12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K784" s="2"/>
      <c r="L784" s="3"/>
      <c r="M784" s="12"/>
      <c r="N784" s="12"/>
      <c r="O784" s="12"/>
      <c r="P784" s="12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K785" s="2"/>
      <c r="L785" s="3"/>
      <c r="M785" s="12"/>
      <c r="N785" s="12"/>
      <c r="O785" s="12"/>
      <c r="P785" s="12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K786" s="2"/>
      <c r="L786" s="3"/>
      <c r="M786" s="12"/>
      <c r="N786" s="12"/>
      <c r="O786" s="12"/>
      <c r="P786" s="12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K787" s="2"/>
      <c r="L787" s="3"/>
      <c r="M787" s="12"/>
      <c r="N787" s="12"/>
      <c r="O787" s="12"/>
      <c r="P787" s="12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K788" s="2"/>
      <c r="L788" s="3"/>
      <c r="M788" s="12"/>
      <c r="N788" s="12"/>
      <c r="O788" s="12"/>
      <c r="P788" s="12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K789" s="2"/>
      <c r="L789" s="3"/>
      <c r="M789" s="12"/>
      <c r="N789" s="12"/>
      <c r="O789" s="12"/>
      <c r="P789" s="12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K790" s="2"/>
      <c r="L790" s="3"/>
      <c r="M790" s="12"/>
      <c r="N790" s="12"/>
      <c r="O790" s="12"/>
      <c r="P790" s="12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K791" s="2"/>
      <c r="L791" s="3"/>
      <c r="M791" s="12"/>
      <c r="N791" s="12"/>
      <c r="O791" s="12"/>
      <c r="P791" s="12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K792" s="2"/>
      <c r="L792" s="3"/>
      <c r="M792" s="12"/>
      <c r="N792" s="12"/>
      <c r="O792" s="12"/>
      <c r="P792" s="12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K793" s="2"/>
      <c r="L793" s="3"/>
      <c r="M793" s="12"/>
      <c r="N793" s="12"/>
      <c r="O793" s="12"/>
      <c r="P793" s="12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K794" s="2"/>
      <c r="L794" s="3"/>
      <c r="M794" s="12"/>
      <c r="N794" s="12"/>
      <c r="O794" s="12"/>
      <c r="P794" s="12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K795" s="2"/>
      <c r="L795" s="3"/>
      <c r="M795" s="12"/>
      <c r="N795" s="12"/>
      <c r="O795" s="12"/>
      <c r="P795" s="12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K796" s="2"/>
      <c r="L796" s="3"/>
      <c r="M796" s="12"/>
      <c r="N796" s="12"/>
      <c r="O796" s="12"/>
      <c r="P796" s="12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K797" s="2"/>
      <c r="L797" s="3"/>
      <c r="M797" s="12"/>
      <c r="N797" s="12"/>
      <c r="O797" s="12"/>
      <c r="P797" s="12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K798" s="2"/>
      <c r="L798" s="3"/>
      <c r="M798" s="12"/>
      <c r="N798" s="12"/>
      <c r="O798" s="12"/>
      <c r="P798" s="12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K799" s="2"/>
      <c r="L799" s="3"/>
      <c r="M799" s="12"/>
      <c r="N799" s="12"/>
      <c r="O799" s="12"/>
      <c r="P799" s="12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K800" s="2"/>
      <c r="L800" s="3"/>
      <c r="M800" s="12"/>
      <c r="N800" s="12"/>
      <c r="O800" s="12"/>
      <c r="P800" s="12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K801" s="2"/>
      <c r="L801" s="3"/>
      <c r="M801" s="12"/>
      <c r="N801" s="12"/>
      <c r="O801" s="12"/>
      <c r="P801" s="12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K802" s="2"/>
      <c r="L802" s="3"/>
      <c r="M802" s="12"/>
      <c r="N802" s="12"/>
      <c r="O802" s="12"/>
      <c r="P802" s="12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K803" s="2"/>
      <c r="L803" s="3"/>
      <c r="M803" s="12"/>
      <c r="N803" s="12"/>
      <c r="O803" s="12"/>
      <c r="P803" s="12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K804" s="2"/>
      <c r="L804" s="3"/>
      <c r="M804" s="12"/>
      <c r="N804" s="12"/>
      <c r="O804" s="12"/>
      <c r="P804" s="12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K805" s="2"/>
      <c r="L805" s="3"/>
      <c r="M805" s="12"/>
      <c r="N805" s="12"/>
      <c r="O805" s="12"/>
      <c r="P805" s="12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K806" s="2"/>
      <c r="L806" s="3"/>
      <c r="M806" s="12"/>
      <c r="N806" s="12"/>
      <c r="O806" s="12"/>
      <c r="P806" s="12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K807" s="2"/>
      <c r="L807" s="3"/>
      <c r="M807" s="12"/>
      <c r="N807" s="12"/>
      <c r="O807" s="12"/>
      <c r="P807" s="12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K808" s="2"/>
      <c r="L808" s="3"/>
      <c r="M808" s="12"/>
      <c r="N808" s="12"/>
      <c r="O808" s="12"/>
      <c r="P808" s="12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K809" s="2"/>
      <c r="L809" s="3"/>
      <c r="M809" s="12"/>
      <c r="N809" s="12"/>
      <c r="O809" s="12"/>
      <c r="P809" s="12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K810" s="2"/>
      <c r="L810" s="3"/>
      <c r="M810" s="12"/>
      <c r="N810" s="12"/>
      <c r="O810" s="12"/>
      <c r="P810" s="12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K811" s="2"/>
      <c r="L811" s="3"/>
      <c r="M811" s="12"/>
      <c r="N811" s="12"/>
      <c r="O811" s="12"/>
      <c r="P811" s="12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K812" s="2"/>
      <c r="L812" s="3"/>
      <c r="M812" s="12"/>
      <c r="N812" s="12"/>
      <c r="O812" s="12"/>
      <c r="P812" s="12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K813" s="2"/>
      <c r="L813" s="3"/>
      <c r="M813" s="12"/>
      <c r="N813" s="12"/>
      <c r="O813" s="12"/>
      <c r="P813" s="12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K814" s="2"/>
      <c r="L814" s="3"/>
      <c r="M814" s="12"/>
      <c r="N814" s="12"/>
      <c r="O814" s="12"/>
      <c r="P814" s="12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K815" s="2"/>
      <c r="L815" s="3"/>
      <c r="M815" s="12"/>
      <c r="N815" s="12"/>
      <c r="O815" s="12"/>
      <c r="P815" s="12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K816" s="2"/>
      <c r="L816" s="3"/>
      <c r="M816" s="12"/>
      <c r="N816" s="12"/>
      <c r="O816" s="12"/>
      <c r="P816" s="12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K817" s="2"/>
      <c r="L817" s="3"/>
      <c r="M817" s="12"/>
      <c r="N817" s="12"/>
      <c r="O817" s="12"/>
      <c r="P817" s="12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K818" s="2"/>
      <c r="L818" s="3"/>
      <c r="M818" s="12"/>
      <c r="N818" s="12"/>
      <c r="O818" s="12"/>
      <c r="P818" s="12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K819" s="2"/>
      <c r="L819" s="3"/>
      <c r="M819" s="12"/>
      <c r="N819" s="12"/>
      <c r="O819" s="12"/>
      <c r="P819" s="12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K820" s="2"/>
      <c r="L820" s="3"/>
      <c r="M820" s="12"/>
      <c r="N820" s="12"/>
      <c r="O820" s="12"/>
      <c r="P820" s="12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K821" s="2"/>
      <c r="L821" s="3"/>
      <c r="M821" s="12"/>
      <c r="N821" s="12"/>
      <c r="O821" s="12"/>
      <c r="P821" s="12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K822" s="2"/>
      <c r="L822" s="3"/>
      <c r="M822" s="12"/>
      <c r="N822" s="12"/>
      <c r="O822" s="12"/>
      <c r="P822" s="12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K823" s="2"/>
      <c r="L823" s="3"/>
      <c r="M823" s="12"/>
      <c r="N823" s="12"/>
      <c r="O823" s="12"/>
      <c r="P823" s="12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K824" s="2"/>
      <c r="L824" s="3"/>
      <c r="M824" s="12"/>
      <c r="N824" s="12"/>
      <c r="O824" s="12"/>
      <c r="P824" s="12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K825" s="2"/>
      <c r="L825" s="3"/>
      <c r="M825" s="12"/>
      <c r="N825" s="12"/>
      <c r="O825" s="12"/>
      <c r="P825" s="12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K826" s="2"/>
      <c r="L826" s="3"/>
      <c r="M826" s="12"/>
      <c r="N826" s="12"/>
      <c r="O826" s="12"/>
      <c r="P826" s="12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K827" s="2"/>
      <c r="L827" s="3"/>
      <c r="M827" s="12"/>
      <c r="N827" s="12"/>
      <c r="O827" s="12"/>
      <c r="P827" s="12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K828" s="2"/>
      <c r="L828" s="3"/>
      <c r="M828" s="12"/>
      <c r="N828" s="12"/>
      <c r="O828" s="12"/>
      <c r="P828" s="12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K829" s="2"/>
      <c r="L829" s="3"/>
      <c r="M829" s="12"/>
      <c r="N829" s="12"/>
      <c r="O829" s="12"/>
      <c r="P829" s="12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K830" s="2"/>
      <c r="L830" s="3"/>
      <c r="M830" s="12"/>
      <c r="N830" s="12"/>
      <c r="O830" s="12"/>
      <c r="P830" s="12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K831" s="2"/>
      <c r="L831" s="3"/>
      <c r="M831" s="12"/>
      <c r="N831" s="12"/>
      <c r="O831" s="12"/>
      <c r="P831" s="12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K832" s="2"/>
      <c r="L832" s="3"/>
      <c r="M832" s="12"/>
      <c r="N832" s="12"/>
      <c r="O832" s="12"/>
      <c r="P832" s="12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K833" s="2"/>
      <c r="L833" s="3"/>
      <c r="M833" s="12"/>
      <c r="N833" s="12"/>
      <c r="O833" s="12"/>
      <c r="P833" s="12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K834" s="2"/>
      <c r="L834" s="3"/>
      <c r="M834" s="12"/>
      <c r="N834" s="12"/>
      <c r="O834" s="12"/>
      <c r="P834" s="12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K835" s="2"/>
      <c r="L835" s="3"/>
      <c r="M835" s="12"/>
      <c r="N835" s="12"/>
      <c r="O835" s="12"/>
      <c r="P835" s="12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K836" s="2"/>
      <c r="L836" s="3"/>
      <c r="M836" s="12"/>
      <c r="N836" s="12"/>
      <c r="O836" s="12"/>
      <c r="P836" s="12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K837" s="2"/>
      <c r="L837" s="3"/>
      <c r="M837" s="12"/>
      <c r="N837" s="12"/>
      <c r="O837" s="12"/>
      <c r="P837" s="12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K838" s="2"/>
      <c r="L838" s="3"/>
      <c r="M838" s="12"/>
      <c r="N838" s="12"/>
      <c r="O838" s="12"/>
      <c r="P838" s="12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K839" s="2"/>
      <c r="L839" s="3"/>
      <c r="M839" s="12"/>
      <c r="N839" s="12"/>
      <c r="O839" s="12"/>
      <c r="P839" s="12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K840" s="2"/>
      <c r="L840" s="3"/>
      <c r="M840" s="12"/>
      <c r="N840" s="12"/>
      <c r="O840" s="12"/>
      <c r="P840" s="12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K841" s="2"/>
      <c r="L841" s="3"/>
      <c r="M841" s="12"/>
      <c r="N841" s="12"/>
      <c r="O841" s="12"/>
      <c r="P841" s="12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K842" s="2"/>
      <c r="L842" s="3"/>
      <c r="M842" s="12"/>
      <c r="N842" s="12"/>
      <c r="O842" s="12"/>
      <c r="P842" s="12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K843" s="2"/>
      <c r="L843" s="3"/>
      <c r="M843" s="12"/>
      <c r="N843" s="12"/>
      <c r="O843" s="12"/>
      <c r="P843" s="12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K844" s="2"/>
      <c r="L844" s="3"/>
      <c r="M844" s="12"/>
      <c r="N844" s="12"/>
      <c r="O844" s="12"/>
      <c r="P844" s="12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K845" s="2"/>
      <c r="L845" s="3"/>
      <c r="M845" s="12"/>
      <c r="N845" s="12"/>
      <c r="O845" s="12"/>
      <c r="P845" s="12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K846" s="2"/>
      <c r="L846" s="3"/>
      <c r="M846" s="12"/>
      <c r="N846" s="12"/>
      <c r="O846" s="12"/>
      <c r="P846" s="12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K847" s="2"/>
      <c r="L847" s="3"/>
      <c r="M847" s="12"/>
      <c r="N847" s="12"/>
      <c r="O847" s="12"/>
      <c r="P847" s="12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K848" s="2"/>
      <c r="L848" s="3"/>
      <c r="M848" s="12"/>
      <c r="N848" s="12"/>
      <c r="O848" s="12"/>
      <c r="P848" s="12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K849" s="2"/>
      <c r="L849" s="3"/>
      <c r="M849" s="12"/>
      <c r="N849" s="12"/>
      <c r="O849" s="12"/>
      <c r="P849" s="12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K850" s="2"/>
      <c r="L850" s="3"/>
      <c r="M850" s="12"/>
      <c r="N850" s="12"/>
      <c r="O850" s="12"/>
      <c r="P850" s="12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K851" s="2"/>
      <c r="L851" s="3"/>
      <c r="M851" s="12"/>
      <c r="N851" s="12"/>
      <c r="O851" s="12"/>
      <c r="P851" s="12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K852" s="2"/>
      <c r="L852" s="3"/>
      <c r="M852" s="12"/>
      <c r="N852" s="12"/>
      <c r="O852" s="12"/>
      <c r="P852" s="12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K853" s="2"/>
      <c r="L853" s="3"/>
      <c r="M853" s="12"/>
      <c r="N853" s="12"/>
      <c r="O853" s="12"/>
      <c r="P853" s="12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K854" s="2"/>
      <c r="L854" s="3"/>
      <c r="M854" s="12"/>
      <c r="N854" s="12"/>
      <c r="O854" s="12"/>
      <c r="P854" s="12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K855" s="2"/>
      <c r="L855" s="3"/>
      <c r="M855" s="12"/>
      <c r="N855" s="12"/>
      <c r="O855" s="12"/>
      <c r="P855" s="12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K856" s="2"/>
      <c r="L856" s="3"/>
      <c r="M856" s="12"/>
      <c r="N856" s="12"/>
      <c r="O856" s="12"/>
      <c r="P856" s="12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K857" s="2"/>
      <c r="L857" s="3"/>
      <c r="M857" s="12"/>
      <c r="N857" s="12"/>
      <c r="O857" s="12"/>
      <c r="P857" s="12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K858" s="2"/>
      <c r="L858" s="3"/>
      <c r="M858" s="12"/>
      <c r="N858" s="12"/>
      <c r="O858" s="12"/>
      <c r="P858" s="12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K859" s="2"/>
      <c r="L859" s="3"/>
      <c r="M859" s="12"/>
      <c r="N859" s="12"/>
      <c r="O859" s="12"/>
      <c r="P859" s="12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K860" s="2"/>
      <c r="L860" s="3"/>
      <c r="M860" s="12"/>
      <c r="N860" s="12"/>
      <c r="O860" s="12"/>
      <c r="P860" s="12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K861" s="2"/>
      <c r="L861" s="3"/>
      <c r="M861" s="12"/>
      <c r="N861" s="12"/>
      <c r="O861" s="12"/>
      <c r="P861" s="12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K862" s="2"/>
      <c r="L862" s="3"/>
      <c r="M862" s="12"/>
      <c r="N862" s="12"/>
      <c r="O862" s="12"/>
      <c r="P862" s="12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K863" s="2"/>
      <c r="L863" s="3"/>
      <c r="M863" s="12"/>
      <c r="N863" s="12"/>
      <c r="O863" s="12"/>
      <c r="P863" s="12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K864" s="2"/>
      <c r="L864" s="3"/>
      <c r="M864" s="12"/>
      <c r="N864" s="12"/>
      <c r="O864" s="12"/>
      <c r="P864" s="12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K865" s="2"/>
      <c r="L865" s="3"/>
      <c r="M865" s="12"/>
      <c r="N865" s="12"/>
      <c r="O865" s="12"/>
      <c r="P865" s="12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K866" s="2"/>
      <c r="L866" s="3"/>
      <c r="M866" s="12"/>
      <c r="N866" s="12"/>
      <c r="O866" s="12"/>
      <c r="P866" s="12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K867" s="2"/>
      <c r="L867" s="3"/>
      <c r="M867" s="12"/>
      <c r="N867" s="12"/>
      <c r="O867" s="12"/>
      <c r="P867" s="12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K868" s="2"/>
      <c r="L868" s="3"/>
      <c r="M868" s="12"/>
      <c r="N868" s="12"/>
      <c r="O868" s="12"/>
      <c r="P868" s="12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K869" s="2"/>
      <c r="L869" s="3"/>
      <c r="M869" s="12"/>
      <c r="N869" s="12"/>
      <c r="O869" s="12"/>
      <c r="P869" s="12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K870" s="2"/>
      <c r="L870" s="3"/>
      <c r="M870" s="12"/>
      <c r="N870" s="12"/>
      <c r="O870" s="12"/>
      <c r="P870" s="12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K871" s="2"/>
      <c r="L871" s="3"/>
      <c r="M871" s="12"/>
      <c r="N871" s="12"/>
      <c r="O871" s="12"/>
      <c r="P871" s="12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K872" s="2"/>
      <c r="L872" s="3"/>
      <c r="M872" s="12"/>
      <c r="N872" s="12"/>
      <c r="O872" s="12"/>
      <c r="P872" s="12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K873" s="2"/>
      <c r="L873" s="3"/>
      <c r="M873" s="12"/>
      <c r="N873" s="12"/>
      <c r="O873" s="12"/>
      <c r="P873" s="12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K874" s="2"/>
      <c r="L874" s="3"/>
      <c r="M874" s="12"/>
      <c r="N874" s="12"/>
      <c r="O874" s="12"/>
      <c r="P874" s="12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K875" s="2"/>
      <c r="L875" s="3"/>
      <c r="M875" s="12"/>
      <c r="N875" s="12"/>
      <c r="O875" s="12"/>
      <c r="P875" s="12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K876" s="2"/>
      <c r="L876" s="3"/>
      <c r="M876" s="12"/>
      <c r="N876" s="12"/>
      <c r="O876" s="12"/>
      <c r="P876" s="12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K877" s="2"/>
      <c r="L877" s="3"/>
      <c r="M877" s="12"/>
      <c r="N877" s="12"/>
      <c r="O877" s="12"/>
      <c r="P877" s="12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K878" s="2"/>
      <c r="L878" s="3"/>
      <c r="M878" s="12"/>
      <c r="N878" s="12"/>
      <c r="O878" s="12"/>
      <c r="P878" s="12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K879" s="2"/>
      <c r="L879" s="3"/>
      <c r="M879" s="12"/>
      <c r="N879" s="12"/>
      <c r="O879" s="12"/>
      <c r="P879" s="12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K880" s="2"/>
      <c r="L880" s="3"/>
      <c r="M880" s="12"/>
      <c r="N880" s="12"/>
      <c r="O880" s="12"/>
      <c r="P880" s="12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K881" s="2"/>
      <c r="L881" s="3"/>
      <c r="M881" s="12"/>
      <c r="N881" s="12"/>
      <c r="O881" s="12"/>
      <c r="P881" s="12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K882" s="2"/>
      <c r="L882" s="3"/>
      <c r="M882" s="12"/>
      <c r="N882" s="12"/>
      <c r="O882" s="12"/>
      <c r="P882" s="12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K883" s="2"/>
      <c r="L883" s="3"/>
      <c r="M883" s="12"/>
      <c r="N883" s="12"/>
      <c r="O883" s="12"/>
      <c r="P883" s="12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K884" s="2"/>
      <c r="L884" s="3"/>
      <c r="M884" s="12"/>
      <c r="N884" s="12"/>
      <c r="O884" s="12"/>
      <c r="P884" s="12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K885" s="2"/>
      <c r="L885" s="3"/>
      <c r="M885" s="12"/>
      <c r="N885" s="12"/>
      <c r="O885" s="12"/>
      <c r="P885" s="12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K886" s="2"/>
      <c r="L886" s="3"/>
      <c r="M886" s="12"/>
      <c r="N886" s="12"/>
      <c r="O886" s="12"/>
      <c r="P886" s="12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K887" s="2"/>
      <c r="L887" s="3"/>
      <c r="M887" s="12"/>
      <c r="N887" s="12"/>
      <c r="O887" s="12"/>
      <c r="P887" s="12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K888" s="2"/>
      <c r="L888" s="3"/>
      <c r="M888" s="12"/>
      <c r="N888" s="12"/>
      <c r="O888" s="12"/>
      <c r="P888" s="12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K889" s="2"/>
      <c r="L889" s="3"/>
      <c r="M889" s="12"/>
      <c r="N889" s="12"/>
      <c r="O889" s="12"/>
      <c r="P889" s="12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K890" s="2"/>
      <c r="L890" s="3"/>
      <c r="M890" s="12"/>
      <c r="N890" s="12"/>
      <c r="O890" s="12"/>
      <c r="P890" s="12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K891" s="2"/>
      <c r="L891" s="3"/>
      <c r="M891" s="12"/>
      <c r="N891" s="12"/>
      <c r="O891" s="12"/>
      <c r="P891" s="12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K892" s="2"/>
      <c r="L892" s="3"/>
      <c r="M892" s="12"/>
      <c r="N892" s="12"/>
      <c r="O892" s="12"/>
      <c r="P892" s="12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K893" s="2"/>
      <c r="L893" s="3"/>
      <c r="M893" s="12"/>
      <c r="N893" s="12"/>
      <c r="O893" s="12"/>
      <c r="P893" s="12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K894" s="2"/>
      <c r="L894" s="3"/>
      <c r="M894" s="12"/>
      <c r="N894" s="12"/>
      <c r="O894" s="12"/>
      <c r="P894" s="12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K895" s="2"/>
      <c r="L895" s="3"/>
      <c r="M895" s="12"/>
      <c r="N895" s="12"/>
      <c r="O895" s="12"/>
      <c r="P895" s="12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K896" s="2"/>
      <c r="L896" s="3"/>
      <c r="M896" s="12"/>
      <c r="N896" s="12"/>
      <c r="O896" s="12"/>
      <c r="P896" s="12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K897" s="2"/>
      <c r="L897" s="3"/>
      <c r="M897" s="12"/>
      <c r="N897" s="12"/>
      <c r="O897" s="12"/>
      <c r="P897" s="12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K898" s="2"/>
      <c r="L898" s="3"/>
      <c r="M898" s="12"/>
      <c r="N898" s="12"/>
      <c r="O898" s="12"/>
      <c r="P898" s="12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K899" s="2"/>
      <c r="L899" s="3"/>
      <c r="M899" s="12"/>
      <c r="N899" s="12"/>
      <c r="O899" s="12"/>
      <c r="P899" s="12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K900" s="2"/>
      <c r="L900" s="3"/>
      <c r="M900" s="12"/>
      <c r="N900" s="12"/>
      <c r="O900" s="12"/>
      <c r="P900" s="12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K901" s="2"/>
      <c r="L901" s="3"/>
      <c r="M901" s="12"/>
      <c r="N901" s="12"/>
      <c r="O901" s="12"/>
      <c r="P901" s="12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K902" s="2"/>
      <c r="L902" s="3"/>
      <c r="M902" s="12"/>
      <c r="N902" s="12"/>
      <c r="O902" s="12"/>
      <c r="P902" s="12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K903" s="2"/>
      <c r="L903" s="3"/>
      <c r="M903" s="12"/>
      <c r="N903" s="12"/>
      <c r="O903" s="12"/>
      <c r="P903" s="12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K904" s="2"/>
      <c r="L904" s="3"/>
      <c r="M904" s="12"/>
      <c r="N904" s="12"/>
      <c r="O904" s="12"/>
      <c r="P904" s="12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K905" s="2"/>
      <c r="L905" s="3"/>
      <c r="M905" s="12"/>
      <c r="N905" s="12"/>
      <c r="O905" s="12"/>
      <c r="P905" s="12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K906" s="2"/>
      <c r="L906" s="3"/>
      <c r="M906" s="12"/>
      <c r="N906" s="12"/>
      <c r="O906" s="12"/>
      <c r="P906" s="12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K907" s="2"/>
      <c r="L907" s="3"/>
      <c r="M907" s="12"/>
      <c r="N907" s="12"/>
      <c r="O907" s="12"/>
      <c r="P907" s="12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K908" s="2"/>
      <c r="L908" s="3"/>
      <c r="M908" s="12"/>
      <c r="N908" s="12"/>
      <c r="O908" s="12"/>
      <c r="P908" s="12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K909" s="2"/>
      <c r="L909" s="3"/>
      <c r="M909" s="12"/>
      <c r="N909" s="12"/>
      <c r="O909" s="12"/>
      <c r="P909" s="12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K910" s="2"/>
      <c r="L910" s="3"/>
      <c r="M910" s="12"/>
      <c r="N910" s="12"/>
      <c r="O910" s="12"/>
      <c r="P910" s="12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K911" s="2"/>
      <c r="L911" s="3"/>
      <c r="M911" s="12"/>
      <c r="N911" s="12"/>
      <c r="O911" s="12"/>
      <c r="P911" s="12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K912" s="2"/>
      <c r="L912" s="3"/>
      <c r="M912" s="12"/>
      <c r="N912" s="12"/>
      <c r="O912" s="12"/>
      <c r="P912" s="12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K913" s="2"/>
      <c r="L913" s="3"/>
      <c r="M913" s="12"/>
      <c r="N913" s="12"/>
      <c r="O913" s="12"/>
      <c r="P913" s="12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K914" s="2"/>
      <c r="L914" s="3"/>
      <c r="M914" s="12"/>
      <c r="N914" s="12"/>
      <c r="O914" s="12"/>
      <c r="P914" s="12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K915" s="2"/>
      <c r="L915" s="3"/>
      <c r="M915" s="12"/>
      <c r="N915" s="12"/>
      <c r="O915" s="12"/>
      <c r="P915" s="12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K916" s="2"/>
      <c r="L916" s="3"/>
      <c r="M916" s="12"/>
      <c r="N916" s="12"/>
      <c r="O916" s="12"/>
      <c r="P916" s="12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K917" s="2"/>
      <c r="L917" s="3"/>
      <c r="M917" s="12"/>
      <c r="N917" s="12"/>
      <c r="O917" s="12"/>
      <c r="P917" s="12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K918" s="2"/>
      <c r="L918" s="3"/>
      <c r="M918" s="12"/>
      <c r="N918" s="12"/>
      <c r="O918" s="12"/>
      <c r="P918" s="12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K919" s="2"/>
      <c r="L919" s="3"/>
      <c r="M919" s="12"/>
      <c r="N919" s="12"/>
      <c r="O919" s="12"/>
      <c r="P919" s="12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K920" s="2"/>
      <c r="L920" s="3"/>
      <c r="M920" s="12"/>
      <c r="N920" s="12"/>
      <c r="O920" s="12"/>
      <c r="P920" s="12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K921" s="2"/>
      <c r="L921" s="3"/>
      <c r="M921" s="12"/>
      <c r="N921" s="12"/>
      <c r="O921" s="12"/>
      <c r="P921" s="12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K922" s="2"/>
      <c r="L922" s="3"/>
      <c r="M922" s="12"/>
      <c r="N922" s="12"/>
      <c r="O922" s="12"/>
      <c r="P922" s="12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K923" s="2"/>
      <c r="L923" s="3"/>
      <c r="M923" s="12"/>
      <c r="N923" s="12"/>
      <c r="O923" s="12"/>
      <c r="P923" s="12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K924" s="2"/>
      <c r="L924" s="3"/>
      <c r="M924" s="12"/>
      <c r="N924" s="12"/>
      <c r="O924" s="12"/>
      <c r="P924" s="12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K925" s="2"/>
      <c r="L925" s="3"/>
      <c r="M925" s="12"/>
      <c r="N925" s="12"/>
      <c r="O925" s="12"/>
      <c r="P925" s="12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K926" s="2"/>
      <c r="L926" s="3"/>
      <c r="M926" s="12"/>
      <c r="N926" s="12"/>
      <c r="O926" s="12"/>
      <c r="P926" s="12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K927" s="2"/>
      <c r="L927" s="3"/>
      <c r="M927" s="12"/>
      <c r="N927" s="12"/>
      <c r="O927" s="12"/>
      <c r="P927" s="12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K928" s="2"/>
      <c r="L928" s="3"/>
      <c r="M928" s="12"/>
      <c r="N928" s="12"/>
      <c r="O928" s="12"/>
      <c r="P928" s="12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K929" s="2"/>
      <c r="L929" s="3"/>
      <c r="M929" s="12"/>
      <c r="N929" s="12"/>
      <c r="O929" s="12"/>
      <c r="P929" s="12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K930" s="2"/>
      <c r="L930" s="3"/>
      <c r="M930" s="12"/>
      <c r="N930" s="12"/>
      <c r="O930" s="12"/>
      <c r="P930" s="12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K931" s="2"/>
      <c r="L931" s="3"/>
      <c r="M931" s="12"/>
      <c r="N931" s="12"/>
      <c r="O931" s="12"/>
      <c r="P931" s="12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K932" s="2"/>
      <c r="L932" s="3"/>
      <c r="M932" s="12"/>
      <c r="N932" s="12"/>
      <c r="O932" s="12"/>
      <c r="P932" s="12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K933" s="2"/>
      <c r="L933" s="3"/>
      <c r="M933" s="12"/>
      <c r="N933" s="12"/>
      <c r="O933" s="12"/>
      <c r="P933" s="12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K934" s="2"/>
      <c r="L934" s="3"/>
      <c r="M934" s="12"/>
      <c r="N934" s="12"/>
      <c r="O934" s="12"/>
      <c r="P934" s="12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K935" s="2"/>
      <c r="L935" s="3"/>
      <c r="M935" s="12"/>
      <c r="N935" s="12"/>
      <c r="O935" s="12"/>
      <c r="P935" s="12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K936" s="2"/>
      <c r="L936" s="3"/>
      <c r="M936" s="12"/>
      <c r="N936" s="12"/>
      <c r="O936" s="12"/>
      <c r="P936" s="12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K937" s="2"/>
      <c r="L937" s="3"/>
      <c r="M937" s="12"/>
      <c r="N937" s="12"/>
      <c r="O937" s="12"/>
      <c r="P937" s="12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K938" s="2"/>
      <c r="L938" s="3"/>
      <c r="M938" s="12"/>
      <c r="N938" s="12"/>
      <c r="O938" s="12"/>
      <c r="P938" s="12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K939" s="2"/>
      <c r="L939" s="3"/>
      <c r="M939" s="12"/>
      <c r="N939" s="12"/>
      <c r="O939" s="12"/>
      <c r="P939" s="12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K940" s="2"/>
      <c r="L940" s="3"/>
      <c r="M940" s="12"/>
      <c r="N940" s="12"/>
      <c r="O940" s="12"/>
      <c r="P940" s="12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K941" s="2"/>
      <c r="L941" s="3"/>
      <c r="M941" s="12"/>
      <c r="N941" s="12"/>
      <c r="O941" s="12"/>
      <c r="P941" s="12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K942" s="2"/>
      <c r="L942" s="3"/>
      <c r="M942" s="12"/>
      <c r="N942" s="12"/>
      <c r="O942" s="12"/>
      <c r="P942" s="12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K943" s="2"/>
      <c r="L943" s="3"/>
      <c r="M943" s="12"/>
      <c r="N943" s="12"/>
      <c r="O943" s="12"/>
      <c r="P943" s="12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K944" s="2"/>
      <c r="L944" s="3"/>
      <c r="M944" s="12"/>
      <c r="N944" s="12"/>
      <c r="O944" s="12"/>
      <c r="P944" s="12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K945" s="2"/>
      <c r="L945" s="3"/>
      <c r="M945" s="12"/>
      <c r="N945" s="12"/>
      <c r="O945" s="12"/>
      <c r="P945" s="12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K946" s="2"/>
      <c r="L946" s="3"/>
      <c r="M946" s="12"/>
      <c r="N946" s="12"/>
      <c r="O946" s="12"/>
      <c r="P946" s="12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K947" s="2"/>
      <c r="L947" s="3"/>
      <c r="M947" s="12"/>
      <c r="N947" s="12"/>
      <c r="O947" s="12"/>
      <c r="P947" s="12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K948" s="2"/>
      <c r="L948" s="3"/>
      <c r="M948" s="12"/>
      <c r="N948" s="12"/>
      <c r="O948" s="12"/>
      <c r="P948" s="12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K949" s="2"/>
      <c r="L949" s="3"/>
      <c r="M949" s="12"/>
      <c r="N949" s="12"/>
      <c r="O949" s="12"/>
      <c r="P949" s="12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K950" s="2"/>
      <c r="L950" s="3"/>
      <c r="M950" s="12"/>
      <c r="N950" s="12"/>
      <c r="O950" s="12"/>
      <c r="P950" s="12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K951" s="2"/>
      <c r="L951" s="3"/>
      <c r="M951" s="12"/>
      <c r="N951" s="12"/>
      <c r="O951" s="12"/>
      <c r="P951" s="12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K952" s="2"/>
      <c r="L952" s="3"/>
      <c r="M952" s="12"/>
      <c r="N952" s="12"/>
      <c r="O952" s="12"/>
      <c r="P952" s="12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K953" s="2"/>
      <c r="L953" s="3"/>
      <c r="M953" s="12"/>
      <c r="N953" s="12"/>
      <c r="O953" s="12"/>
      <c r="P953" s="12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K954" s="2"/>
      <c r="L954" s="3"/>
      <c r="M954" s="12"/>
      <c r="N954" s="12"/>
      <c r="O954" s="12"/>
      <c r="P954" s="12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K955" s="2"/>
      <c r="L955" s="3"/>
      <c r="M955" s="12"/>
      <c r="N955" s="12"/>
      <c r="O955" s="12"/>
      <c r="P955" s="12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K956" s="2"/>
      <c r="L956" s="3"/>
      <c r="M956" s="12"/>
      <c r="N956" s="12"/>
      <c r="O956" s="12"/>
      <c r="P956" s="12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K957" s="2"/>
      <c r="L957" s="3"/>
      <c r="M957" s="12"/>
      <c r="N957" s="12"/>
      <c r="O957" s="12"/>
      <c r="P957" s="12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K958" s="2"/>
      <c r="L958" s="3"/>
      <c r="M958" s="12"/>
      <c r="N958" s="12"/>
      <c r="O958" s="12"/>
      <c r="P958" s="12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K959" s="2"/>
      <c r="L959" s="3"/>
      <c r="M959" s="12"/>
      <c r="N959" s="12"/>
      <c r="O959" s="12"/>
      <c r="P959" s="12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K960" s="2"/>
      <c r="L960" s="3"/>
      <c r="M960" s="12"/>
      <c r="N960" s="12"/>
      <c r="O960" s="12"/>
      <c r="P960" s="12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K961" s="2"/>
      <c r="L961" s="3"/>
      <c r="M961" s="12"/>
      <c r="N961" s="12"/>
      <c r="O961" s="12"/>
      <c r="P961" s="12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K962" s="2"/>
      <c r="L962" s="3"/>
      <c r="M962" s="12"/>
      <c r="N962" s="12"/>
      <c r="O962" s="12"/>
      <c r="P962" s="12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K963" s="2"/>
      <c r="L963" s="3"/>
      <c r="M963" s="12"/>
      <c r="N963" s="12"/>
      <c r="O963" s="12"/>
      <c r="P963" s="12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K964" s="2"/>
      <c r="L964" s="3"/>
      <c r="M964" s="12"/>
      <c r="N964" s="12"/>
      <c r="O964" s="12"/>
      <c r="P964" s="12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K965" s="2"/>
      <c r="L965" s="3"/>
      <c r="M965" s="12"/>
      <c r="N965" s="12"/>
      <c r="O965" s="12"/>
      <c r="P965" s="12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K966" s="2"/>
      <c r="L966" s="3"/>
      <c r="M966" s="12"/>
      <c r="N966" s="12"/>
      <c r="O966" s="12"/>
      <c r="P966" s="12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K967" s="2"/>
      <c r="L967" s="3"/>
      <c r="M967" s="12"/>
      <c r="N967" s="12"/>
      <c r="O967" s="12"/>
      <c r="P967" s="12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K968" s="2"/>
      <c r="L968" s="3"/>
      <c r="M968" s="12"/>
      <c r="N968" s="12"/>
      <c r="O968" s="12"/>
      <c r="P968" s="12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K969" s="2"/>
      <c r="L969" s="3"/>
      <c r="M969" s="12"/>
      <c r="N969" s="12"/>
      <c r="O969" s="12"/>
      <c r="P969" s="12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K970" s="2"/>
      <c r="L970" s="3"/>
      <c r="M970" s="12"/>
      <c r="N970" s="12"/>
      <c r="O970" s="12"/>
      <c r="P970" s="12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K971" s="2"/>
      <c r="L971" s="3"/>
      <c r="M971" s="12"/>
      <c r="N971" s="12"/>
      <c r="O971" s="12"/>
      <c r="P971" s="12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K972" s="2"/>
      <c r="L972" s="3"/>
      <c r="M972" s="12"/>
      <c r="N972" s="12"/>
      <c r="O972" s="12"/>
      <c r="P972" s="12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K973" s="2"/>
      <c r="L973" s="3"/>
      <c r="M973" s="12"/>
      <c r="N973" s="12"/>
      <c r="O973" s="12"/>
      <c r="P973" s="12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K974" s="2"/>
      <c r="L974" s="3"/>
      <c r="M974" s="12"/>
      <c r="N974" s="12"/>
      <c r="O974" s="12"/>
      <c r="P974" s="12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K975" s="2"/>
      <c r="L975" s="3"/>
      <c r="M975" s="12"/>
      <c r="N975" s="12"/>
      <c r="O975" s="12"/>
      <c r="P975" s="12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K976" s="2"/>
      <c r="L976" s="3"/>
      <c r="M976" s="12"/>
      <c r="N976" s="12"/>
      <c r="O976" s="12"/>
      <c r="P976" s="12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K977" s="2"/>
      <c r="L977" s="3"/>
      <c r="M977" s="12"/>
      <c r="N977" s="12"/>
      <c r="O977" s="12"/>
      <c r="P977" s="12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K978" s="2"/>
      <c r="L978" s="3"/>
      <c r="M978" s="12"/>
      <c r="N978" s="12"/>
      <c r="O978" s="12"/>
      <c r="P978" s="12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K979" s="2"/>
      <c r="L979" s="3"/>
      <c r="M979" s="12"/>
      <c r="N979" s="12"/>
      <c r="O979" s="12"/>
      <c r="P979" s="12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K980" s="2"/>
      <c r="L980" s="3"/>
      <c r="M980" s="12"/>
      <c r="N980" s="12"/>
      <c r="O980" s="12"/>
      <c r="P980" s="12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K981" s="2"/>
      <c r="L981" s="3"/>
      <c r="M981" s="12"/>
      <c r="N981" s="12"/>
      <c r="O981" s="12"/>
      <c r="P981" s="12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K982" s="2"/>
      <c r="L982" s="3"/>
      <c r="M982" s="12"/>
      <c r="N982" s="12"/>
      <c r="O982" s="12"/>
      <c r="P982" s="12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K983" s="2"/>
      <c r="L983" s="3"/>
      <c r="M983" s="12"/>
      <c r="N983" s="12"/>
      <c r="O983" s="12"/>
      <c r="P983" s="12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K984" s="2"/>
      <c r="L984" s="3"/>
      <c r="M984" s="12"/>
      <c r="N984" s="12"/>
      <c r="O984" s="12"/>
      <c r="P984" s="12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K985" s="2"/>
      <c r="L985" s="3"/>
      <c r="M985" s="12"/>
      <c r="N985" s="12"/>
      <c r="O985" s="12"/>
      <c r="P985" s="12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K986" s="2"/>
      <c r="L986" s="3"/>
      <c r="M986" s="12"/>
      <c r="N986" s="12"/>
      <c r="O986" s="12"/>
      <c r="P986" s="12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K987" s="2"/>
      <c r="L987" s="3"/>
      <c r="M987" s="12"/>
      <c r="N987" s="12"/>
      <c r="O987" s="12"/>
      <c r="P987" s="12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K988" s="2"/>
      <c r="L988" s="3"/>
      <c r="M988" s="12"/>
      <c r="N988" s="12"/>
      <c r="O988" s="12"/>
      <c r="P988" s="12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K989" s="2"/>
      <c r="L989" s="3"/>
      <c r="M989" s="12"/>
      <c r="N989" s="12"/>
      <c r="O989" s="12"/>
      <c r="P989" s="12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K990" s="2"/>
      <c r="L990" s="3"/>
      <c r="M990" s="12"/>
      <c r="N990" s="12"/>
      <c r="O990" s="12"/>
      <c r="P990" s="12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K991" s="2"/>
      <c r="L991" s="3"/>
      <c r="M991" s="12"/>
      <c r="N991" s="12"/>
      <c r="O991" s="12"/>
      <c r="P991" s="12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K992" s="2"/>
      <c r="L992" s="3"/>
      <c r="M992" s="12"/>
      <c r="N992" s="12"/>
      <c r="O992" s="12"/>
      <c r="P992" s="12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K993" s="2"/>
      <c r="L993" s="3"/>
      <c r="M993" s="12"/>
      <c r="N993" s="12"/>
      <c r="O993" s="12"/>
      <c r="P993" s="12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K994" s="2"/>
      <c r="L994" s="3"/>
      <c r="M994" s="12"/>
      <c r="N994" s="12"/>
      <c r="O994" s="12"/>
      <c r="P994" s="12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K995" s="2"/>
      <c r="L995" s="3"/>
      <c r="M995" s="12"/>
      <c r="N995" s="12"/>
      <c r="O995" s="12"/>
      <c r="P995" s="12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K996" s="2"/>
      <c r="L996" s="3"/>
      <c r="M996" s="12"/>
      <c r="N996" s="12"/>
      <c r="O996" s="12"/>
      <c r="P996" s="12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K997" s="2"/>
      <c r="L997" s="3"/>
      <c r="M997" s="12"/>
      <c r="N997" s="12"/>
      <c r="O997" s="12"/>
      <c r="P997" s="12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K998" s="2"/>
      <c r="L998" s="3"/>
      <c r="M998" s="12"/>
      <c r="N998" s="12"/>
      <c r="O998" s="12"/>
      <c r="P998" s="12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K999" s="2"/>
      <c r="L999" s="3"/>
      <c r="M999" s="12"/>
      <c r="N999" s="12"/>
      <c r="O999" s="12"/>
      <c r="P999" s="12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K1000" s="2"/>
      <c r="L1000" s="3"/>
      <c r="M1000" s="12"/>
      <c r="N1000" s="12"/>
      <c r="O1000" s="12"/>
      <c r="P1000" s="12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0">
    <mergeCell ref="A58:A65"/>
    <mergeCell ref="A66:A73"/>
    <mergeCell ref="A74:A81"/>
    <mergeCell ref="A2:A9"/>
    <mergeCell ref="A10:A17"/>
    <mergeCell ref="A18:A25"/>
    <mergeCell ref="A26:A33"/>
    <mergeCell ref="A34:A41"/>
    <mergeCell ref="A42:A49"/>
    <mergeCell ref="A50:A57"/>
  </mergeCells>
  <drawing r:id="rId10"/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13"/>
    <col customWidth="1" min="4" max="4" width="23.0"/>
    <col customWidth="1" min="5" max="5" width="12.63"/>
    <col customWidth="1" min="6" max="6" width="11.63"/>
  </cols>
  <sheetData>
    <row r="1">
      <c r="B1" s="26" t="s">
        <v>36</v>
      </c>
      <c r="C1" s="27"/>
      <c r="D1" s="27"/>
      <c r="E1" s="27"/>
      <c r="F1" s="28"/>
      <c r="I1" s="26" t="s">
        <v>37</v>
      </c>
      <c r="J1" s="27"/>
      <c r="K1" s="27"/>
      <c r="L1" s="27"/>
      <c r="M1" s="27"/>
      <c r="N1" s="27"/>
      <c r="O1" s="27"/>
      <c r="P1" s="28"/>
    </row>
    <row r="2">
      <c r="B2" s="29"/>
      <c r="C2" s="30"/>
      <c r="D2" s="30"/>
      <c r="E2" s="30"/>
      <c r="F2" s="30"/>
    </row>
    <row r="3">
      <c r="A3" s="31">
        <v>2016.0</v>
      </c>
      <c r="E3" s="33" t="s">
        <v>12</v>
      </c>
      <c r="F3" s="33" t="s">
        <v>13</v>
      </c>
      <c r="I3" s="32" t="s">
        <v>2</v>
      </c>
      <c r="J3" s="33">
        <v>2016.0</v>
      </c>
      <c r="K3" s="33">
        <v>2017.0</v>
      </c>
      <c r="L3" s="33">
        <v>2018.0</v>
      </c>
      <c r="M3" s="33">
        <v>2019.0</v>
      </c>
      <c r="N3" s="33">
        <v>2020.0</v>
      </c>
      <c r="O3" s="33">
        <v>2021.0</v>
      </c>
      <c r="P3" s="33">
        <v>2022.0</v>
      </c>
    </row>
    <row r="4">
      <c r="E4" s="34">
        <f t="shared" ref="E4:E13" si="1">(D4/$D$14)</f>
        <v>0.2729481556</v>
      </c>
      <c r="F4" s="35">
        <f t="shared" ref="F4:F13" si="2">E4*C4</f>
        <v>125.496103</v>
      </c>
      <c r="H4" s="36" t="s">
        <v>12</v>
      </c>
      <c r="I4" s="37" t="str">
        <f t="shared" ref="I4:I13" si="3">B4</f>
        <v>COP</v>
      </c>
      <c r="J4" s="38">
        <f t="shared" ref="J4:J13" si="4">E4</f>
        <v>0.2729481556</v>
      </c>
      <c r="K4" s="38">
        <f t="shared" ref="K4:K13" si="5">E17</f>
        <v>0.2729481556</v>
      </c>
      <c r="L4" s="38">
        <f t="shared" ref="L4:L13" si="6">E30</f>
        <v>0.2729481556</v>
      </c>
      <c r="M4" s="38">
        <f t="shared" ref="M4:M13" si="7">E43</f>
        <v>0.2729481556</v>
      </c>
      <c r="N4" s="38">
        <f t="shared" ref="N4:N13" si="8">E56</f>
        <v>0.2729481556</v>
      </c>
      <c r="O4" s="38">
        <f t="shared" ref="O4:O13" si="9">E69</f>
        <v>0.2729481556</v>
      </c>
      <c r="P4" s="38">
        <f t="shared" ref="P4:P13" si="10">E82</f>
        <v>0.2729481556</v>
      </c>
    </row>
    <row r="5">
      <c r="E5" s="34">
        <f t="shared" si="1"/>
        <v>0.03981414282</v>
      </c>
      <c r="F5" s="35">
        <f t="shared" si="2"/>
        <v>5.671524644</v>
      </c>
      <c r="I5" s="37" t="str">
        <f t="shared" si="3"/>
        <v>CTRA</v>
      </c>
      <c r="J5" s="38">
        <f t="shared" si="4"/>
        <v>0.03981414282</v>
      </c>
      <c r="K5" s="38">
        <f t="shared" si="5"/>
        <v>0.03981414282</v>
      </c>
      <c r="L5" s="38">
        <f t="shared" si="6"/>
        <v>0.03981414282</v>
      </c>
      <c r="M5" s="38">
        <f t="shared" si="7"/>
        <v>0.03981414282</v>
      </c>
      <c r="N5" s="38">
        <f t="shared" si="8"/>
        <v>0.03981414282</v>
      </c>
      <c r="O5" s="38">
        <f t="shared" si="9"/>
        <v>0.03981414282</v>
      </c>
      <c r="P5" s="38">
        <f t="shared" si="10"/>
        <v>0.03981414282</v>
      </c>
    </row>
    <row r="6">
      <c r="E6" s="34">
        <f t="shared" si="1"/>
        <v>0.06736139598</v>
      </c>
      <c r="F6" s="35">
        <f t="shared" si="2"/>
        <v>16.19570044</v>
      </c>
      <c r="I6" s="37" t="str">
        <f t="shared" si="3"/>
        <v>DVN</v>
      </c>
      <c r="J6" s="38">
        <f t="shared" si="4"/>
        <v>0.06736139598</v>
      </c>
      <c r="K6" s="38">
        <f t="shared" si="5"/>
        <v>0.06736139598</v>
      </c>
      <c r="L6" s="38">
        <f t="shared" si="6"/>
        <v>0.06736139598</v>
      </c>
      <c r="M6" s="38">
        <f t="shared" si="7"/>
        <v>0.06736139598</v>
      </c>
      <c r="N6" s="38">
        <f t="shared" si="8"/>
        <v>0.06736139598</v>
      </c>
      <c r="O6" s="38">
        <f t="shared" si="9"/>
        <v>0.06736139598</v>
      </c>
      <c r="P6" s="38">
        <f t="shared" si="10"/>
        <v>0.06736139598</v>
      </c>
    </row>
    <row r="7">
      <c r="E7" s="34">
        <f t="shared" si="1"/>
        <v>0.1765643243</v>
      </c>
      <c r="F7" s="35">
        <f t="shared" si="2"/>
        <v>111.0624912</v>
      </c>
      <c r="I7" s="37" t="str">
        <f t="shared" si="3"/>
        <v>EOG</v>
      </c>
      <c r="J7" s="38">
        <f t="shared" si="4"/>
        <v>0.1765643243</v>
      </c>
      <c r="K7" s="38">
        <f t="shared" si="5"/>
        <v>0.1765643243</v>
      </c>
      <c r="L7" s="38">
        <f t="shared" si="6"/>
        <v>0.1765643243</v>
      </c>
      <c r="M7" s="38">
        <f t="shared" si="7"/>
        <v>0.1765643243</v>
      </c>
      <c r="N7" s="38">
        <f t="shared" si="8"/>
        <v>0.1765643243</v>
      </c>
      <c r="O7" s="38">
        <f t="shared" si="9"/>
        <v>0.1765643243</v>
      </c>
      <c r="P7" s="38">
        <f t="shared" si="10"/>
        <v>0.1765643243</v>
      </c>
    </row>
    <row r="8">
      <c r="E8" s="34">
        <f t="shared" si="1"/>
        <v>0.0291920419</v>
      </c>
      <c r="F8" s="35">
        <f t="shared" si="2"/>
        <v>5.370168029</v>
      </c>
      <c r="I8" s="37" t="str">
        <f t="shared" si="3"/>
        <v>EQT</v>
      </c>
      <c r="J8" s="38">
        <f t="shared" si="4"/>
        <v>0.0291920419</v>
      </c>
      <c r="K8" s="38">
        <f t="shared" si="5"/>
        <v>0.0291920419</v>
      </c>
      <c r="L8" s="38">
        <f t="shared" si="6"/>
        <v>0.0291920419</v>
      </c>
      <c r="M8" s="38">
        <f t="shared" si="7"/>
        <v>0.0291920419</v>
      </c>
      <c r="N8" s="38">
        <f t="shared" si="8"/>
        <v>0.0291920419</v>
      </c>
      <c r="O8" s="38">
        <f t="shared" si="9"/>
        <v>0.0291920419</v>
      </c>
      <c r="P8" s="38">
        <f t="shared" si="10"/>
        <v>0.0291920419</v>
      </c>
    </row>
    <row r="9">
      <c r="E9" s="34">
        <f t="shared" si="1"/>
        <v>0.05177731848</v>
      </c>
      <c r="F9" s="35">
        <f t="shared" si="2"/>
        <v>36.37408401</v>
      </c>
      <c r="I9" s="37" t="str">
        <f t="shared" si="3"/>
        <v>FANG</v>
      </c>
      <c r="J9" s="38">
        <f t="shared" si="4"/>
        <v>0.05177731848</v>
      </c>
      <c r="K9" s="38">
        <f t="shared" si="5"/>
        <v>0.05177731848</v>
      </c>
      <c r="L9" s="38">
        <f t="shared" si="6"/>
        <v>0.05177731848</v>
      </c>
      <c r="M9" s="38">
        <f t="shared" si="7"/>
        <v>0.05177731848</v>
      </c>
      <c r="N9" s="38">
        <f t="shared" si="8"/>
        <v>0.05177731848</v>
      </c>
      <c r="O9" s="38">
        <f t="shared" si="9"/>
        <v>0.05177731848</v>
      </c>
      <c r="P9" s="38">
        <f t="shared" si="10"/>
        <v>0.05177731848</v>
      </c>
    </row>
    <row r="10">
      <c r="E10" s="34">
        <f t="shared" si="1"/>
        <v>0.07655959105</v>
      </c>
      <c r="F10" s="35">
        <f t="shared" si="2"/>
        <v>40.16852064</v>
      </c>
      <c r="I10" s="37" t="str">
        <f t="shared" si="3"/>
        <v>HES</v>
      </c>
      <c r="J10" s="38">
        <f t="shared" si="4"/>
        <v>0.07655959105</v>
      </c>
      <c r="K10" s="38">
        <f t="shared" si="5"/>
        <v>0.07655959105</v>
      </c>
      <c r="L10" s="38">
        <f t="shared" si="6"/>
        <v>0.07655959105</v>
      </c>
      <c r="M10" s="38">
        <f t="shared" si="7"/>
        <v>0.07655959105</v>
      </c>
      <c r="N10" s="38">
        <f t="shared" si="8"/>
        <v>0.07655959105</v>
      </c>
      <c r="O10" s="38">
        <f t="shared" si="9"/>
        <v>0.07655959105</v>
      </c>
      <c r="P10" s="38">
        <f t="shared" si="10"/>
        <v>0.07655959105</v>
      </c>
    </row>
    <row r="11">
      <c r="E11" s="34">
        <f t="shared" si="1"/>
        <v>0.03981414282</v>
      </c>
      <c r="F11" s="35">
        <f t="shared" si="2"/>
        <v>4.746243965</v>
      </c>
      <c r="I11" s="37" t="str">
        <f t="shared" si="3"/>
        <v>MRO</v>
      </c>
      <c r="J11" s="38">
        <f t="shared" si="4"/>
        <v>0.03981414282</v>
      </c>
      <c r="K11" s="38">
        <f t="shared" si="5"/>
        <v>0.03981414282</v>
      </c>
      <c r="L11" s="38">
        <f t="shared" si="6"/>
        <v>0.03981414282</v>
      </c>
      <c r="M11" s="38">
        <f t="shared" si="7"/>
        <v>0.03981414282</v>
      </c>
      <c r="N11" s="38">
        <f t="shared" si="8"/>
        <v>0.03981414282</v>
      </c>
      <c r="O11" s="38">
        <f t="shared" si="9"/>
        <v>0.03981414282</v>
      </c>
      <c r="P11" s="38">
        <f t="shared" si="10"/>
        <v>0.03981414282</v>
      </c>
    </row>
    <row r="12">
      <c r="E12" s="34">
        <f t="shared" si="1"/>
        <v>0.136651573</v>
      </c>
      <c r="F12" s="35">
        <f t="shared" si="2"/>
        <v>53.24628542</v>
      </c>
      <c r="I12" s="37" t="str">
        <f t="shared" si="3"/>
        <v>OXY</v>
      </c>
      <c r="J12" s="38">
        <f t="shared" si="4"/>
        <v>0.136651573</v>
      </c>
      <c r="K12" s="38">
        <f t="shared" si="5"/>
        <v>0.136651573</v>
      </c>
      <c r="L12" s="38">
        <f t="shared" si="6"/>
        <v>0.136651573</v>
      </c>
      <c r="M12" s="38">
        <f t="shared" si="7"/>
        <v>0.136651573</v>
      </c>
      <c r="N12" s="38">
        <f t="shared" si="8"/>
        <v>0.136651573</v>
      </c>
      <c r="O12" s="38">
        <f t="shared" si="9"/>
        <v>0.136651573</v>
      </c>
      <c r="P12" s="38">
        <f t="shared" si="10"/>
        <v>0.136651573</v>
      </c>
    </row>
    <row r="13">
      <c r="E13" s="34">
        <f t="shared" si="1"/>
        <v>0.1093173141</v>
      </c>
      <c r="F13" s="35">
        <f t="shared" si="2"/>
        <v>120.2512318</v>
      </c>
      <c r="I13" s="37" t="str">
        <f t="shared" si="3"/>
        <v>PXD</v>
      </c>
      <c r="J13" s="38">
        <f t="shared" si="4"/>
        <v>0.1093173141</v>
      </c>
      <c r="K13" s="38">
        <f t="shared" si="5"/>
        <v>0.1093173141</v>
      </c>
      <c r="L13" s="38">
        <f t="shared" si="6"/>
        <v>0.1093173141</v>
      </c>
      <c r="M13" s="38">
        <f t="shared" si="7"/>
        <v>0.1093173141</v>
      </c>
      <c r="N13" s="38">
        <f t="shared" si="8"/>
        <v>0.1093173141</v>
      </c>
      <c r="O13" s="38">
        <f t="shared" si="9"/>
        <v>0.1093173141</v>
      </c>
      <c r="P13" s="38">
        <f t="shared" si="10"/>
        <v>0.1093173141</v>
      </c>
    </row>
    <row r="14">
      <c r="E14" s="40">
        <v>1.0</v>
      </c>
      <c r="F14" s="41">
        <f>SUM(F4:F13)</f>
        <v>518.5823532</v>
      </c>
      <c r="J14" s="42">
        <f t="shared" ref="J14:P14" si="11">SUM(J4:J13)</f>
        <v>1</v>
      </c>
      <c r="K14" s="42">
        <f t="shared" si="11"/>
        <v>1</v>
      </c>
      <c r="L14" s="42">
        <f t="shared" si="11"/>
        <v>1</v>
      </c>
      <c r="M14" s="42">
        <f t="shared" si="11"/>
        <v>1</v>
      </c>
      <c r="N14" s="42">
        <f t="shared" si="11"/>
        <v>1</v>
      </c>
      <c r="O14" s="42">
        <f t="shared" si="11"/>
        <v>1</v>
      </c>
      <c r="P14" s="42">
        <f t="shared" si="11"/>
        <v>1</v>
      </c>
    </row>
    <row r="16">
      <c r="A16" s="31">
        <v>2017.0</v>
      </c>
      <c r="E16" s="33" t="s">
        <v>12</v>
      </c>
      <c r="F16" s="33" t="s">
        <v>13</v>
      </c>
      <c r="H16" s="43" t="s">
        <v>13</v>
      </c>
      <c r="I16" s="32" t="s">
        <v>2</v>
      </c>
      <c r="J16" s="33">
        <v>2016.0</v>
      </c>
      <c r="K16" s="33">
        <v>2017.0</v>
      </c>
      <c r="L16" s="33">
        <v>2018.0</v>
      </c>
      <c r="M16" s="33">
        <v>2019.0</v>
      </c>
      <c r="N16" s="33">
        <v>2020.0</v>
      </c>
      <c r="O16" s="33">
        <v>2021.0</v>
      </c>
      <c r="P16" s="33">
        <v>2022.0</v>
      </c>
    </row>
    <row r="17">
      <c r="E17" s="34">
        <f t="shared" ref="E17:E26" si="12">(D17/$D$27)</f>
        <v>0.2729481556</v>
      </c>
      <c r="F17" s="35">
        <f t="shared" ref="F17:F26" si="13">E17*C17</f>
        <v>125.496103</v>
      </c>
      <c r="I17" s="37" t="str">
        <f t="shared" ref="I17:I26" si="14">B17</f>
        <v>COP</v>
      </c>
      <c r="J17" s="35">
        <f t="shared" ref="J17:J27" si="15">F4</f>
        <v>125.496103</v>
      </c>
      <c r="K17" s="35">
        <f t="shared" ref="K17:K27" si="16">F17</f>
        <v>125.496103</v>
      </c>
      <c r="L17" s="35">
        <f t="shared" ref="L17:L27" si="17">F30</f>
        <v>125.496103</v>
      </c>
      <c r="M17" s="35">
        <f t="shared" ref="M17:M27" si="18">F43</f>
        <v>125.496103</v>
      </c>
      <c r="N17" s="35">
        <f t="shared" ref="N17:N27" si="19">F56</f>
        <v>125.496103</v>
      </c>
      <c r="O17" s="35">
        <f t="shared" ref="O17:O27" si="20">F69</f>
        <v>125.496103</v>
      </c>
      <c r="P17" s="35">
        <f t="shared" ref="P17:P27" si="21">F82</f>
        <v>125.496103</v>
      </c>
    </row>
    <row r="18">
      <c r="E18" s="34">
        <f t="shared" si="12"/>
        <v>0.03981414282</v>
      </c>
      <c r="F18" s="35">
        <f t="shared" si="13"/>
        <v>5.671524644</v>
      </c>
      <c r="I18" s="37" t="str">
        <f t="shared" si="14"/>
        <v>CTRA</v>
      </c>
      <c r="J18" s="35">
        <f t="shared" si="15"/>
        <v>5.671524644</v>
      </c>
      <c r="K18" s="35">
        <f t="shared" si="16"/>
        <v>5.671524644</v>
      </c>
      <c r="L18" s="35">
        <f t="shared" si="17"/>
        <v>5.671524644</v>
      </c>
      <c r="M18" s="35">
        <f t="shared" si="18"/>
        <v>5.671524644</v>
      </c>
      <c r="N18" s="35">
        <f t="shared" si="19"/>
        <v>5.671524644</v>
      </c>
      <c r="O18" s="35">
        <f t="shared" si="20"/>
        <v>5.671524644</v>
      </c>
      <c r="P18" s="35">
        <f t="shared" si="21"/>
        <v>5.671524644</v>
      </c>
    </row>
    <row r="19">
      <c r="E19" s="34">
        <f t="shared" si="12"/>
        <v>0.06736139598</v>
      </c>
      <c r="F19" s="35">
        <f t="shared" si="13"/>
        <v>16.19570044</v>
      </c>
      <c r="I19" s="37" t="str">
        <f t="shared" si="14"/>
        <v>DVN</v>
      </c>
      <c r="J19" s="35">
        <f t="shared" si="15"/>
        <v>16.19570044</v>
      </c>
      <c r="K19" s="35">
        <f t="shared" si="16"/>
        <v>16.19570044</v>
      </c>
      <c r="L19" s="35">
        <f t="shared" si="17"/>
        <v>16.19570044</v>
      </c>
      <c r="M19" s="35">
        <f t="shared" si="18"/>
        <v>16.19570044</v>
      </c>
      <c r="N19" s="35">
        <f t="shared" si="19"/>
        <v>16.19570044</v>
      </c>
      <c r="O19" s="35">
        <f t="shared" si="20"/>
        <v>16.19570044</v>
      </c>
      <c r="P19" s="35">
        <f t="shared" si="21"/>
        <v>16.19570044</v>
      </c>
    </row>
    <row r="20">
      <c r="E20" s="34">
        <f t="shared" si="12"/>
        <v>0.1765643243</v>
      </c>
      <c r="F20" s="35">
        <f t="shared" si="13"/>
        <v>111.0624912</v>
      </c>
      <c r="I20" s="37" t="str">
        <f t="shared" si="14"/>
        <v>EOG</v>
      </c>
      <c r="J20" s="35">
        <f t="shared" si="15"/>
        <v>111.0624912</v>
      </c>
      <c r="K20" s="35">
        <f t="shared" si="16"/>
        <v>111.0624912</v>
      </c>
      <c r="L20" s="35">
        <f t="shared" si="17"/>
        <v>111.0624912</v>
      </c>
      <c r="M20" s="35">
        <f t="shared" si="18"/>
        <v>111.0624912</v>
      </c>
      <c r="N20" s="35">
        <f t="shared" si="19"/>
        <v>111.0624912</v>
      </c>
      <c r="O20" s="35">
        <f t="shared" si="20"/>
        <v>111.0624912</v>
      </c>
      <c r="P20" s="35">
        <f t="shared" si="21"/>
        <v>111.0624912</v>
      </c>
    </row>
    <row r="21">
      <c r="E21" s="34">
        <f t="shared" si="12"/>
        <v>0.0291920419</v>
      </c>
      <c r="F21" s="35">
        <f t="shared" si="13"/>
        <v>5.370168029</v>
      </c>
      <c r="I21" s="37" t="str">
        <f t="shared" si="14"/>
        <v>EQT</v>
      </c>
      <c r="J21" s="35">
        <f t="shared" si="15"/>
        <v>5.370168029</v>
      </c>
      <c r="K21" s="35">
        <f t="shared" si="16"/>
        <v>5.370168029</v>
      </c>
      <c r="L21" s="35">
        <f t="shared" si="17"/>
        <v>5.370168029</v>
      </c>
      <c r="M21" s="35">
        <f t="shared" si="18"/>
        <v>5.370168029</v>
      </c>
      <c r="N21" s="35">
        <f t="shared" si="19"/>
        <v>5.370168029</v>
      </c>
      <c r="O21" s="35">
        <f t="shared" si="20"/>
        <v>5.370168029</v>
      </c>
      <c r="P21" s="35">
        <f t="shared" si="21"/>
        <v>5.370168029</v>
      </c>
    </row>
    <row r="22">
      <c r="E22" s="34">
        <f t="shared" si="12"/>
        <v>0.05177731848</v>
      </c>
      <c r="F22" s="35">
        <f t="shared" si="13"/>
        <v>36.37408401</v>
      </c>
      <c r="I22" s="37" t="str">
        <f t="shared" si="14"/>
        <v>FANG</v>
      </c>
      <c r="J22" s="35">
        <f t="shared" si="15"/>
        <v>36.37408401</v>
      </c>
      <c r="K22" s="35">
        <f t="shared" si="16"/>
        <v>36.37408401</v>
      </c>
      <c r="L22" s="35">
        <f t="shared" si="17"/>
        <v>36.37408401</v>
      </c>
      <c r="M22" s="35">
        <f t="shared" si="18"/>
        <v>36.37408401</v>
      </c>
      <c r="N22" s="35">
        <f t="shared" si="19"/>
        <v>36.37408401</v>
      </c>
      <c r="O22" s="35">
        <f t="shared" si="20"/>
        <v>36.37408401</v>
      </c>
      <c r="P22" s="35">
        <f t="shared" si="21"/>
        <v>36.37408401</v>
      </c>
    </row>
    <row r="23">
      <c r="E23" s="34">
        <f t="shared" si="12"/>
        <v>0.07655959105</v>
      </c>
      <c r="F23" s="35">
        <f t="shared" si="13"/>
        <v>40.16852064</v>
      </c>
      <c r="I23" s="37" t="str">
        <f t="shared" si="14"/>
        <v>HES</v>
      </c>
      <c r="J23" s="35">
        <f t="shared" si="15"/>
        <v>40.16852064</v>
      </c>
      <c r="K23" s="35">
        <f t="shared" si="16"/>
        <v>40.16852064</v>
      </c>
      <c r="L23" s="35">
        <f t="shared" si="17"/>
        <v>40.16852064</v>
      </c>
      <c r="M23" s="35">
        <f t="shared" si="18"/>
        <v>40.16852064</v>
      </c>
      <c r="N23" s="35">
        <f t="shared" si="19"/>
        <v>40.16852064</v>
      </c>
      <c r="O23" s="35">
        <f t="shared" si="20"/>
        <v>40.16852064</v>
      </c>
      <c r="P23" s="35">
        <f t="shared" si="21"/>
        <v>40.16852064</v>
      </c>
    </row>
    <row r="24">
      <c r="E24" s="34">
        <f t="shared" si="12"/>
        <v>0.03981414282</v>
      </c>
      <c r="F24" s="35">
        <f t="shared" si="13"/>
        <v>4.746243965</v>
      </c>
      <c r="I24" s="37" t="str">
        <f t="shared" si="14"/>
        <v>MRO</v>
      </c>
      <c r="J24" s="35">
        <f t="shared" si="15"/>
        <v>4.746243965</v>
      </c>
      <c r="K24" s="35">
        <f t="shared" si="16"/>
        <v>4.746243965</v>
      </c>
      <c r="L24" s="35">
        <f t="shared" si="17"/>
        <v>4.746243965</v>
      </c>
      <c r="M24" s="35">
        <f t="shared" si="18"/>
        <v>4.746243965</v>
      </c>
      <c r="N24" s="35">
        <f t="shared" si="19"/>
        <v>4.746243965</v>
      </c>
      <c r="O24" s="35">
        <f t="shared" si="20"/>
        <v>4.746243965</v>
      </c>
      <c r="P24" s="35">
        <f t="shared" si="21"/>
        <v>4.746243965</v>
      </c>
    </row>
    <row r="25">
      <c r="E25" s="34">
        <f t="shared" si="12"/>
        <v>0.136651573</v>
      </c>
      <c r="F25" s="35">
        <f t="shared" si="13"/>
        <v>53.24628542</v>
      </c>
      <c r="I25" s="37" t="str">
        <f t="shared" si="14"/>
        <v>OXY</v>
      </c>
      <c r="J25" s="35">
        <f t="shared" si="15"/>
        <v>53.24628542</v>
      </c>
      <c r="K25" s="35">
        <f t="shared" si="16"/>
        <v>53.24628542</v>
      </c>
      <c r="L25" s="35">
        <f t="shared" si="17"/>
        <v>53.24628542</v>
      </c>
      <c r="M25" s="35">
        <f t="shared" si="18"/>
        <v>53.24628542</v>
      </c>
      <c r="N25" s="35">
        <f t="shared" si="19"/>
        <v>53.24628542</v>
      </c>
      <c r="O25" s="35">
        <f t="shared" si="20"/>
        <v>53.24628542</v>
      </c>
      <c r="P25" s="35">
        <f t="shared" si="21"/>
        <v>53.24628542</v>
      </c>
    </row>
    <row r="26">
      <c r="E26" s="34">
        <f t="shared" si="12"/>
        <v>0.1093173141</v>
      </c>
      <c r="F26" s="35">
        <f t="shared" si="13"/>
        <v>120.2512318</v>
      </c>
      <c r="I26" s="37" t="str">
        <f t="shared" si="14"/>
        <v>PXD</v>
      </c>
      <c r="J26" s="35">
        <f t="shared" si="15"/>
        <v>120.2512318</v>
      </c>
      <c r="K26" s="35">
        <f t="shared" si="16"/>
        <v>120.2512318</v>
      </c>
      <c r="L26" s="35">
        <f t="shared" si="17"/>
        <v>120.2512318</v>
      </c>
      <c r="M26" s="35">
        <f t="shared" si="18"/>
        <v>120.2512318</v>
      </c>
      <c r="N26" s="35">
        <f t="shared" si="19"/>
        <v>120.2512318</v>
      </c>
      <c r="O26" s="35">
        <f t="shared" si="20"/>
        <v>120.2512318</v>
      </c>
      <c r="P26" s="35">
        <f t="shared" si="21"/>
        <v>120.2512318</v>
      </c>
    </row>
    <row r="27">
      <c r="E27" s="40">
        <v>1.0</v>
      </c>
      <c r="F27" s="41">
        <f>SUM(F17:F26)</f>
        <v>518.5823532</v>
      </c>
      <c r="I27" s="44" t="s">
        <v>28</v>
      </c>
      <c r="J27" s="45">
        <f t="shared" si="15"/>
        <v>518.5823532</v>
      </c>
      <c r="K27" s="45">
        <f t="shared" si="16"/>
        <v>518.5823532</v>
      </c>
      <c r="L27" s="45">
        <f t="shared" si="17"/>
        <v>518.5823532</v>
      </c>
      <c r="M27" s="45">
        <f t="shared" si="18"/>
        <v>518.5823532</v>
      </c>
      <c r="N27" s="45">
        <f t="shared" si="19"/>
        <v>518.5823532</v>
      </c>
      <c r="O27" s="45">
        <f t="shared" si="20"/>
        <v>518.5823532</v>
      </c>
      <c r="P27" s="45">
        <f t="shared" si="21"/>
        <v>518.5823532</v>
      </c>
    </row>
    <row r="29">
      <c r="A29" s="31">
        <v>2018.0</v>
      </c>
      <c r="E29" s="33" t="s">
        <v>12</v>
      </c>
      <c r="F29" s="33" t="s">
        <v>13</v>
      </c>
    </row>
    <row r="30">
      <c r="E30" s="34">
        <f t="shared" ref="E30:E39" si="22">(D30/$D$40)</f>
        <v>0.2729481556</v>
      </c>
      <c r="F30" s="35">
        <f t="shared" ref="F30:F39" si="23">E30*C30</f>
        <v>125.496103</v>
      </c>
    </row>
    <row r="31">
      <c r="E31" s="34">
        <f t="shared" si="22"/>
        <v>0.03981414282</v>
      </c>
      <c r="F31" s="35">
        <f t="shared" si="23"/>
        <v>5.671524644</v>
      </c>
    </row>
    <row r="32">
      <c r="E32" s="34">
        <f t="shared" si="22"/>
        <v>0.06736139598</v>
      </c>
      <c r="F32" s="35">
        <f t="shared" si="23"/>
        <v>16.19570044</v>
      </c>
    </row>
    <row r="33">
      <c r="E33" s="34">
        <f t="shared" si="22"/>
        <v>0.1765643243</v>
      </c>
      <c r="F33" s="35">
        <f t="shared" si="23"/>
        <v>111.0624912</v>
      </c>
    </row>
    <row r="34">
      <c r="E34" s="34">
        <f t="shared" si="22"/>
        <v>0.0291920419</v>
      </c>
      <c r="F34" s="35">
        <f t="shared" si="23"/>
        <v>5.370168029</v>
      </c>
    </row>
    <row r="35">
      <c r="E35" s="34">
        <f t="shared" si="22"/>
        <v>0.05177731848</v>
      </c>
      <c r="F35" s="35">
        <f t="shared" si="23"/>
        <v>36.37408401</v>
      </c>
    </row>
    <row r="36">
      <c r="E36" s="34">
        <f t="shared" si="22"/>
        <v>0.07655959105</v>
      </c>
      <c r="F36" s="35">
        <f t="shared" si="23"/>
        <v>40.16852064</v>
      </c>
    </row>
    <row r="37">
      <c r="E37" s="34">
        <f t="shared" si="22"/>
        <v>0.03981414282</v>
      </c>
      <c r="F37" s="35">
        <f t="shared" si="23"/>
        <v>4.746243965</v>
      </c>
    </row>
    <row r="38">
      <c r="E38" s="34">
        <f t="shared" si="22"/>
        <v>0.136651573</v>
      </c>
      <c r="F38" s="35">
        <f t="shared" si="23"/>
        <v>53.24628542</v>
      </c>
    </row>
    <row r="39">
      <c r="E39" s="34">
        <f t="shared" si="22"/>
        <v>0.1093173141</v>
      </c>
      <c r="F39" s="35">
        <f t="shared" si="23"/>
        <v>120.2512318</v>
      </c>
    </row>
    <row r="40">
      <c r="E40" s="46">
        <f t="shared" ref="E40:F40" si="24">SUM(E30:E39)</f>
        <v>1</v>
      </c>
      <c r="F40" s="41">
        <f t="shared" si="24"/>
        <v>518.5823532</v>
      </c>
    </row>
    <row r="42">
      <c r="A42" s="31">
        <v>2019.0</v>
      </c>
      <c r="E42" s="33" t="s">
        <v>12</v>
      </c>
      <c r="F42" s="33" t="s">
        <v>13</v>
      </c>
    </row>
    <row r="43">
      <c r="E43" s="34">
        <f t="shared" ref="E43:E52" si="25">(D43/$D$53)</f>
        <v>0.2729481556</v>
      </c>
      <c r="F43" s="35">
        <f t="shared" ref="F43:F52" si="26">E43*C43</f>
        <v>125.496103</v>
      </c>
    </row>
    <row r="44">
      <c r="E44" s="34">
        <f t="shared" si="25"/>
        <v>0.03981414282</v>
      </c>
      <c r="F44" s="35">
        <f t="shared" si="26"/>
        <v>5.671524644</v>
      </c>
    </row>
    <row r="45">
      <c r="E45" s="34">
        <f t="shared" si="25"/>
        <v>0.06736139598</v>
      </c>
      <c r="F45" s="35">
        <f t="shared" si="26"/>
        <v>16.19570044</v>
      </c>
    </row>
    <row r="46">
      <c r="E46" s="34">
        <f t="shared" si="25"/>
        <v>0.1765643243</v>
      </c>
      <c r="F46" s="35">
        <f t="shared" si="26"/>
        <v>111.0624912</v>
      </c>
    </row>
    <row r="47">
      <c r="E47" s="34">
        <f t="shared" si="25"/>
        <v>0.0291920419</v>
      </c>
      <c r="F47" s="35">
        <f t="shared" si="26"/>
        <v>5.370168029</v>
      </c>
    </row>
    <row r="48">
      <c r="E48" s="34">
        <f t="shared" si="25"/>
        <v>0.05177731848</v>
      </c>
      <c r="F48" s="35">
        <f t="shared" si="26"/>
        <v>36.37408401</v>
      </c>
    </row>
    <row r="49">
      <c r="E49" s="34">
        <f t="shared" si="25"/>
        <v>0.07655959105</v>
      </c>
      <c r="F49" s="35">
        <f t="shared" si="26"/>
        <v>40.16852064</v>
      </c>
    </row>
    <row r="50">
      <c r="E50" s="34">
        <f t="shared" si="25"/>
        <v>0.03981414282</v>
      </c>
      <c r="F50" s="35">
        <f t="shared" si="26"/>
        <v>4.746243965</v>
      </c>
    </row>
    <row r="51">
      <c r="E51" s="34">
        <f t="shared" si="25"/>
        <v>0.136651573</v>
      </c>
      <c r="F51" s="35">
        <f t="shared" si="26"/>
        <v>53.24628542</v>
      </c>
    </row>
    <row r="52">
      <c r="E52" s="34">
        <f t="shared" si="25"/>
        <v>0.1093173141</v>
      </c>
      <c r="F52" s="35">
        <f t="shared" si="26"/>
        <v>120.2512318</v>
      </c>
    </row>
    <row r="53">
      <c r="E53" s="46">
        <f t="shared" ref="E53:F53" si="27">SUM(E43:E52)</f>
        <v>1</v>
      </c>
      <c r="F53" s="41">
        <f t="shared" si="27"/>
        <v>518.5823532</v>
      </c>
    </row>
    <row r="55">
      <c r="A55" s="31">
        <v>2020.0</v>
      </c>
      <c r="E55" s="33" t="s">
        <v>12</v>
      </c>
      <c r="F55" s="33" t="s">
        <v>13</v>
      </c>
    </row>
    <row r="56">
      <c r="E56" s="34">
        <f t="shared" ref="E56:E65" si="28">(D56/$D$66)</f>
        <v>0.2729481556</v>
      </c>
      <c r="F56" s="35">
        <f t="shared" ref="F56:F65" si="29">E56*C56</f>
        <v>125.496103</v>
      </c>
    </row>
    <row r="57">
      <c r="E57" s="34">
        <f t="shared" si="28"/>
        <v>0.03981414282</v>
      </c>
      <c r="F57" s="35">
        <f t="shared" si="29"/>
        <v>5.671524644</v>
      </c>
    </row>
    <row r="58">
      <c r="E58" s="34">
        <f t="shared" si="28"/>
        <v>0.06736139598</v>
      </c>
      <c r="F58" s="35">
        <f t="shared" si="29"/>
        <v>16.19570044</v>
      </c>
    </row>
    <row r="59">
      <c r="E59" s="34">
        <f t="shared" si="28"/>
        <v>0.1765643243</v>
      </c>
      <c r="F59" s="35">
        <f t="shared" si="29"/>
        <v>111.0624912</v>
      </c>
    </row>
    <row r="60">
      <c r="E60" s="34">
        <f t="shared" si="28"/>
        <v>0.0291920419</v>
      </c>
      <c r="F60" s="35">
        <f t="shared" si="29"/>
        <v>5.370168029</v>
      </c>
    </row>
    <row r="61">
      <c r="E61" s="34">
        <f t="shared" si="28"/>
        <v>0.05177731848</v>
      </c>
      <c r="F61" s="35">
        <f t="shared" si="29"/>
        <v>36.37408401</v>
      </c>
    </row>
    <row r="62">
      <c r="E62" s="34">
        <f t="shared" si="28"/>
        <v>0.07655959105</v>
      </c>
      <c r="F62" s="35">
        <f t="shared" si="29"/>
        <v>40.16852064</v>
      </c>
    </row>
    <row r="63">
      <c r="E63" s="34">
        <f t="shared" si="28"/>
        <v>0.03981414282</v>
      </c>
      <c r="F63" s="35">
        <f t="shared" si="29"/>
        <v>4.746243965</v>
      </c>
    </row>
    <row r="64">
      <c r="E64" s="34">
        <f t="shared" si="28"/>
        <v>0.136651573</v>
      </c>
      <c r="F64" s="35">
        <f t="shared" si="29"/>
        <v>53.24628542</v>
      </c>
    </row>
    <row r="65">
      <c r="E65" s="34">
        <f t="shared" si="28"/>
        <v>0.1093173141</v>
      </c>
      <c r="F65" s="35">
        <f t="shared" si="29"/>
        <v>120.2512318</v>
      </c>
    </row>
    <row r="66">
      <c r="E66" s="46">
        <f t="shared" ref="E66:F66" si="30">SUM(E56:E65)</f>
        <v>1</v>
      </c>
      <c r="F66" s="41">
        <f t="shared" si="30"/>
        <v>518.5823532</v>
      </c>
    </row>
    <row r="68">
      <c r="A68" s="31">
        <v>2021.0</v>
      </c>
      <c r="E68" s="33" t="s">
        <v>12</v>
      </c>
      <c r="F68" s="33" t="s">
        <v>13</v>
      </c>
    </row>
    <row r="69">
      <c r="E69" s="34">
        <f t="shared" ref="E69:E78" si="31">(D69/$D$79)</f>
        <v>0.2729481556</v>
      </c>
      <c r="F69" s="35">
        <f t="shared" ref="F69:F78" si="32">E69*C69</f>
        <v>125.496103</v>
      </c>
    </row>
    <row r="70">
      <c r="E70" s="34">
        <f t="shared" si="31"/>
        <v>0.03981414282</v>
      </c>
      <c r="F70" s="35">
        <f t="shared" si="32"/>
        <v>5.671524644</v>
      </c>
    </row>
    <row r="71">
      <c r="E71" s="34">
        <f t="shared" si="31"/>
        <v>0.06736139598</v>
      </c>
      <c r="F71" s="35">
        <f t="shared" si="32"/>
        <v>16.19570044</v>
      </c>
    </row>
    <row r="72">
      <c r="E72" s="34">
        <f t="shared" si="31"/>
        <v>0.1765643243</v>
      </c>
      <c r="F72" s="35">
        <f t="shared" si="32"/>
        <v>111.0624912</v>
      </c>
    </row>
    <row r="73">
      <c r="E73" s="34">
        <f t="shared" si="31"/>
        <v>0.0291920419</v>
      </c>
      <c r="F73" s="35">
        <f t="shared" si="32"/>
        <v>5.370168029</v>
      </c>
    </row>
    <row r="74">
      <c r="E74" s="34">
        <f t="shared" si="31"/>
        <v>0.05177731848</v>
      </c>
      <c r="F74" s="35">
        <f t="shared" si="32"/>
        <v>36.37408401</v>
      </c>
    </row>
    <row r="75">
      <c r="E75" s="34">
        <f t="shared" si="31"/>
        <v>0.07655959105</v>
      </c>
      <c r="F75" s="35">
        <f t="shared" si="32"/>
        <v>40.16852064</v>
      </c>
    </row>
    <row r="76">
      <c r="E76" s="34">
        <f t="shared" si="31"/>
        <v>0.03981414282</v>
      </c>
      <c r="F76" s="35">
        <f t="shared" si="32"/>
        <v>4.746243965</v>
      </c>
    </row>
    <row r="77">
      <c r="E77" s="34">
        <f t="shared" si="31"/>
        <v>0.136651573</v>
      </c>
      <c r="F77" s="35">
        <f t="shared" si="32"/>
        <v>53.24628542</v>
      </c>
    </row>
    <row r="78">
      <c r="E78" s="34">
        <f t="shared" si="31"/>
        <v>0.1093173141</v>
      </c>
      <c r="F78" s="35">
        <f t="shared" si="32"/>
        <v>120.2512318</v>
      </c>
    </row>
    <row r="79">
      <c r="E79" s="46">
        <f t="shared" ref="E79:F79" si="33">SUM(E69:E78)</f>
        <v>1</v>
      </c>
      <c r="F79" s="41">
        <f t="shared" si="33"/>
        <v>518.5823532</v>
      </c>
    </row>
    <row r="81">
      <c r="A81" s="31">
        <v>2022.0</v>
      </c>
      <c r="E81" s="33" t="s">
        <v>12</v>
      </c>
      <c r="F81" s="33" t="s">
        <v>13</v>
      </c>
    </row>
    <row r="82">
      <c r="E82" s="34">
        <f t="shared" ref="E82:E91" si="34">(D82/$D$92)</f>
        <v>0.2729481556</v>
      </c>
      <c r="F82" s="35">
        <f t="shared" ref="F82:F91" si="35">E82*C82</f>
        <v>125.496103</v>
      </c>
    </row>
    <row r="83">
      <c r="E83" s="34">
        <f t="shared" si="34"/>
        <v>0.03981414282</v>
      </c>
      <c r="F83" s="35">
        <f t="shared" si="35"/>
        <v>5.671524644</v>
      </c>
    </row>
    <row r="84">
      <c r="E84" s="34">
        <f t="shared" si="34"/>
        <v>0.06736139598</v>
      </c>
      <c r="F84" s="35">
        <f t="shared" si="35"/>
        <v>16.19570044</v>
      </c>
    </row>
    <row r="85">
      <c r="E85" s="34">
        <f t="shared" si="34"/>
        <v>0.1765643243</v>
      </c>
      <c r="F85" s="35">
        <f t="shared" si="35"/>
        <v>111.0624912</v>
      </c>
    </row>
    <row r="86">
      <c r="E86" s="34">
        <f t="shared" si="34"/>
        <v>0.0291920419</v>
      </c>
      <c r="F86" s="35">
        <f t="shared" si="35"/>
        <v>5.370168029</v>
      </c>
    </row>
    <row r="87">
      <c r="E87" s="34">
        <f t="shared" si="34"/>
        <v>0.05177731848</v>
      </c>
      <c r="F87" s="35">
        <f t="shared" si="35"/>
        <v>36.37408401</v>
      </c>
    </row>
    <row r="88">
      <c r="E88" s="34">
        <f t="shared" si="34"/>
        <v>0.07655959105</v>
      </c>
      <c r="F88" s="35">
        <f t="shared" si="35"/>
        <v>40.16852064</v>
      </c>
    </row>
    <row r="89">
      <c r="E89" s="34">
        <f t="shared" si="34"/>
        <v>0.03981414282</v>
      </c>
      <c r="F89" s="35">
        <f t="shared" si="35"/>
        <v>4.746243965</v>
      </c>
    </row>
    <row r="90">
      <c r="E90" s="34">
        <f t="shared" si="34"/>
        <v>0.136651573</v>
      </c>
      <c r="F90" s="35">
        <f t="shared" si="35"/>
        <v>53.24628542</v>
      </c>
    </row>
    <row r="91">
      <c r="E91" s="34">
        <f t="shared" si="34"/>
        <v>0.1093173141</v>
      </c>
      <c r="F91" s="35">
        <f t="shared" si="35"/>
        <v>120.2512318</v>
      </c>
    </row>
    <row r="92">
      <c r="E92" s="46">
        <f t="shared" ref="E92:F92" si="36">SUM(E82:E91)</f>
        <v>1</v>
      </c>
      <c r="F92" s="41">
        <f t="shared" si="36"/>
        <v>518.5823532</v>
      </c>
    </row>
    <row r="94">
      <c r="A94" s="31">
        <v>2023.0</v>
      </c>
      <c r="E94" s="33" t="s">
        <v>12</v>
      </c>
      <c r="F94" s="33" t="s">
        <v>13</v>
      </c>
    </row>
    <row r="95">
      <c r="A95" s="47" t="s">
        <v>38</v>
      </c>
      <c r="E95" s="34">
        <f t="shared" ref="E95:E104" si="37">(D95/$D$105)</f>
        <v>0.2729481556</v>
      </c>
      <c r="F95" s="35">
        <f t="shared" ref="F95:F104" si="38">E95*C95</f>
        <v>125.496103</v>
      </c>
    </row>
    <row r="96">
      <c r="E96" s="34">
        <f t="shared" si="37"/>
        <v>0.03981414282</v>
      </c>
      <c r="F96" s="35">
        <f t="shared" si="38"/>
        <v>5.671524644</v>
      </c>
    </row>
    <row r="97">
      <c r="E97" s="34">
        <f t="shared" si="37"/>
        <v>0.06736139598</v>
      </c>
      <c r="F97" s="35">
        <f t="shared" si="38"/>
        <v>16.19570044</v>
      </c>
    </row>
    <row r="98">
      <c r="E98" s="34">
        <f t="shared" si="37"/>
        <v>0.1765643243</v>
      </c>
      <c r="F98" s="35">
        <f t="shared" si="38"/>
        <v>111.0624912</v>
      </c>
    </row>
    <row r="99">
      <c r="E99" s="34">
        <f t="shared" si="37"/>
        <v>0.0291920419</v>
      </c>
      <c r="F99" s="35">
        <f t="shared" si="38"/>
        <v>5.370168029</v>
      </c>
    </row>
    <row r="100">
      <c r="E100" s="34">
        <f t="shared" si="37"/>
        <v>0.05177731848</v>
      </c>
      <c r="F100" s="35">
        <f t="shared" si="38"/>
        <v>36.37408401</v>
      </c>
    </row>
    <row r="101">
      <c r="E101" s="34">
        <f t="shared" si="37"/>
        <v>0.07655959105</v>
      </c>
      <c r="F101" s="35">
        <f t="shared" si="38"/>
        <v>40.16852064</v>
      </c>
    </row>
    <row r="102">
      <c r="E102" s="34">
        <f t="shared" si="37"/>
        <v>0.03981414282</v>
      </c>
      <c r="F102" s="35">
        <f t="shared" si="38"/>
        <v>4.746243965</v>
      </c>
    </row>
    <row r="103">
      <c r="E103" s="34">
        <f t="shared" si="37"/>
        <v>0.136651573</v>
      </c>
      <c r="F103" s="35">
        <f t="shared" si="38"/>
        <v>53.24628542</v>
      </c>
    </row>
    <row r="104">
      <c r="E104" s="34">
        <f t="shared" si="37"/>
        <v>0.1093173141</v>
      </c>
      <c r="F104" s="35">
        <f t="shared" si="38"/>
        <v>120.2512318</v>
      </c>
    </row>
    <row r="105">
      <c r="E105" s="46">
        <f t="shared" ref="E105:F105" si="39">SUM(E95:E104)</f>
        <v>1</v>
      </c>
      <c r="F105" s="41">
        <f t="shared" si="39"/>
        <v>518.5823532</v>
      </c>
    </row>
  </sheetData>
  <mergeCells count="2">
    <mergeCell ref="B1:F1"/>
    <mergeCell ref="I1:P1"/>
  </mergeCells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0" width="10.13"/>
    <col customWidth="1" min="11" max="11" width="6.88"/>
    <col customWidth="1" min="12" max="12" width="7.0"/>
  </cols>
  <sheetData>
    <row r="1" ht="119.25" customHeight="1">
      <c r="A1" s="48" t="s">
        <v>39</v>
      </c>
      <c r="B1" s="49" t="s">
        <v>40</v>
      </c>
      <c r="C1" s="49" t="s">
        <v>41</v>
      </c>
      <c r="D1" s="49" t="s">
        <v>42</v>
      </c>
      <c r="E1" s="49" t="s">
        <v>41</v>
      </c>
      <c r="F1" s="49" t="s">
        <v>43</v>
      </c>
      <c r="G1" s="49" t="s">
        <v>41</v>
      </c>
      <c r="H1" s="49" t="s">
        <v>44</v>
      </c>
      <c r="I1" s="49" t="s">
        <v>41</v>
      </c>
      <c r="J1" s="50"/>
      <c r="K1" s="50"/>
      <c r="L1" s="50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</row>
    <row r="2">
      <c r="A2" s="52" t="s">
        <v>2</v>
      </c>
      <c r="B2" s="53" t="s">
        <v>45</v>
      </c>
      <c r="C2" s="54"/>
      <c r="D2" s="55" t="s">
        <v>46</v>
      </c>
      <c r="E2" s="54"/>
      <c r="F2" s="55" t="s">
        <v>47</v>
      </c>
      <c r="G2" s="54"/>
      <c r="H2" s="55" t="s">
        <v>48</v>
      </c>
      <c r="I2" s="54"/>
      <c r="J2" s="56"/>
      <c r="K2" s="56"/>
      <c r="L2" s="56"/>
    </row>
    <row r="3">
      <c r="A3" s="52">
        <v>2016.0</v>
      </c>
      <c r="B3" s="57">
        <f>'USA Oil &amp; Gas Data'!T25</f>
        <v>518.5823532</v>
      </c>
      <c r="C3" s="58"/>
      <c r="D3" s="58">
        <v>99.18</v>
      </c>
      <c r="E3" s="58"/>
      <c r="F3" s="58">
        <v>40.44</v>
      </c>
      <c r="G3" s="58"/>
      <c r="H3" s="58">
        <v>15.81</v>
      </c>
      <c r="I3" s="58"/>
      <c r="J3" s="56"/>
      <c r="K3" s="56"/>
      <c r="L3" s="56"/>
    </row>
    <row r="4">
      <c r="A4" s="52">
        <v>2017.0</v>
      </c>
      <c r="B4" s="57">
        <f>'USA Oil &amp; Gas Data'!U25</f>
        <v>518.5823532</v>
      </c>
      <c r="C4" s="59">
        <f t="shared" ref="C4:C9" si="1">((B4-B3)/B3)*100</f>
        <v>0</v>
      </c>
      <c r="D4" s="58">
        <v>140.78</v>
      </c>
      <c r="E4" s="59">
        <f t="shared" ref="E4:E9" si="2">((D4-D3)/D3)*100</f>
        <v>41.94394031</v>
      </c>
      <c r="F4" s="58">
        <v>53.15</v>
      </c>
      <c r="G4" s="59">
        <f t="shared" ref="G4:G9" si="3">((F4-F3)/F3)*100</f>
        <v>31.42927794</v>
      </c>
      <c r="H4" s="58">
        <v>18.79</v>
      </c>
      <c r="I4" s="59">
        <f t="shared" ref="I4:I9" si="4">((H4-H3)/H3)*100</f>
        <v>18.84882985</v>
      </c>
      <c r="J4" s="56"/>
      <c r="K4" s="56"/>
      <c r="L4" s="56"/>
    </row>
    <row r="5">
      <c r="A5" s="52">
        <v>2018.0</v>
      </c>
      <c r="B5" s="57">
        <f>'USA Oil &amp; Gas Data'!V25</f>
        <v>518.5823532</v>
      </c>
      <c r="C5" s="59">
        <f t="shared" si="1"/>
        <v>0</v>
      </c>
      <c r="D5" s="58">
        <v>130.75</v>
      </c>
      <c r="E5" s="59">
        <f t="shared" si="2"/>
        <v>-7.124591561</v>
      </c>
      <c r="F5" s="58">
        <v>56.05</v>
      </c>
      <c r="G5" s="59">
        <f t="shared" si="3"/>
        <v>5.45625588</v>
      </c>
      <c r="H5" s="58">
        <v>19.72</v>
      </c>
      <c r="I5" s="59">
        <f t="shared" si="4"/>
        <v>4.949441192</v>
      </c>
    </row>
    <row r="6">
      <c r="A6" s="52">
        <v>2019.0</v>
      </c>
      <c r="B6" s="57">
        <f>'USA Oil &amp; Gas Data'!W25</f>
        <v>518.5823532</v>
      </c>
      <c r="C6" s="59">
        <f t="shared" si="1"/>
        <v>0</v>
      </c>
      <c r="D6" s="58">
        <v>109.01</v>
      </c>
      <c r="E6" s="59">
        <f t="shared" si="2"/>
        <v>-16.62715105</v>
      </c>
      <c r="F6" s="58">
        <v>50.02</v>
      </c>
      <c r="G6" s="59">
        <f t="shared" si="3"/>
        <v>-10.75825156</v>
      </c>
      <c r="H6" s="58">
        <v>16.94</v>
      </c>
      <c r="I6" s="59">
        <f t="shared" si="4"/>
        <v>-14.09736308</v>
      </c>
    </row>
    <row r="7">
      <c r="A7" s="52">
        <v>2020.0</v>
      </c>
      <c r="B7" s="57">
        <f>'USA Oil &amp; Gas Data'!X25</f>
        <v>518.5823532</v>
      </c>
      <c r="C7" s="59">
        <f t="shared" si="1"/>
        <v>0</v>
      </c>
      <c r="D7" s="58">
        <v>69.33</v>
      </c>
      <c r="E7" s="59">
        <f t="shared" si="2"/>
        <v>-36.40033024</v>
      </c>
      <c r="F7" s="58">
        <v>41.83</v>
      </c>
      <c r="G7" s="59">
        <f t="shared" si="3"/>
        <v>-16.37345062</v>
      </c>
      <c r="H7" s="58">
        <v>11.79</v>
      </c>
      <c r="I7" s="59">
        <f t="shared" si="4"/>
        <v>-30.40141677</v>
      </c>
    </row>
    <row r="8">
      <c r="A8" s="52">
        <v>2021.0</v>
      </c>
      <c r="B8" s="57">
        <f>'USA Oil &amp; Gas Data'!Y25</f>
        <v>518.5823532</v>
      </c>
      <c r="C8" s="59">
        <f t="shared" si="1"/>
        <v>0</v>
      </c>
      <c r="D8" s="58">
        <v>59.97</v>
      </c>
      <c r="E8" s="59">
        <f t="shared" si="2"/>
        <v>-13.50064907</v>
      </c>
      <c r="F8" s="58">
        <v>34.02</v>
      </c>
      <c r="G8" s="59">
        <f t="shared" si="3"/>
        <v>-18.67081042</v>
      </c>
      <c r="H8" s="58">
        <v>10.24</v>
      </c>
      <c r="I8" s="59">
        <f t="shared" si="4"/>
        <v>-13.14673452</v>
      </c>
    </row>
    <row r="9">
      <c r="A9" s="52">
        <v>2022.0</v>
      </c>
      <c r="B9" s="57">
        <f>'USA Oil &amp; Gas Data'!Z25</f>
        <v>518.5823532</v>
      </c>
      <c r="C9" s="59">
        <f t="shared" si="1"/>
        <v>0</v>
      </c>
      <c r="D9" s="58">
        <v>101.12</v>
      </c>
      <c r="E9" s="59">
        <f t="shared" si="2"/>
        <v>68.61764215</v>
      </c>
      <c r="F9" s="58">
        <v>66.34</v>
      </c>
      <c r="G9" s="59">
        <f t="shared" si="3"/>
        <v>95.00293945</v>
      </c>
      <c r="H9" s="58">
        <v>21.19</v>
      </c>
      <c r="I9" s="59">
        <f t="shared" si="4"/>
        <v>106.9335938</v>
      </c>
    </row>
    <row r="11">
      <c r="A11" s="60" t="s">
        <v>49</v>
      </c>
      <c r="B11" s="61"/>
      <c r="C11" s="61"/>
      <c r="D11" s="61"/>
      <c r="E11" s="61"/>
      <c r="F11" s="61"/>
      <c r="G11" s="62"/>
    </row>
    <row r="12">
      <c r="A12" s="49" t="s">
        <v>1</v>
      </c>
      <c r="B12" s="49">
        <f>A4</f>
        <v>2017</v>
      </c>
      <c r="C12" s="49">
        <f>A5</f>
        <v>2018</v>
      </c>
      <c r="D12" s="49">
        <f>A6</f>
        <v>2019</v>
      </c>
      <c r="E12" s="49">
        <f>A7</f>
        <v>2020</v>
      </c>
      <c r="F12" s="49">
        <f>A8</f>
        <v>2021</v>
      </c>
      <c r="G12" s="49">
        <f>A9</f>
        <v>2022</v>
      </c>
    </row>
    <row r="13">
      <c r="A13" s="49" t="str">
        <f>B2</f>
        <v>FNX</v>
      </c>
      <c r="B13" s="63">
        <f>C4</f>
        <v>0</v>
      </c>
      <c r="C13" s="64">
        <f>C5</f>
        <v>0</v>
      </c>
      <c r="D13" s="64">
        <f>C6</f>
        <v>0</v>
      </c>
      <c r="E13" s="64">
        <f>C7</f>
        <v>0</v>
      </c>
      <c r="F13" s="64">
        <f>C8</f>
        <v>0</v>
      </c>
      <c r="G13" s="64">
        <f>C9</f>
        <v>0</v>
      </c>
    </row>
    <row r="14">
      <c r="A14" s="49" t="str">
        <f>D2</f>
        <v>XOP</v>
      </c>
      <c r="B14" s="57">
        <f>E4</f>
        <v>41.94394031</v>
      </c>
      <c r="C14" s="65">
        <f>E5</f>
        <v>-7.124591561</v>
      </c>
      <c r="D14" s="65">
        <f>E6</f>
        <v>-16.62715105</v>
      </c>
      <c r="E14" s="65">
        <f>E7</f>
        <v>-36.40033024</v>
      </c>
      <c r="F14" s="65">
        <f>E8</f>
        <v>-13.50064907</v>
      </c>
      <c r="G14" s="65">
        <f>E9</f>
        <v>68.61764215</v>
      </c>
    </row>
    <row r="15">
      <c r="A15" s="49" t="str">
        <f>F2</f>
        <v>IEO</v>
      </c>
      <c r="B15" s="57">
        <f>G4</f>
        <v>31.42927794</v>
      </c>
      <c r="C15" s="65">
        <f>G5</f>
        <v>5.45625588</v>
      </c>
      <c r="D15" s="65">
        <f>G6</f>
        <v>-10.75825156</v>
      </c>
      <c r="E15" s="65">
        <f>G7</f>
        <v>-16.37345062</v>
      </c>
      <c r="F15" s="65">
        <f>G8</f>
        <v>-18.67081042</v>
      </c>
      <c r="G15" s="65">
        <f>G9</f>
        <v>95.00293945</v>
      </c>
    </row>
    <row r="16">
      <c r="A16" s="49" t="str">
        <f>H2</f>
        <v>PXE</v>
      </c>
      <c r="B16" s="57">
        <f>I4</f>
        <v>18.84882985</v>
      </c>
      <c r="C16" s="65">
        <f>I5</f>
        <v>4.949441192</v>
      </c>
      <c r="D16" s="65">
        <f>I6</f>
        <v>-14.09736308</v>
      </c>
      <c r="E16" s="65">
        <f>I7</f>
        <v>-30.40141677</v>
      </c>
      <c r="F16" s="65">
        <f>I8</f>
        <v>-13.14673452</v>
      </c>
      <c r="G16" s="65">
        <f>I9</f>
        <v>106.9335938</v>
      </c>
    </row>
  </sheetData>
  <mergeCells count="1">
    <mergeCell ref="A11:G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8.63"/>
    <col customWidth="1" min="2" max="2" width="15.5"/>
    <col customWidth="1" min="3" max="3" width="27.13"/>
    <col customWidth="1" min="5" max="5" width="12.63"/>
    <col customWidth="1" min="6" max="6" width="9.38"/>
  </cols>
  <sheetData>
    <row r="1">
      <c r="A1" s="29"/>
      <c r="B1" s="29"/>
    </row>
  </sheetData>
  <drawing r:id="rId1"/>
</worksheet>
</file>