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urse-info\Exam\"/>
    </mc:Choice>
  </mc:AlternateContent>
  <xr:revisionPtr revIDLastSave="0" documentId="13_ncr:1_{E8A897CD-0464-483E-9329-D5A339CAA25C}" xr6:coauthVersionLast="45" xr6:coauthVersionMax="45" xr10:uidLastSave="{00000000-0000-0000-0000-000000000000}"/>
  <bookViews>
    <workbookView xWindow="-120" yWindow="-120" windowWidth="28110" windowHeight="18240" tabRatio="817" activeTab="7" xr2:uid="{095BE165-5FDB-41BF-A9E8-AD6DF22DE3DC}"/>
  </bookViews>
  <sheets>
    <sheet name="DecisionTree" sheetId="1" r:id="rId1"/>
    <sheet name="NaiveBayes" sheetId="2" r:id="rId2"/>
    <sheet name="Association rules" sheetId="3" r:id="rId3"/>
    <sheet name="Rule based classif" sheetId="6" r:id="rId4"/>
    <sheet name="LSH" sheetId="8" r:id="rId5"/>
    <sheet name="CNN" sheetId="9" r:id="rId6"/>
    <sheet name="NN" sheetId="4" r:id="rId7"/>
    <sheet name="Ark6" sheetId="10" r:id="rId8"/>
  </sheets>
  <definedNames>
    <definedName name="_xlnm._FilterDatabase" localSheetId="3" hidden="1">'Rule based classif'!$A$1:$E$15</definedName>
    <definedName name="Tbl">Tabell1[]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2" i="2" l="1"/>
  <c r="AE12" i="2"/>
  <c r="AF12" i="2"/>
  <c r="AD13" i="2"/>
  <c r="AE13" i="2"/>
  <c r="AG13" i="2" s="1"/>
  <c r="AF13" i="2"/>
  <c r="AE16" i="2"/>
  <c r="AF16" i="2"/>
  <c r="AE17" i="2"/>
  <c r="AF17" i="2"/>
  <c r="AE18" i="2"/>
  <c r="AF18" i="2"/>
  <c r="T12" i="2"/>
  <c r="T13" i="2"/>
  <c r="W16" i="2"/>
  <c r="X16" i="2"/>
  <c r="Y16" i="2"/>
  <c r="W17" i="2"/>
  <c r="X17" i="2"/>
  <c r="Y17" i="2"/>
  <c r="P18" i="2"/>
  <c r="Q18" i="2"/>
  <c r="P23" i="2"/>
  <c r="Q23" i="2"/>
  <c r="P28" i="2"/>
  <c r="Q28" i="2"/>
  <c r="X12" i="9"/>
  <c r="Q10" i="9"/>
  <c r="R10" i="9"/>
  <c r="S10" i="9"/>
  <c r="T10" i="9"/>
  <c r="U10" i="9"/>
  <c r="Q11" i="9"/>
  <c r="R11" i="9"/>
  <c r="S11" i="9"/>
  <c r="T11" i="9"/>
  <c r="U11" i="9"/>
  <c r="Q12" i="9"/>
  <c r="R12" i="9"/>
  <c r="S12" i="9"/>
  <c r="T12" i="9"/>
  <c r="U12" i="9"/>
  <c r="Q13" i="9"/>
  <c r="R13" i="9"/>
  <c r="S13" i="9"/>
  <c r="W13" i="9" s="1"/>
  <c r="T13" i="9"/>
  <c r="U13" i="9"/>
  <c r="U9" i="9"/>
  <c r="R9" i="9"/>
  <c r="S9" i="9"/>
  <c r="X9" i="9" s="1"/>
  <c r="T9" i="9"/>
  <c r="Q9" i="9"/>
  <c r="W12" i="9" s="1"/>
  <c r="Q3" i="9"/>
  <c r="R3" i="9"/>
  <c r="S3" i="9"/>
  <c r="Q4" i="9"/>
  <c r="R4" i="9"/>
  <c r="S4" i="9"/>
  <c r="R2" i="9"/>
  <c r="S2" i="9"/>
  <c r="Q2" i="9"/>
  <c r="C8" i="9"/>
  <c r="B29" i="2"/>
  <c r="B25" i="2"/>
  <c r="B23" i="2"/>
  <c r="H10" i="2"/>
  <c r="K24" i="1"/>
  <c r="J24" i="1"/>
  <c r="I24" i="1"/>
  <c r="P8" i="1" a="1"/>
  <c r="P8" i="1" s="1"/>
  <c r="P5" i="1"/>
  <c r="P4" i="1"/>
  <c r="Q3" i="1"/>
  <c r="R3" i="1"/>
  <c r="S3" i="1"/>
  <c r="T3" i="1"/>
  <c r="Q2" i="1"/>
  <c r="R2" i="1"/>
  <c r="S2" i="1"/>
  <c r="T2" i="1"/>
  <c r="P3" i="1"/>
  <c r="P2" i="1"/>
  <c r="J4" i="1"/>
  <c r="J3" i="1"/>
  <c r="J2" i="1"/>
  <c r="I4" i="1"/>
  <c r="I3" i="1"/>
  <c r="I2" i="1"/>
  <c r="B8" i="9"/>
  <c r="B9" i="9" s="1"/>
  <c r="C19" i="8"/>
  <c r="C16" i="8"/>
  <c r="C18" i="8"/>
  <c r="C17" i="8"/>
  <c r="C15" i="8"/>
  <c r="C14" i="8"/>
  <c r="B19" i="8"/>
  <c r="B18" i="8"/>
  <c r="B17" i="8"/>
  <c r="B16" i="8"/>
  <c r="B15" i="8"/>
  <c r="B14" i="8"/>
  <c r="H3" i="8"/>
  <c r="H4" i="8"/>
  <c r="H5" i="8"/>
  <c r="H6" i="8"/>
  <c r="H7" i="8"/>
  <c r="H2" i="8"/>
  <c r="G3" i="8"/>
  <c r="G4" i="8"/>
  <c r="G5" i="8"/>
  <c r="G6" i="8"/>
  <c r="G7" i="8"/>
  <c r="G2" i="8"/>
  <c r="F3" i="8"/>
  <c r="F4" i="8"/>
  <c r="F5" i="8"/>
  <c r="F6" i="8"/>
  <c r="F7" i="8"/>
  <c r="F2" i="8"/>
  <c r="F32" i="6"/>
  <c r="G31" i="6"/>
  <c r="F31" i="6"/>
  <c r="G30" i="6"/>
  <c r="F30" i="6"/>
  <c r="G29" i="6"/>
  <c r="F29" i="6"/>
  <c r="G28" i="6"/>
  <c r="F28" i="6"/>
  <c r="G27" i="6"/>
  <c r="F27" i="6"/>
  <c r="E23" i="6"/>
  <c r="E22" i="6"/>
  <c r="C62" i="6"/>
  <c r="B62" i="6"/>
  <c r="C57" i="6"/>
  <c r="C56" i="6"/>
  <c r="B57" i="6"/>
  <c r="B56" i="6"/>
  <c r="C43" i="6"/>
  <c r="C42" i="6"/>
  <c r="B43" i="6"/>
  <c r="B42" i="6"/>
  <c r="C28" i="6"/>
  <c r="B28" i="6"/>
  <c r="C17" i="6"/>
  <c r="B17" i="6"/>
  <c r="C16" i="6"/>
  <c r="B16" i="6"/>
  <c r="K26" i="6"/>
  <c r="J26" i="6"/>
  <c r="K25" i="6"/>
  <c r="J25" i="6"/>
  <c r="J24" i="6"/>
  <c r="K24" i="6"/>
  <c r="K23" i="6"/>
  <c r="J23" i="6"/>
  <c r="K22" i="6"/>
  <c r="J22" i="6"/>
  <c r="K21" i="6"/>
  <c r="J21" i="6"/>
  <c r="AD18" i="2" l="1"/>
  <c r="AD17" i="2"/>
  <c r="AD16" i="2"/>
  <c r="B26" i="2"/>
  <c r="B27" i="2" s="1"/>
  <c r="B30" i="2" s="1"/>
  <c r="W10" i="9"/>
  <c r="X13" i="9"/>
  <c r="X10" i="9"/>
  <c r="W9" i="9"/>
  <c r="B21" i="6"/>
  <c r="B22" i="6" s="1"/>
  <c r="B18" i="6"/>
  <c r="K18" i="3"/>
  <c r="K20" i="3"/>
  <c r="K19" i="3"/>
  <c r="J20" i="3"/>
  <c r="J19" i="3"/>
  <c r="J18" i="3"/>
  <c r="K23" i="3"/>
  <c r="K22" i="3"/>
  <c r="K21" i="3"/>
  <c r="K17" i="3"/>
  <c r="K16" i="3"/>
  <c r="K15" i="3"/>
  <c r="K14" i="3"/>
  <c r="K13" i="3"/>
  <c r="K12" i="3"/>
  <c r="K11" i="3"/>
  <c r="K10" i="3"/>
  <c r="K9" i="3"/>
  <c r="K8" i="3"/>
  <c r="K7" i="3"/>
  <c r="K6" i="3"/>
  <c r="K4" i="3"/>
  <c r="K2" i="3"/>
  <c r="K3" i="3"/>
  <c r="K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1" i="3"/>
  <c r="J22" i="3"/>
  <c r="J23" i="3"/>
  <c r="J2" i="3"/>
  <c r="B7" i="3"/>
  <c r="I11" i="2"/>
  <c r="H11" i="2"/>
  <c r="I10" i="2"/>
  <c r="K18" i="2"/>
  <c r="K17" i="2"/>
  <c r="H18" i="2"/>
  <c r="H17" i="2"/>
  <c r="E18" i="2"/>
  <c r="E17" i="2"/>
  <c r="J19" i="2"/>
  <c r="I19" i="2"/>
  <c r="G19" i="2"/>
  <c r="F19" i="2"/>
  <c r="D19" i="2"/>
  <c r="C19" i="2"/>
  <c r="D13" i="2"/>
  <c r="D12" i="2"/>
  <c r="C13" i="2"/>
  <c r="C12" i="2"/>
  <c r="B13" i="2"/>
  <c r="B12" i="2"/>
  <c r="J20" i="1"/>
  <c r="J18" i="1"/>
  <c r="J16" i="1"/>
  <c r="H13" i="1"/>
  <c r="B31" i="2" l="1"/>
  <c r="B32" i="2" s="1"/>
  <c r="B33" i="2" s="1"/>
  <c r="F13" i="1"/>
  <c r="F14" i="1"/>
  <c r="F15" i="1"/>
  <c r="F16" i="1"/>
  <c r="F17" i="1"/>
  <c r="F18" i="1"/>
  <c r="F19" i="1"/>
  <c r="F20" i="1"/>
  <c r="F12" i="1"/>
  <c r="D20" i="1"/>
  <c r="D19" i="1"/>
  <c r="D18" i="1"/>
  <c r="D17" i="1"/>
  <c r="D16" i="1"/>
  <c r="D15" i="1"/>
  <c r="D14" i="1"/>
  <c r="E14" i="1" s="1"/>
  <c r="G14" i="1" s="1"/>
  <c r="D13" i="1"/>
  <c r="E13" i="1" s="1"/>
  <c r="G13" i="1" s="1"/>
  <c r="G12" i="1"/>
  <c r="E12" i="1"/>
  <c r="D12" i="1"/>
  <c r="C12" i="1"/>
  <c r="B12" i="1"/>
  <c r="I14" i="1" l="1"/>
  <c r="J14" i="1" s="1"/>
  <c r="H14" i="1"/>
  <c r="E19" i="1"/>
  <c r="G19" i="1" s="1"/>
  <c r="H19" i="1" s="1"/>
  <c r="E20" i="1"/>
  <c r="G20" i="1" s="1"/>
  <c r="H20" i="1" s="1"/>
  <c r="E17" i="1"/>
  <c r="G17" i="1" s="1"/>
  <c r="H17" i="1" s="1"/>
  <c r="E18" i="1"/>
  <c r="G18" i="1" s="1"/>
  <c r="E16" i="1"/>
  <c r="G16" i="1" s="1"/>
  <c r="E15" i="1"/>
  <c r="G15" i="1" s="1"/>
  <c r="H15" i="1" s="1"/>
  <c r="H18" i="1" l="1"/>
  <c r="H16" i="1"/>
  <c r="I16" i="1" s="1"/>
  <c r="I18" i="1"/>
  <c r="I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<sst xmlns="http://schemas.openxmlformats.org/spreadsheetml/2006/main" count="412" uniqueCount="235">
  <si>
    <t xml:space="preserve">Sample </t>
  </si>
  <si>
    <t xml:space="preserve">Heavy </t>
  </si>
  <si>
    <t xml:space="preserve">Smelly </t>
  </si>
  <si>
    <t xml:space="preserve">Spotted </t>
  </si>
  <si>
    <t xml:space="preserve">Scales </t>
  </si>
  <si>
    <t>Poisonous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</si>
  <si>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</si>
  <si>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</si>
  <si>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</si>
  <si>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</si>
  <si>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</si>
  <si>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</si>
  <si>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</si>
  <si>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</si>
  <si>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>Entropy</t>
  </si>
  <si>
    <t>E_heavy_0</t>
  </si>
  <si>
    <t>E_heavy_1</t>
  </si>
  <si>
    <t>E_smelly_0</t>
  </si>
  <si>
    <t>E_spotted_1</t>
  </si>
  <si>
    <t>E_smelly_1</t>
  </si>
  <si>
    <t>E_spotted_0</t>
  </si>
  <si>
    <t>E_scales_0</t>
  </si>
  <si>
    <t>E_scales_1</t>
  </si>
  <si>
    <t xml:space="preserve">X </t>
  </si>
  <si>
    <t xml:space="preserve">Y </t>
  </si>
  <si>
    <t>Class</t>
  </si>
  <si>
    <t>+</t>
  </si>
  <si>
    <t>-</t>
  </si>
  <si>
    <t>Z</t>
  </si>
  <si>
    <t>Test1: X=0, Y=1, Z=0</t>
  </si>
  <si>
    <t>Test2: X=1, Y=0, Z=1</t>
  </si>
  <si>
    <t>P(x=1  | C= +)</t>
  </si>
  <si>
    <t>P(x=0  | C= -)</t>
  </si>
  <si>
    <t>P( Y=1  | C= +)</t>
  </si>
  <si>
    <t>P( Y=0  | C= -)</t>
  </si>
  <si>
    <t>P( Z=1  | C= +)</t>
  </si>
  <si>
    <t>P( Z=0  | C= -)</t>
  </si>
  <si>
    <t>P(c = +|x=1) * P(X=1)/p(C=1)</t>
  </si>
  <si>
    <t>C=+</t>
  </si>
  <si>
    <t>C=-</t>
  </si>
  <si>
    <t>c+</t>
  </si>
  <si>
    <t>c-</t>
  </si>
  <si>
    <t>A priori principle</t>
  </si>
  <si>
    <t>Item/ItemSet</t>
  </si>
  <si>
    <t>Confidence</t>
  </si>
  <si>
    <t>C1</t>
  </si>
  <si>
    <t>ItemSet</t>
  </si>
  <si>
    <t>Support</t>
  </si>
  <si>
    <t>{1}</t>
  </si>
  <si>
    <t>{2}</t>
  </si>
  <si>
    <t>{3}</t>
  </si>
  <si>
    <t>{4}</t>
  </si>
  <si>
    <t>{5}</t>
  </si>
  <si>
    <t>{6}</t>
  </si>
  <si>
    <t>{7}</t>
  </si>
  <si>
    <t>ID</t>
  </si>
  <si>
    <t>Items</t>
  </si>
  <si>
    <t>t1</t>
  </si>
  <si>
    <t>t2</t>
  </si>
  <si>
    <t>t3</t>
  </si>
  <si>
    <t>t4</t>
  </si>
  <si>
    <t>t5</t>
  </si>
  <si>
    <t>1,2,3,4,5</t>
  </si>
  <si>
    <t>1,2,3,5</t>
  </si>
  <si>
    <t>1,2,3,7</t>
  </si>
  <si>
    <t>1,3,6</t>
  </si>
  <si>
    <t>1,2,4,5,6</t>
  </si>
  <si>
    <t>Support = 60%</t>
  </si>
  <si>
    <t>Confidence = 75%</t>
  </si>
  <si>
    <t>L1</t>
  </si>
  <si>
    <t>{1,2}</t>
  </si>
  <si>
    <t>{1,3}</t>
  </si>
  <si>
    <t>{1,5}</t>
  </si>
  <si>
    <t>{2,3}</t>
  </si>
  <si>
    <t>{2,5}</t>
  </si>
  <si>
    <t>{3,5}</t>
  </si>
  <si>
    <t>L2</t>
  </si>
  <si>
    <t>C3</t>
  </si>
  <si>
    <t>{1,2,3}</t>
  </si>
  <si>
    <t>{1,3,5}</t>
  </si>
  <si>
    <t>{2,3,5}</t>
  </si>
  <si>
    <t>{1,2,5}</t>
  </si>
  <si>
    <t>L3</t>
  </si>
  <si>
    <t>Association rule &gt; 75%</t>
  </si>
  <si>
    <t>{1}-&gt;{2}</t>
  </si>
  <si>
    <t>{2}-&gt;{1}</t>
  </si>
  <si>
    <t>{1}-&gt;{3}</t>
  </si>
  <si>
    <t>{3}-&gt;{1}</t>
  </si>
  <si>
    <t>{1}-&gt;{5}</t>
  </si>
  <si>
    <t>{5}-&gt;{1}</t>
  </si>
  <si>
    <t>{2}-&gt;{3}</t>
  </si>
  <si>
    <t>{3}-&gt;{2}</t>
  </si>
  <si>
    <t>{2}-&gt;{5}</t>
  </si>
  <si>
    <t>{5}-&gt;{2}</t>
  </si>
  <si>
    <t>Support %</t>
  </si>
  <si>
    <t>{1}-&gt;{2,3}</t>
  </si>
  <si>
    <t>{1}-&gt;{2,5}</t>
  </si>
  <si>
    <t>{2}-&gt;{1,3}</t>
  </si>
  <si>
    <t>{3}-&gt;{1,2}</t>
  </si>
  <si>
    <t>{1,2}-&gt;{3}</t>
  </si>
  <si>
    <t>{1,3}-&gt;{2}</t>
  </si>
  <si>
    <t>{2,3}-&gt;{1}</t>
  </si>
  <si>
    <t>{1,2}-&gt;{5}</t>
  </si>
  <si>
    <t>{1,5}-&gt;{2}</t>
  </si>
  <si>
    <t>{2,5}-&gt;{1}</t>
  </si>
  <si>
    <t>{2}-&gt;{1,5}</t>
  </si>
  <si>
    <t>{5}-&gt;{1,2}</t>
  </si>
  <si>
    <t xml:space="preserve">Peter Piper </t>
  </si>
  <si>
    <t xml:space="preserve">Piper picked </t>
  </si>
  <si>
    <t xml:space="preserve">picked a </t>
  </si>
  <si>
    <t xml:space="preserve">a peck </t>
  </si>
  <si>
    <t>peck of</t>
  </si>
  <si>
    <t>of  pickled</t>
  </si>
  <si>
    <t>pickled peppers </t>
  </si>
  <si>
    <t>d1</t>
  </si>
  <si>
    <t>d2</t>
  </si>
  <si>
    <t>d3</t>
  </si>
  <si>
    <t>Peter picked</t>
  </si>
  <si>
    <t xml:space="preserve">a big </t>
  </si>
  <si>
    <t>big peck</t>
  </si>
  <si>
    <t>mixed peppers</t>
  </si>
  <si>
    <t>of mixed</t>
  </si>
  <si>
    <t>d4</t>
  </si>
  <si>
    <t>d5</t>
  </si>
  <si>
    <t>d6</t>
  </si>
  <si>
    <t>d7</t>
  </si>
  <si>
    <t>d8</t>
  </si>
  <si>
    <t>f1</t>
  </si>
  <si>
    <t>f2</t>
  </si>
  <si>
    <t>f3</t>
  </si>
  <si>
    <t>D</t>
  </si>
  <si>
    <t>C</t>
  </si>
  <si>
    <t>H</t>
  </si>
  <si>
    <t>Rule</t>
  </si>
  <si>
    <t>Outlook</t>
  </si>
  <si>
    <t>Temp.</t>
  </si>
  <si>
    <t>Humidity</t>
  </si>
  <si>
    <t>Windy</t>
  </si>
  <si>
    <t>Play</t>
  </si>
  <si>
    <t>sunny</t>
  </si>
  <si>
    <t>false</t>
  </si>
  <si>
    <t>No</t>
  </si>
  <si>
    <t>true</t>
  </si>
  <si>
    <t>overcast</t>
  </si>
  <si>
    <t>Yes</t>
  </si>
  <si>
    <t>rain</t>
  </si>
  <si>
    <t>Coverage</t>
  </si>
  <si>
    <t>Accuracy</t>
  </si>
  <si>
    <t>r1</t>
  </si>
  <si>
    <t>(Outlook = sunny ^ humidiy &lt;= 75) -&gt;Yes</t>
  </si>
  <si>
    <t>r2</t>
  </si>
  <si>
    <t>(Outlook = sunny ^ humidiy &gt; 75) -&gt;No</t>
  </si>
  <si>
    <t>r3</t>
  </si>
  <si>
    <t>(Outlook = overcast)-&gt;Yes</t>
  </si>
  <si>
    <t>r4</t>
  </si>
  <si>
    <t>(Outlook = rain ^ windy = True) -&gt; No</t>
  </si>
  <si>
    <t>r5</t>
  </si>
  <si>
    <t xml:space="preserve">(Outlook = rain ^ windy = False ^ Temperature &gt;= 75) -&gt; No </t>
  </si>
  <si>
    <t>r6</t>
  </si>
  <si>
    <t>(Outlook = rain ^ windy = False ^ Temperature &lt; 75) -&gt; Yes</t>
  </si>
  <si>
    <t>(windy = True) -&gt; No</t>
  </si>
  <si>
    <t xml:space="preserve">(windy = False ^ Temperature &gt;= 75) -&gt; No </t>
  </si>
  <si>
    <t>(windy = False ^ Temperature &lt; 75) -&gt; Yes</t>
  </si>
  <si>
    <t>Avg</t>
  </si>
  <si>
    <t>Std</t>
  </si>
  <si>
    <t>yes</t>
  </si>
  <si>
    <t>no</t>
  </si>
  <si>
    <t>Total</t>
  </si>
  <si>
    <t>Temp</t>
  </si>
  <si>
    <t>MEAN</t>
  </si>
  <si>
    <t>STDEV</t>
  </si>
  <si>
    <t>Winbdy</t>
  </si>
  <si>
    <t>True</t>
  </si>
  <si>
    <t>False</t>
  </si>
  <si>
    <t>P(yes)</t>
  </si>
  <si>
    <t>p(no)</t>
  </si>
  <si>
    <t>Sunny</t>
  </si>
  <si>
    <t>YES</t>
  </si>
  <si>
    <t>X</t>
  </si>
  <si>
    <t>Y</t>
  </si>
  <si>
    <t>CLASS</t>
  </si>
  <si>
    <t>"-"</t>
  </si>
  <si>
    <t>Element</t>
  </si>
  <si>
    <t>s1</t>
  </si>
  <si>
    <t>s2</t>
  </si>
  <si>
    <t>s3</t>
  </si>
  <si>
    <t>s4</t>
  </si>
  <si>
    <t>h1</t>
  </si>
  <si>
    <t>h2</t>
  </si>
  <si>
    <t>h3</t>
  </si>
  <si>
    <t xml:space="preserve">h1 </t>
  </si>
  <si>
    <t>col</t>
  </si>
  <si>
    <t>sig</t>
  </si>
  <si>
    <t>s1,s2</t>
  </si>
  <si>
    <t>s1,s3</t>
  </si>
  <si>
    <t>s1,s4</t>
  </si>
  <si>
    <t>s2,s3</t>
  </si>
  <si>
    <t>s3,s4</t>
  </si>
  <si>
    <t>s2,s4</t>
  </si>
  <si>
    <t>Image Size</t>
  </si>
  <si>
    <t>Filter Size</t>
  </si>
  <si>
    <t>Padding</t>
  </si>
  <si>
    <t>Stride</t>
  </si>
  <si>
    <t>Values</t>
  </si>
  <si>
    <t>Filter size</t>
  </si>
  <si>
    <t>Filters</t>
  </si>
  <si>
    <t>Depth</t>
  </si>
  <si>
    <t>N_Weights</t>
  </si>
  <si>
    <t>P(0)</t>
  </si>
  <si>
    <t>P(1)</t>
  </si>
  <si>
    <t>ENTROPY</t>
  </si>
  <si>
    <t>P</t>
  </si>
  <si>
    <t>GAIN</t>
  </si>
  <si>
    <t>P(E]-H)</t>
  </si>
  <si>
    <t>P(E] H)</t>
  </si>
  <si>
    <t>P(H)</t>
  </si>
  <si>
    <t xml:space="preserve">P( - H) </t>
  </si>
  <si>
    <t>P( E )</t>
  </si>
  <si>
    <t>P(H|E) = P(H) * P(E|H)/P(E )</t>
  </si>
  <si>
    <t>Probability Bob has covid 1st test</t>
  </si>
  <si>
    <t>Probability Bob has covid 2nd Test</t>
  </si>
  <si>
    <t>M</t>
  </si>
  <si>
    <t>F</t>
  </si>
  <si>
    <t>O</t>
  </si>
  <si>
    <t>O Padding 1</t>
  </si>
  <si>
    <t>Pool 4x4 avg</t>
  </si>
  <si>
    <t>w1</t>
  </si>
  <si>
    <t>w2</t>
  </si>
  <si>
    <t>w3</t>
  </si>
  <si>
    <t>w4</t>
  </si>
  <si>
    <t>b1</t>
  </si>
  <si>
    <t>b2</t>
  </si>
  <si>
    <t>b3</t>
  </si>
  <si>
    <t>b4</t>
  </si>
  <si>
    <t>d1 = ⟨Peter Piper picked a peck of pickled peppers⟩ d2 = ⟨Peter picked a big peck of pickled peppers⟩ d3 = ⟨Peter Piper picked a peck of mixed peppers⟩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</si>
</sst>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"/>
    <numFmt numFmtId="179" formatCode="&quot; &quot;??/16"/>
  </numFmts>
  <fonts count="18">
    <font>
      <sz val="11"/>
      <color theme="1"/>
      <name val="Calibri"/>
      <family val="2"/>
      <scheme val="minor"/>
    </font>
    <font>
      <sz val="16"/>
      <color rgb="FF000000"/>
      <name val="ArialMT"/>
    </font>
    <font>
      <sz val="12"/>
      <color rgb="FF000000"/>
      <name val="ArialMT"/>
    </font>
    <font>
      <sz val="12"/>
      <color theme="1"/>
      <name val="Calibri"/>
      <family val="2"/>
      <scheme val="minor"/>
    </font>
    <font>
      <sz val="10"/>
      <color rgb="FF000000"/>
      <name val="ArialMT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3.5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0"/>
      <name val="ArialMT"/>
    </font>
    <font>
      <sz val="12"/>
      <color theme="0"/>
      <name val="ArialMT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4" borderId="0" applyNumberFormat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/>
    <xf numFmtId="0" fontId="8" fillId="3" borderId="0" xfId="3"/>
    <xf numFmtId="0" fontId="8" fillId="3" borderId="2" xfId="3" applyBorder="1" applyAlignment="1">
      <alignment vertical="center" wrapText="1"/>
    </xf>
    <xf numFmtId="0" fontId="0" fillId="0" borderId="0" xfId="0" applyAlignment="1">
      <alignment horizontal="center"/>
    </xf>
    <xf numFmtId="0" fontId="6" fillId="4" borderId="0" xfId="4"/>
    <xf numFmtId="0" fontId="6" fillId="4" borderId="1" xfId="4" applyBorder="1" applyAlignment="1">
      <alignment vertical="center" wrapText="1"/>
    </xf>
    <xf numFmtId="0" fontId="7" fillId="2" borderId="0" xfId="2"/>
    <xf numFmtId="0" fontId="7" fillId="2" borderId="1" xfId="2" applyBorder="1" applyAlignment="1">
      <alignment vertical="center" wrapText="1"/>
    </xf>
    <xf numFmtId="0" fontId="8" fillId="3" borderId="5" xfId="3" applyBorder="1" applyAlignment="1">
      <alignment vertical="center" wrapText="1"/>
    </xf>
    <xf numFmtId="0" fontId="8" fillId="3" borderId="1" xfId="3" applyBorder="1" applyAlignment="1">
      <alignment vertical="center" wrapText="1"/>
    </xf>
    <xf numFmtId="0" fontId="9" fillId="4" borderId="0" xfId="4" applyFont="1"/>
    <xf numFmtId="0" fontId="12" fillId="2" borderId="0" xfId="2" applyFont="1"/>
    <xf numFmtId="0" fontId="13" fillId="3" borderId="0" xfId="3" applyFont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9" fontId="0" fillId="0" borderId="0" xfId="1" applyFont="1"/>
    <xf numFmtId="9" fontId="8" fillId="3" borderId="0" xfId="3" applyNumberForma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top"/>
    </xf>
    <xf numFmtId="0" fontId="14" fillId="7" borderId="0" xfId="0" applyFont="1" applyFill="1" applyAlignment="1">
      <alignment horizontal="left" vertical="top"/>
    </xf>
    <xf numFmtId="0" fontId="14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1" applyNumberFormat="1" applyFont="1"/>
    <xf numFmtId="0" fontId="14" fillId="7" borderId="0" xfId="0" applyNumberFormat="1" applyFont="1" applyFill="1" applyAlignment="1">
      <alignment horizontal="left" vertical="top"/>
    </xf>
    <xf numFmtId="0" fontId="14" fillId="0" borderId="0" xfId="0" applyNumberFormat="1" applyFont="1" applyAlignment="1">
      <alignment horizontal="left" vertical="top"/>
    </xf>
    <xf numFmtId="0" fontId="6" fillId="4" borderId="3" xfId="4" applyBorder="1" applyAlignment="1">
      <alignment horizontal="center" vertical="center" wrapText="1"/>
    </xf>
    <xf numFmtId="0" fontId="6" fillId="4" borderId="4" xfId="4" applyBorder="1" applyAlignment="1">
      <alignment horizontal="center" vertical="center" wrapText="1"/>
    </xf>
    <xf numFmtId="0" fontId="8" fillId="3" borderId="3" xfId="3" applyBorder="1" applyAlignment="1">
      <alignment horizontal="center" vertical="center" wrapText="1"/>
    </xf>
    <xf numFmtId="0" fontId="8" fillId="3" borderId="4" xfId="3" applyBorder="1" applyAlignment="1">
      <alignment horizontal="center" vertical="center" wrapText="1"/>
    </xf>
    <xf numFmtId="0" fontId="7" fillId="2" borderId="3" xfId="2" applyBorder="1" applyAlignment="1">
      <alignment horizontal="center" vertical="center" wrapText="1"/>
    </xf>
    <xf numFmtId="0" fontId="7" fillId="2" borderId="4" xfId="2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6" xfId="0" applyFont="1" applyBorder="1"/>
    <xf numFmtId="0" fontId="9" fillId="5" borderId="0" xfId="0" applyFont="1" applyFill="1"/>
    <xf numFmtId="0" fontId="15" fillId="0" borderId="0" xfId="0" applyFont="1"/>
    <xf numFmtId="0" fontId="4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172" fontId="9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179" fontId="0" fillId="0" borderId="0" xfId="0" applyNumberFormat="1"/>
  </cellXfs>
  <cellStyles count="5">
    <cellStyle name="20 % – uthevingsfarge 1" xfId="4" builtinId="30"/>
    <cellStyle name="God" xfId="2" builtinId="26"/>
    <cellStyle name="Normal" xfId="0" builtinId="0"/>
    <cellStyle name="Nøytral" xfId="3" builtinId="28"/>
    <cellStyle name="Pros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M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M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MT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619125</xdr:colOff>
      <xdr:row>0</xdr:row>
      <xdr:rowOff>38100</xdr:rowOff>
    </xdr:from>
    <xdr:to>
      <xdr:col>18</xdr:col>
      <xdr:colOff>742951</xdr:colOff>
      <xdr:row>21</xdr:row>
      <xdr:rowOff>180975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DAE4E073-F51A-4F23-B5B3-FB364C34EE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644" r="5755" b="13404"/>
        <a:stretch/>
      </xdr:blipFill>
      <xdr:spPr>
        <a:xfrm>
          <a:off x="10848975" y="38100"/>
          <a:ext cx="5457826" cy="3381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3C4EDA-CA1D-4F92-9195-447776043FF2}" name="Tabell3" displayName="Tabell3" ref="A2:F10" totalsRowShown="0" headerRowDxfId="11" dataDxfId="12" headerRowBorderDxfId="20" tableBorderDxfId="21" totalsRowBorderDxfId="19">
  <autoFilter ref="A2:F10" xr:uid="{4FFA549D-C41D-4E07-B997-0E97D903EE1E}"/>
  <tableColumns count="6">
    <tableColumn id="1" xr3:uid="{0CB0BB7F-6729-4A1D-92B3-DC18556AA158}" name="Sample " dataDxfId="18"/>
    <tableColumn id="2" xr3:uid="{B37C3E60-E6B7-4C62-9ACC-2D86CFE5803C}" name="Heavy " dataDxfId="17"/>
    <tableColumn id="3" xr3:uid="{66BF73C4-37F3-4505-A9B3-364715619A19}" name="Smelly " dataDxfId="16"/>
    <tableColumn id="4" xr3:uid="{53F4B7C7-F3F0-4641-A7FB-5C456367966A}" name="Spotted " dataDxfId="15"/>
    <tableColumn id="5" xr3:uid="{EC78CB95-5511-41EF-A32D-E53CC6B99FC8}" name="Scales " dataDxfId="14"/>
    <tableColumn id="6" xr3:uid="{EE4F8946-662C-453D-8B11-3CC7F240E3F2}" name="Poisonous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8B27A2-6A2C-4941-A03A-31FE16909017}" name="Tabell35" displayName="Tabell35" ref="A24:F32" totalsRowShown="0" headerRowDxfId="10" dataDxfId="9" headerRowBorderDxfId="7" tableBorderDxfId="8" totalsRowBorderDxfId="6">
  <autoFilter ref="A24:F32" xr:uid="{3B941A8E-530D-40EF-AC0C-F5515FB9B428}">
    <filterColumn colId="1">
      <filters>
        <filter val="1"/>
      </filters>
    </filterColumn>
  </autoFilter>
  <tableColumns count="6">
    <tableColumn id="1" xr3:uid="{584EBC7C-6AEF-4A7F-ACE3-A5E69CE42573}" name="Sample " dataDxfId="5"/>
    <tableColumn id="2" xr3:uid="{0A9BCAF2-6A0D-4674-8E6E-940914C583D0}" name="Heavy " dataDxfId="4"/>
    <tableColumn id="3" xr3:uid="{98738261-2CEF-413B-AA9F-FF4967D62B9E}" name="Smelly " dataDxfId="3"/>
    <tableColumn id="4" xr3:uid="{DC3DFF20-9E2B-4726-B211-5E81D82F59DC}" name="Spotted " dataDxfId="2"/>
    <tableColumn id="5" xr3:uid="{FF41E2FB-D7B9-4E3F-BD72-A37AC14D7BD6}" name="Scales " dataDxfId="1"/>
    <tableColumn id="6" xr3:uid="{36C364B7-E1D1-4020-ACE9-8E15D2251574}" name="Poisonous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D7084-B82B-4033-842F-8271D0410B10}" name="Tabell2" displayName="Tabell2" ref="O1:R11" totalsRowShown="0">
  <autoFilter ref="O1:R11" xr:uid="{D81A9F3A-4458-4A4A-8944-9DCBC8AD2615}"/>
  <tableColumns count="4">
    <tableColumn id="1" xr3:uid="{8C49091E-0009-4CB3-A168-F9EBC21A273E}" name="X"/>
    <tableColumn id="2" xr3:uid="{6E0F3D19-8B0A-411B-938E-98E4AEF55438}" name="Y"/>
    <tableColumn id="3" xr3:uid="{BE7F2F66-57E9-4859-85B7-1AFF43037425}" name="Z"/>
    <tableColumn id="4" xr3:uid="{24A5E7BB-A11D-48D6-8EE0-473DD84482AD}" name="CLAS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58908-9B12-4709-9B6A-75A1273172BE}" name="Tabell1" displayName="Tabell1" ref="A1:E16" totalsRowCount="1">
  <autoFilter ref="A1:E15" xr:uid="{981B1D92-D37A-478B-91AA-CBB87DACBAA9}">
    <filterColumn colId="4">
      <filters>
        <filter val="Yes"/>
      </filters>
    </filterColumn>
  </autoFilter>
  <tableColumns count="5">
    <tableColumn id="1" xr3:uid="{DE9CBF01-F399-41A7-AEFF-CFD46ABDF5BD}" name="Outlook" totalsRowLabel="Avg"/>
    <tableColumn id="2" xr3:uid="{7651DF98-848A-4E30-824F-F3FFBC4604D7}" name="Temp." totalsRowFunction="custom">
      <totalsRowFormula>AVERAGE(Tabell1[Temp.])</totalsRowFormula>
    </tableColumn>
    <tableColumn id="3" xr3:uid="{CFAD446B-F4A3-4F91-8E69-13A083A5E145}" name="Humidity" totalsRowFunction="custom">
      <totalsRowFormula>AVERAGE(Tabell1[Humidity])</totalsRowFormula>
    </tableColumn>
    <tableColumn id="4" xr3:uid="{760BA55D-9807-44C1-966E-028A6EAE7E84}" name="Windy"/>
    <tableColumn id="5" xr3:uid="{B07A8CF3-1370-404F-8618-74ECDCD44D3F}" name="Pl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6075-19B2-4BA4-8E11-CF9BEDEF36E3}">
  <dimension ref="A1:T32"/>
  <sheetViews>
    <sheetView workbookViewId="0">
      <selection activeCell="K24" sqref="K24"/>
    </sheetView>
  </sheetViews>
  <sheetFormatPr baseColWidth="10" defaultColWidth="9.140625" defaultRowHeight="15"/>
  <cols>
    <col min="1" max="1" width="19.140625" style="6" customWidth="1"/>
    <col min="2" max="2" width="9.85546875" customWidth="1"/>
    <col min="3" max="3" width="10.28515625" customWidth="1"/>
    <col min="4" max="4" width="11.5703125" customWidth="1"/>
    <col min="5" max="5" width="10.5703125" customWidth="1"/>
    <col min="6" max="6" width="13.7109375" customWidth="1"/>
  </cols>
  <sheetData>
    <row r="1" spans="1:20" ht="30">
      <c r="I1" s="43" t="s">
        <v>211</v>
      </c>
      <c r="J1" s="43" t="s">
        <v>210</v>
      </c>
      <c r="O1" s="43"/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s="3" customFormat="1" ht="15.75">
      <c r="A2" s="52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4" t="s">
        <v>5</v>
      </c>
      <c r="H2" s="46">
        <v>0</v>
      </c>
      <c r="I2" s="3">
        <f>COUNTIF(F3:F10,0)/COUNT(F3:F10)</f>
        <v>0.375</v>
      </c>
      <c r="J2" s="3">
        <f>-I2*LOG(I2,2)</f>
        <v>0.53063906222956636</v>
      </c>
      <c r="O2" s="2" t="s">
        <v>208</v>
      </c>
      <c r="P2" s="3">
        <f>COUNTIF(B$3:B$10,0)/COUNT(B$3:B$10)</f>
        <v>0.625</v>
      </c>
      <c r="Q2" s="3">
        <f t="shared" ref="Q2:T2" si="0">COUNTIF(C$3:C$10,0)/COUNT(C$3:C$10)</f>
        <v>0.625</v>
      </c>
      <c r="R2" s="3">
        <f t="shared" si="0"/>
        <v>0.625</v>
      </c>
      <c r="S2" s="3">
        <f t="shared" si="0"/>
        <v>0.5</v>
      </c>
      <c r="T2" s="3">
        <f t="shared" si="0"/>
        <v>0.375</v>
      </c>
    </row>
    <row r="3" spans="1:20" ht="20.25">
      <c r="A3" s="47" t="s">
        <v>6</v>
      </c>
      <c r="B3" s="1">
        <v>0</v>
      </c>
      <c r="C3" s="1">
        <v>0</v>
      </c>
      <c r="D3" s="1">
        <v>0</v>
      </c>
      <c r="E3" s="1">
        <v>0</v>
      </c>
      <c r="F3" s="48">
        <v>0</v>
      </c>
      <c r="H3" s="43">
        <v>1</v>
      </c>
      <c r="I3" s="3">
        <f>COUNTIF(F3:F20,1)/COUNT(F3:F10)</f>
        <v>0.625</v>
      </c>
      <c r="J3" s="3">
        <f>-I3*LOG(I3,2)</f>
        <v>0.42379494069539858</v>
      </c>
      <c r="O3" s="2" t="s">
        <v>209</v>
      </c>
      <c r="P3" s="3">
        <f>COUNTIF(B$3:B$10,1)/COUNT(B$3:B$10)</f>
        <v>0.375</v>
      </c>
      <c r="Q3" s="3">
        <f t="shared" ref="Q3:T3" si="1">COUNTIF(C$3:C$10,1)/COUNT(C$3:C$10)</f>
        <v>0.375</v>
      </c>
      <c r="R3" s="3">
        <f t="shared" si="1"/>
        <v>0.375</v>
      </c>
      <c r="S3" s="3">
        <f t="shared" si="1"/>
        <v>0.5</v>
      </c>
      <c r="T3" s="3">
        <f t="shared" si="1"/>
        <v>0.625</v>
      </c>
    </row>
    <row r="4" spans="1:20" ht="20.25">
      <c r="A4" s="47" t="s">
        <v>7</v>
      </c>
      <c r="B4" s="1">
        <v>0</v>
      </c>
      <c r="C4" s="1">
        <v>0</v>
      </c>
      <c r="D4" s="1">
        <v>1</v>
      </c>
      <c r="E4" s="1">
        <v>0</v>
      </c>
      <c r="F4" s="48">
        <v>0</v>
      </c>
      <c r="I4" s="43">
        <f>SUM(I2:I3)</f>
        <v>1</v>
      </c>
      <c r="J4" s="43">
        <f>SUM(J2:J3)</f>
        <v>0.95443400292496494</v>
      </c>
      <c r="O4" s="2" t="s">
        <v>212</v>
      </c>
      <c r="P4">
        <f>$J$4</f>
        <v>0.95443400292496494</v>
      </c>
    </row>
    <row r="5" spans="1:20" ht="30">
      <c r="A5" s="47" t="s">
        <v>8</v>
      </c>
      <c r="B5" s="1">
        <v>1</v>
      </c>
      <c r="C5" s="1">
        <v>1</v>
      </c>
      <c r="D5" s="1">
        <v>0</v>
      </c>
      <c r="E5" s="1">
        <v>1</v>
      </c>
      <c r="F5" s="48">
        <v>0</v>
      </c>
      <c r="H5" s="4" t="s">
        <v>0</v>
      </c>
      <c r="I5" s="2" t="s">
        <v>1</v>
      </c>
      <c r="J5" s="2" t="s">
        <v>2</v>
      </c>
      <c r="K5" s="2" t="s">
        <v>3</v>
      </c>
      <c r="L5" s="2" t="s">
        <v>4</v>
      </c>
      <c r="M5" s="2" t="s">
        <v>5</v>
      </c>
      <c r="O5" s="2"/>
      <c r="P5">
        <f>COUNTIF(B3:F10,0)</f>
        <v>22</v>
      </c>
    </row>
    <row r="6" spans="1:20" ht="20.25">
      <c r="A6" s="47" t="s">
        <v>9</v>
      </c>
      <c r="B6" s="1">
        <v>1</v>
      </c>
      <c r="C6" s="1">
        <v>0</v>
      </c>
      <c r="D6" s="1">
        <v>0</v>
      </c>
      <c r="E6" s="1">
        <v>1</v>
      </c>
      <c r="F6" s="48">
        <v>1</v>
      </c>
      <c r="H6" s="4" t="s">
        <v>9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O6" s="2"/>
    </row>
    <row r="7" spans="1:20" ht="20.25">
      <c r="A7" s="47" t="s">
        <v>10</v>
      </c>
      <c r="B7" s="1">
        <v>0</v>
      </c>
      <c r="C7" s="1">
        <v>1</v>
      </c>
      <c r="D7" s="1">
        <v>1</v>
      </c>
      <c r="E7" s="1">
        <v>0</v>
      </c>
      <c r="F7" s="48">
        <v>1</v>
      </c>
      <c r="H7" s="4" t="s">
        <v>10</v>
      </c>
      <c r="I7" s="1">
        <v>0</v>
      </c>
      <c r="J7" s="1">
        <v>1</v>
      </c>
      <c r="K7" s="1">
        <v>1</v>
      </c>
      <c r="L7" s="1">
        <v>0</v>
      </c>
      <c r="M7" s="1">
        <v>1</v>
      </c>
    </row>
    <row r="8" spans="1:20" ht="20.25">
      <c r="A8" s="47" t="s">
        <v>11</v>
      </c>
      <c r="B8" s="1">
        <v>0</v>
      </c>
      <c r="C8" s="1">
        <v>0</v>
      </c>
      <c r="D8" s="1">
        <v>1</v>
      </c>
      <c r="E8" s="1">
        <v>1</v>
      </c>
      <c r="F8" s="48">
        <v>1</v>
      </c>
      <c r="H8" s="4" t="s">
        <v>11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P8" t="b" cm="1">
        <f t="array" ref="P8:P15">Tabell3[[Heavy ]]=0 &amp; Tabell3[Poisonous] = 1</f>
        <v>0</v>
      </c>
    </row>
    <row r="9" spans="1:20" ht="20.25">
      <c r="A9" s="47" t="s">
        <v>12</v>
      </c>
      <c r="B9" s="1">
        <v>0</v>
      </c>
      <c r="C9" s="1">
        <v>0</v>
      </c>
      <c r="D9" s="1">
        <v>0</v>
      </c>
      <c r="E9" s="1">
        <v>1</v>
      </c>
      <c r="F9" s="48">
        <v>1</v>
      </c>
      <c r="H9" s="4" t="s">
        <v>12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P9" t="b">
        <v>0</v>
      </c>
    </row>
    <row r="10" spans="1:20" ht="20.25">
      <c r="A10" s="49" t="s">
        <v>13</v>
      </c>
      <c r="B10" s="50">
        <v>1</v>
      </c>
      <c r="C10" s="50">
        <v>1</v>
      </c>
      <c r="D10" s="50">
        <v>0</v>
      </c>
      <c r="E10" s="50">
        <v>0</v>
      </c>
      <c r="F10" s="51">
        <v>1</v>
      </c>
      <c r="H10" s="4" t="s">
        <v>13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P10" t="b">
        <v>0</v>
      </c>
    </row>
    <row r="11" spans="1:20">
      <c r="P11" t="b">
        <v>0</v>
      </c>
    </row>
    <row r="12" spans="1:20">
      <c r="A12" s="5" t="s">
        <v>14</v>
      </c>
      <c r="B12" s="6">
        <f>COUNTIF($F3:$F10,0)</f>
        <v>3</v>
      </c>
      <c r="C12" s="6">
        <f>COUNTIF($F3:$F10,1)</f>
        <v>5</v>
      </c>
      <c r="D12" s="6">
        <f t="shared" ref="D12:D20" si="2">B12+C12</f>
        <v>8</v>
      </c>
      <c r="E12" s="6">
        <f t="shared" ref="E12:E20" si="3">B12/D12*IMLOG2(B12/D12)</f>
        <v>-0.53063906222956492</v>
      </c>
      <c r="F12" s="6">
        <f>C12/D12*LOG(C12/D12,2)</f>
        <v>-0.42379494069539858</v>
      </c>
      <c r="G12" s="6">
        <f t="shared" ref="G12:G20" si="4">-SUM(E12:F12)</f>
        <v>0.9544340029249635</v>
      </c>
      <c r="P12" t="b">
        <v>0</v>
      </c>
    </row>
    <row r="13" spans="1:20">
      <c r="A13" s="6" t="s">
        <v>15</v>
      </c>
      <c r="B13" s="5">
        <v>2</v>
      </c>
      <c r="C13" s="6">
        <v>3</v>
      </c>
      <c r="D13" s="6">
        <f t="shared" si="2"/>
        <v>5</v>
      </c>
      <c r="E13" s="6">
        <f t="shared" si="3"/>
        <v>-0.52877123795494396</v>
      </c>
      <c r="F13" s="6">
        <f t="shared" ref="F13:F20" si="5">C13/D13*LOG(C13/D13,2)</f>
        <v>-0.44217935649972373</v>
      </c>
      <c r="G13" s="6">
        <f t="shared" si="4"/>
        <v>0.97095059445466769</v>
      </c>
      <c r="H13">
        <f>G13*D13/$D$12</f>
        <v>0.60684412153416734</v>
      </c>
      <c r="P13" t="b">
        <v>0</v>
      </c>
    </row>
    <row r="14" spans="1:20">
      <c r="A14" s="6" t="s">
        <v>16</v>
      </c>
      <c r="B14" s="6">
        <v>1</v>
      </c>
      <c r="C14" s="6">
        <v>2</v>
      </c>
      <c r="D14" s="6">
        <f t="shared" si="2"/>
        <v>3</v>
      </c>
      <c r="E14" s="6">
        <f t="shared" si="3"/>
        <v>-0.52832083357371995</v>
      </c>
      <c r="F14" s="6">
        <f t="shared" si="5"/>
        <v>-0.38997500048077083</v>
      </c>
      <c r="G14" s="6">
        <f t="shared" si="4"/>
        <v>0.91829583405449078</v>
      </c>
      <c r="H14">
        <f t="shared" ref="H14:H20" si="6">G14*D14/$D$12</f>
        <v>0.34436093777043403</v>
      </c>
      <c r="I14">
        <f>SUM(H13:H14)</f>
        <v>0.95120505930460131</v>
      </c>
      <c r="J14">
        <f>G12-I14</f>
        <v>3.2289436203621902E-3</v>
      </c>
      <c r="P14" t="b">
        <v>0</v>
      </c>
    </row>
    <row r="15" spans="1:20">
      <c r="A15" s="6" t="s">
        <v>17</v>
      </c>
      <c r="B15" s="5">
        <v>2</v>
      </c>
      <c r="C15" s="6">
        <v>3</v>
      </c>
      <c r="D15" s="6">
        <f t="shared" si="2"/>
        <v>5</v>
      </c>
      <c r="E15" s="6">
        <f t="shared" si="3"/>
        <v>-0.52877123795494396</v>
      </c>
      <c r="F15" s="6">
        <f t="shared" si="5"/>
        <v>-0.44217935649972373</v>
      </c>
      <c r="G15" s="6">
        <f t="shared" si="4"/>
        <v>0.97095059445466769</v>
      </c>
      <c r="H15">
        <f t="shared" si="6"/>
        <v>0.60684412153416734</v>
      </c>
      <c r="P15" t="b">
        <v>0</v>
      </c>
    </row>
    <row r="16" spans="1:20">
      <c r="A16" s="6" t="s">
        <v>19</v>
      </c>
      <c r="B16" s="6">
        <v>1</v>
      </c>
      <c r="C16" s="6">
        <v>2</v>
      </c>
      <c r="D16" s="6">
        <f t="shared" si="2"/>
        <v>3</v>
      </c>
      <c r="E16" s="6">
        <f t="shared" si="3"/>
        <v>-0.52832083357371995</v>
      </c>
      <c r="F16" s="6">
        <f t="shared" si="5"/>
        <v>-0.38997500048077083</v>
      </c>
      <c r="G16" s="6">
        <f t="shared" si="4"/>
        <v>0.91829583405449078</v>
      </c>
      <c r="H16">
        <f t="shared" si="6"/>
        <v>0.34436093777043403</v>
      </c>
      <c r="I16">
        <f>SUM(H15:H16)</f>
        <v>0.95120505930460131</v>
      </c>
      <c r="J16">
        <f>G12-I16</f>
        <v>3.2289436203621902E-3</v>
      </c>
    </row>
    <row r="17" spans="1:11">
      <c r="A17" s="6" t="s">
        <v>20</v>
      </c>
      <c r="B17" s="5">
        <v>2</v>
      </c>
      <c r="C17" s="6">
        <v>3</v>
      </c>
      <c r="D17" s="6">
        <f t="shared" si="2"/>
        <v>5</v>
      </c>
      <c r="E17" s="6">
        <f t="shared" si="3"/>
        <v>-0.52877123795494396</v>
      </c>
      <c r="F17" s="6">
        <f t="shared" si="5"/>
        <v>-0.44217935649972373</v>
      </c>
      <c r="G17" s="6">
        <f t="shared" si="4"/>
        <v>0.97095059445466769</v>
      </c>
      <c r="H17">
        <f t="shared" si="6"/>
        <v>0.60684412153416734</v>
      </c>
    </row>
    <row r="18" spans="1:11">
      <c r="A18" s="6" t="s">
        <v>18</v>
      </c>
      <c r="B18" s="6">
        <v>1</v>
      </c>
      <c r="C18" s="6">
        <v>2</v>
      </c>
      <c r="D18" s="6">
        <f t="shared" si="2"/>
        <v>3</v>
      </c>
      <c r="E18" s="6">
        <f t="shared" si="3"/>
        <v>-0.52832083357371995</v>
      </c>
      <c r="F18" s="6">
        <f t="shared" si="5"/>
        <v>-0.38997500048077083</v>
      </c>
      <c r="G18" s="6">
        <f t="shared" si="4"/>
        <v>0.91829583405449078</v>
      </c>
      <c r="H18">
        <f t="shared" si="6"/>
        <v>0.34436093777043403</v>
      </c>
      <c r="I18">
        <f>SUM(H17:H18)</f>
        <v>0.95120505930460131</v>
      </c>
      <c r="J18">
        <f>G12-I18</f>
        <v>3.2289436203621902E-3</v>
      </c>
    </row>
    <row r="19" spans="1:11">
      <c r="A19" s="6" t="s">
        <v>21</v>
      </c>
      <c r="B19" s="5">
        <v>2</v>
      </c>
      <c r="C19" s="6">
        <v>2</v>
      </c>
      <c r="D19" s="6">
        <f t="shared" si="2"/>
        <v>4</v>
      </c>
      <c r="E19" s="6">
        <f t="shared" si="3"/>
        <v>-0.5</v>
      </c>
      <c r="F19" s="6">
        <f t="shared" si="5"/>
        <v>-0.5</v>
      </c>
      <c r="G19" s="6">
        <f t="shared" si="4"/>
        <v>1</v>
      </c>
      <c r="H19">
        <f t="shared" si="6"/>
        <v>0.5</v>
      </c>
    </row>
    <row r="20" spans="1:11">
      <c r="A20" s="6" t="s">
        <v>22</v>
      </c>
      <c r="B20" s="6">
        <v>1</v>
      </c>
      <c r="C20" s="6">
        <v>3</v>
      </c>
      <c r="D20" s="6">
        <f t="shared" si="2"/>
        <v>4</v>
      </c>
      <c r="E20" s="6">
        <f t="shared" si="3"/>
        <v>-0.5</v>
      </c>
      <c r="F20" s="6">
        <f t="shared" si="5"/>
        <v>-0.31127812445913283</v>
      </c>
      <c r="G20" s="6">
        <f t="shared" si="4"/>
        <v>0.81127812445913283</v>
      </c>
      <c r="H20">
        <f t="shared" si="6"/>
        <v>0.40563906222956642</v>
      </c>
      <c r="I20">
        <f>SUM(H19:H20)</f>
        <v>0.90563906222956647</v>
      </c>
      <c r="J20">
        <f>G12-I20</f>
        <v>4.8794940695397027E-2</v>
      </c>
    </row>
    <row r="21" spans="1:11">
      <c r="B21" s="6"/>
      <c r="C21" s="6"/>
      <c r="D21" s="6"/>
      <c r="E21" s="6"/>
      <c r="F21" s="6"/>
      <c r="G21" s="6"/>
    </row>
    <row r="22" spans="1:11">
      <c r="B22" s="6"/>
      <c r="C22" s="6"/>
      <c r="D22" s="6"/>
      <c r="E22" s="6"/>
      <c r="F22" s="6"/>
      <c r="G22" s="6"/>
    </row>
    <row r="23" spans="1:11">
      <c r="B23" s="6"/>
      <c r="C23" s="6"/>
      <c r="D23" s="6"/>
      <c r="E23" s="6"/>
      <c r="F23" s="6"/>
      <c r="G23" s="6"/>
    </row>
    <row r="24" spans="1:11">
      <c r="A24" s="52" t="s">
        <v>0</v>
      </c>
      <c r="B24" s="53" t="s">
        <v>1</v>
      </c>
      <c r="C24" s="53" t="s">
        <v>2</v>
      </c>
      <c r="D24" s="53" t="s">
        <v>3</v>
      </c>
      <c r="E24" s="53" t="s">
        <v>4</v>
      </c>
      <c r="F24" s="54" t="s">
        <v>5</v>
      </c>
      <c r="G24" s="6"/>
      <c r="I24">
        <f>5/8 * (-2/5*LOG(2/5,2)-3/5*LOG(3/5,2))</f>
        <v>0.60684412153416789</v>
      </c>
      <c r="J24">
        <f>3/8 * (-2/3*LOG(2/3,2)-1/3*LOG(1/3,2))</f>
        <v>0.34436093777043358</v>
      </c>
      <c r="K24">
        <f>J4-I24-J24</f>
        <v>3.2289436203634669E-3</v>
      </c>
    </row>
    <row r="25" spans="1:11" ht="20.25" hidden="1">
      <c r="A25" s="47" t="s">
        <v>6</v>
      </c>
      <c r="B25" s="1">
        <v>0</v>
      </c>
      <c r="C25" s="1">
        <v>0</v>
      </c>
      <c r="D25" s="1">
        <v>0</v>
      </c>
      <c r="E25" s="1">
        <v>0</v>
      </c>
      <c r="F25" s="48">
        <v>0</v>
      </c>
    </row>
    <row r="26" spans="1:11" ht="20.25" hidden="1">
      <c r="A26" s="47" t="s">
        <v>7</v>
      </c>
      <c r="B26" s="1">
        <v>0</v>
      </c>
      <c r="C26" s="1">
        <v>0</v>
      </c>
      <c r="D26" s="1">
        <v>1</v>
      </c>
      <c r="E26" s="1">
        <v>0</v>
      </c>
      <c r="F26" s="48">
        <v>0</v>
      </c>
    </row>
    <row r="27" spans="1:11" ht="20.25">
      <c r="A27" s="47" t="s">
        <v>8</v>
      </c>
      <c r="B27" s="1">
        <v>1</v>
      </c>
      <c r="C27" s="1">
        <v>1</v>
      </c>
      <c r="D27" s="1">
        <v>0</v>
      </c>
      <c r="E27" s="1">
        <v>1</v>
      </c>
      <c r="F27" s="48">
        <v>0</v>
      </c>
    </row>
    <row r="28" spans="1:11" ht="20.25">
      <c r="A28" s="47" t="s">
        <v>9</v>
      </c>
      <c r="B28" s="1">
        <v>1</v>
      </c>
      <c r="C28" s="1">
        <v>0</v>
      </c>
      <c r="D28" s="1">
        <v>0</v>
      </c>
      <c r="E28" s="1">
        <v>1</v>
      </c>
      <c r="F28" s="48">
        <v>1</v>
      </c>
    </row>
    <row r="29" spans="1:11" ht="20.25" hidden="1">
      <c r="A29" s="47" t="s">
        <v>10</v>
      </c>
      <c r="B29" s="1">
        <v>0</v>
      </c>
      <c r="C29" s="1">
        <v>1</v>
      </c>
      <c r="D29" s="1">
        <v>1</v>
      </c>
      <c r="E29" s="1">
        <v>0</v>
      </c>
      <c r="F29" s="48">
        <v>1</v>
      </c>
    </row>
    <row r="30" spans="1:11" ht="20.25" hidden="1">
      <c r="A30" s="47" t="s">
        <v>11</v>
      </c>
      <c r="B30" s="1">
        <v>0</v>
      </c>
      <c r="C30" s="1">
        <v>0</v>
      </c>
      <c r="D30" s="1">
        <v>1</v>
      </c>
      <c r="E30" s="1">
        <v>1</v>
      </c>
      <c r="F30" s="48">
        <v>1</v>
      </c>
    </row>
    <row r="31" spans="1:11" ht="20.25" hidden="1">
      <c r="A31" s="47" t="s">
        <v>12</v>
      </c>
      <c r="B31" s="1">
        <v>0</v>
      </c>
      <c r="C31" s="1">
        <v>0</v>
      </c>
      <c r="D31" s="1">
        <v>0</v>
      </c>
      <c r="E31" s="1">
        <v>1</v>
      </c>
      <c r="F31" s="48">
        <v>1</v>
      </c>
    </row>
    <row r="32" spans="1:11" ht="20.25">
      <c r="A32" s="49" t="s">
        <v>13</v>
      </c>
      <c r="B32" s="50">
        <v>1</v>
      </c>
      <c r="C32" s="50">
        <v>1</v>
      </c>
      <c r="D32" s="50">
        <v>0</v>
      </c>
      <c r="E32" s="50">
        <v>0</v>
      </c>
      <c r="F32" s="51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4A3-1601-4B67-A286-C57B156D4A81}">
  <dimension ref="A1:AG33"/>
  <sheetViews>
    <sheetView topLeftCell="I1" zoomScale="85" zoomScaleNormal="85" workbookViewId="0">
      <selection activeCell="AC1" sqref="AC1:AG20"/>
    </sheetView>
  </sheetViews>
  <sheetFormatPr baseColWidth="10" defaultColWidth="9.140625" defaultRowHeight="15"/>
  <cols>
    <col min="1" max="1" width="23.5703125" bestFit="1" customWidth="1"/>
    <col min="2" max="2" width="14.7109375" bestFit="1" customWidth="1"/>
    <col min="5" max="5" width="15.85546875" customWidth="1"/>
    <col min="6" max="6" width="17.140625" customWidth="1"/>
  </cols>
  <sheetData>
    <row r="1" spans="1:33">
      <c r="B1" s="7" t="s">
        <v>23</v>
      </c>
      <c r="C1" s="7" t="s">
        <v>24</v>
      </c>
      <c r="D1" s="7" t="s">
        <v>28</v>
      </c>
      <c r="E1" s="7" t="s">
        <v>25</v>
      </c>
      <c r="O1" t="s">
        <v>178</v>
      </c>
      <c r="P1" t="s">
        <v>179</v>
      </c>
      <c r="Q1" t="s">
        <v>28</v>
      </c>
      <c r="R1" t="s">
        <v>180</v>
      </c>
      <c r="AC1" s="43" t="s">
        <v>130</v>
      </c>
      <c r="AD1" s="43" t="s">
        <v>127</v>
      </c>
      <c r="AE1" s="43" t="s">
        <v>128</v>
      </c>
      <c r="AF1" s="43" t="s">
        <v>129</v>
      </c>
      <c r="AG1" s="43" t="s">
        <v>131</v>
      </c>
    </row>
    <row r="2" spans="1:33">
      <c r="B2" s="8">
        <v>1</v>
      </c>
      <c r="C2" s="8">
        <v>1</v>
      </c>
      <c r="D2" s="8">
        <v>1</v>
      </c>
      <c r="E2" s="8" t="s">
        <v>26</v>
      </c>
      <c r="F2" t="s">
        <v>31</v>
      </c>
      <c r="G2" t="s">
        <v>37</v>
      </c>
      <c r="O2">
        <v>1</v>
      </c>
      <c r="P2">
        <v>1</v>
      </c>
      <c r="Q2">
        <v>1</v>
      </c>
      <c r="R2" t="s">
        <v>26</v>
      </c>
      <c r="AC2" s="43" t="s">
        <v>114</v>
      </c>
      <c r="AD2">
        <v>2</v>
      </c>
      <c r="AE2">
        <v>0</v>
      </c>
      <c r="AF2">
        <v>0</v>
      </c>
      <c r="AG2">
        <v>1</v>
      </c>
    </row>
    <row r="3" spans="1:33">
      <c r="B3" s="8">
        <v>1</v>
      </c>
      <c r="C3" s="8">
        <v>0</v>
      </c>
      <c r="D3" s="8">
        <v>0</v>
      </c>
      <c r="E3" s="8" t="s">
        <v>27</v>
      </c>
      <c r="F3" t="s">
        <v>32</v>
      </c>
      <c r="O3">
        <v>1</v>
      </c>
      <c r="P3">
        <v>0</v>
      </c>
      <c r="Q3">
        <v>0</v>
      </c>
      <c r="R3" t="s">
        <v>27</v>
      </c>
      <c r="AC3" s="43" t="s">
        <v>115</v>
      </c>
      <c r="AD3">
        <v>2</v>
      </c>
      <c r="AE3">
        <v>0</v>
      </c>
      <c r="AF3">
        <v>0</v>
      </c>
      <c r="AG3">
        <v>1</v>
      </c>
    </row>
    <row r="4" spans="1:33">
      <c r="B4" s="8">
        <v>1</v>
      </c>
      <c r="C4" s="8">
        <v>1</v>
      </c>
      <c r="D4" s="8">
        <v>1</v>
      </c>
      <c r="E4" s="8" t="s">
        <v>26</v>
      </c>
      <c r="F4" t="s">
        <v>33</v>
      </c>
      <c r="O4">
        <v>1</v>
      </c>
      <c r="P4">
        <v>1</v>
      </c>
      <c r="Q4">
        <v>1</v>
      </c>
      <c r="R4" t="s">
        <v>26</v>
      </c>
      <c r="AC4" s="43" t="s">
        <v>116</v>
      </c>
      <c r="AD4">
        <v>0</v>
      </c>
      <c r="AE4">
        <v>0</v>
      </c>
      <c r="AF4">
        <v>0</v>
      </c>
      <c r="AG4">
        <v>2</v>
      </c>
    </row>
    <row r="5" spans="1:33">
      <c r="B5" s="8">
        <v>1</v>
      </c>
      <c r="C5" s="8">
        <v>1</v>
      </c>
      <c r="D5" s="8">
        <v>0</v>
      </c>
      <c r="E5" s="8" t="s">
        <v>26</v>
      </c>
      <c r="F5" t="s">
        <v>34</v>
      </c>
      <c r="O5">
        <v>1</v>
      </c>
      <c r="P5">
        <v>1</v>
      </c>
      <c r="Q5">
        <v>0</v>
      </c>
      <c r="R5" t="s">
        <v>26</v>
      </c>
      <c r="AC5" s="43" t="s">
        <v>122</v>
      </c>
      <c r="AD5">
        <v>0</v>
      </c>
      <c r="AE5">
        <v>1</v>
      </c>
      <c r="AF5">
        <v>0</v>
      </c>
      <c r="AG5">
        <v>2</v>
      </c>
    </row>
    <row r="6" spans="1:33">
      <c r="B6" s="8">
        <v>1</v>
      </c>
      <c r="C6" s="8">
        <v>1</v>
      </c>
      <c r="D6" s="8">
        <v>1</v>
      </c>
      <c r="E6" s="8" t="s">
        <v>27</v>
      </c>
      <c r="F6" t="s">
        <v>35</v>
      </c>
      <c r="O6">
        <v>1</v>
      </c>
      <c r="P6">
        <v>1</v>
      </c>
      <c r="Q6">
        <v>1</v>
      </c>
      <c r="R6" t="s">
        <v>27</v>
      </c>
      <c r="AC6" s="43" t="s">
        <v>123</v>
      </c>
      <c r="AD6">
        <v>0</v>
      </c>
      <c r="AE6">
        <v>2</v>
      </c>
      <c r="AF6">
        <v>0</v>
      </c>
      <c r="AG6">
        <v>3</v>
      </c>
    </row>
    <row r="7" spans="1:33">
      <c r="B7" s="8">
        <v>1</v>
      </c>
      <c r="C7" s="8">
        <v>1</v>
      </c>
      <c r="D7" s="8">
        <v>0</v>
      </c>
      <c r="E7" s="8" t="s">
        <v>27</v>
      </c>
      <c r="F7" t="s">
        <v>36</v>
      </c>
      <c r="O7">
        <v>1</v>
      </c>
      <c r="P7">
        <v>1</v>
      </c>
      <c r="Q7">
        <v>0</v>
      </c>
      <c r="R7" t="s">
        <v>27</v>
      </c>
      <c r="AC7" s="43" t="s">
        <v>124</v>
      </c>
      <c r="AD7">
        <v>0</v>
      </c>
      <c r="AE7">
        <v>2</v>
      </c>
      <c r="AF7">
        <v>0</v>
      </c>
      <c r="AG7">
        <v>3</v>
      </c>
    </row>
    <row r="8" spans="1:33">
      <c r="B8" s="8">
        <v>0</v>
      </c>
      <c r="C8" s="8">
        <v>1</v>
      </c>
      <c r="D8" s="8">
        <v>1</v>
      </c>
      <c r="E8" s="8" t="s">
        <v>27</v>
      </c>
      <c r="O8">
        <v>0</v>
      </c>
      <c r="P8">
        <v>1</v>
      </c>
      <c r="Q8">
        <v>1</v>
      </c>
      <c r="R8" t="s">
        <v>27</v>
      </c>
      <c r="AC8" s="43" t="s">
        <v>125</v>
      </c>
      <c r="AD8">
        <v>0</v>
      </c>
      <c r="AE8">
        <v>1</v>
      </c>
      <c r="AF8">
        <v>1</v>
      </c>
      <c r="AG8">
        <v>3</v>
      </c>
    </row>
    <row r="9" spans="1:33">
      <c r="B9" s="8">
        <v>0</v>
      </c>
      <c r="C9" s="8">
        <v>1</v>
      </c>
      <c r="D9" s="8">
        <v>1</v>
      </c>
      <c r="E9" s="8" t="s">
        <v>26</v>
      </c>
      <c r="H9" t="s">
        <v>40</v>
      </c>
      <c r="I9" t="s">
        <v>41</v>
      </c>
      <c r="O9">
        <v>0</v>
      </c>
      <c r="P9">
        <v>1</v>
      </c>
      <c r="Q9">
        <v>1</v>
      </c>
      <c r="R9" t="s">
        <v>26</v>
      </c>
      <c r="AC9" s="43" t="s">
        <v>126</v>
      </c>
      <c r="AD9">
        <v>0</v>
      </c>
      <c r="AE9">
        <v>2</v>
      </c>
      <c r="AF9">
        <v>1</v>
      </c>
      <c r="AG9">
        <v>3</v>
      </c>
    </row>
    <row r="10" spans="1:33" ht="15.75">
      <c r="B10" s="8">
        <v>0</v>
      </c>
      <c r="C10" s="8">
        <v>0</v>
      </c>
      <c r="D10" s="8">
        <v>1</v>
      </c>
      <c r="E10" s="8" t="s">
        <v>26</v>
      </c>
      <c r="F10" s="9" t="s">
        <v>29</v>
      </c>
      <c r="H10">
        <f>3/6*4/6*2/6*0.6</f>
        <v>6.6666666666666666E-2</v>
      </c>
      <c r="I10">
        <f>1/4*3/4*2/4*0.4</f>
        <v>3.7500000000000006E-2</v>
      </c>
      <c r="O10">
        <v>0</v>
      </c>
      <c r="P10">
        <v>0</v>
      </c>
      <c r="Q10">
        <v>1</v>
      </c>
      <c r="R10" t="s">
        <v>26</v>
      </c>
    </row>
    <row r="11" spans="1:33" ht="15.75">
      <c r="B11" s="8">
        <v>0</v>
      </c>
      <c r="C11" s="8">
        <v>0</v>
      </c>
      <c r="D11" s="8">
        <v>0</v>
      </c>
      <c r="E11" s="8" t="s">
        <v>26</v>
      </c>
      <c r="F11" s="9" t="s">
        <v>30</v>
      </c>
      <c r="H11">
        <f>3/6*2/6*4/6*0.6</f>
        <v>6.6666666666666666E-2</v>
      </c>
      <c r="I11">
        <f>3/4*1/4*2/4*0.4</f>
        <v>3.7500000000000006E-2</v>
      </c>
      <c r="O11">
        <v>0</v>
      </c>
      <c r="P11">
        <v>0</v>
      </c>
      <c r="Q11">
        <v>0</v>
      </c>
      <c r="R11" t="s">
        <v>26</v>
      </c>
      <c r="AC11" s="43" t="s">
        <v>131</v>
      </c>
      <c r="AD11">
        <v>1</v>
      </c>
      <c r="AE11">
        <v>2</v>
      </c>
      <c r="AF11">
        <v>3</v>
      </c>
    </row>
    <row r="12" spans="1:33">
      <c r="A12" s="43">
        <v>0</v>
      </c>
      <c r="B12" s="10">
        <f>COUNTIF(B$2:B$11,0)</f>
        <v>4</v>
      </c>
      <c r="C12" s="10">
        <f>COUNTIF(C$2:C$11,0)</f>
        <v>3</v>
      </c>
      <c r="D12" s="10">
        <f>COUNTIF(D$2:D$11,0)</f>
        <v>4</v>
      </c>
      <c r="E12" s="11" t="s">
        <v>27</v>
      </c>
      <c r="F12" t="s">
        <v>38</v>
      </c>
      <c r="G12">
        <v>0.6</v>
      </c>
      <c r="S12" s="43" t="s">
        <v>26</v>
      </c>
      <c r="T12">
        <f>6/10</f>
        <v>0.6</v>
      </c>
      <c r="AD12">
        <f>2/8</f>
        <v>0.25</v>
      </c>
      <c r="AE12">
        <f>2/8</f>
        <v>0.25</v>
      </c>
      <c r="AF12">
        <f>4/8</f>
        <v>0.5</v>
      </c>
    </row>
    <row r="13" spans="1:33">
      <c r="A13" s="43">
        <v>1</v>
      </c>
      <c r="B13" s="10">
        <f>COUNTIF(B$2:B$11,1)</f>
        <v>6</v>
      </c>
      <c r="C13" s="10">
        <f>COUNTIF(C$2:C$11,1)</f>
        <v>7</v>
      </c>
      <c r="D13" s="10">
        <f>COUNTIF(D$2:D$11,1)</f>
        <v>6</v>
      </c>
      <c r="E13" s="11" t="s">
        <v>26</v>
      </c>
      <c r="F13" t="s">
        <v>39</v>
      </c>
      <c r="G13">
        <v>0.4</v>
      </c>
      <c r="S13" s="43" t="s">
        <v>181</v>
      </c>
      <c r="T13">
        <f>4/10</f>
        <v>0.4</v>
      </c>
      <c r="AC13" s="43" t="s">
        <v>132</v>
      </c>
      <c r="AD13">
        <f>-AD12*LOG(AD12,2)</f>
        <v>0.5</v>
      </c>
      <c r="AE13">
        <f>-AE12*LOG(AE12,2)</f>
        <v>0.5</v>
      </c>
      <c r="AF13">
        <f>-AF12*LOG(AF12,2)</f>
        <v>0.5</v>
      </c>
      <c r="AG13">
        <f>SUM(AD13:AF13)</f>
        <v>1.5</v>
      </c>
    </row>
    <row r="15" spans="1:33">
      <c r="C15" s="36" t="s">
        <v>23</v>
      </c>
      <c r="D15" s="37"/>
      <c r="E15" s="13"/>
      <c r="F15" s="40" t="s">
        <v>24</v>
      </c>
      <c r="G15" s="41"/>
      <c r="H15" s="15"/>
      <c r="I15" s="38" t="s">
        <v>28</v>
      </c>
      <c r="J15" s="39"/>
      <c r="K15" s="18"/>
      <c r="O15" s="45" t="s">
        <v>178</v>
      </c>
      <c r="P15" s="45" t="s">
        <v>26</v>
      </c>
      <c r="Q15" s="45" t="s">
        <v>181</v>
      </c>
      <c r="T15" s="45" t="s">
        <v>178</v>
      </c>
      <c r="U15" s="45" t="s">
        <v>179</v>
      </c>
      <c r="V15" s="45" t="s">
        <v>28</v>
      </c>
      <c r="W15" s="45" t="s">
        <v>26</v>
      </c>
      <c r="X15" s="45" t="s">
        <v>181</v>
      </c>
      <c r="AD15" t="s">
        <v>127</v>
      </c>
      <c r="AE15" t="s">
        <v>128</v>
      </c>
      <c r="AF15" t="s">
        <v>129</v>
      </c>
    </row>
    <row r="16" spans="1:33">
      <c r="B16" t="s">
        <v>25</v>
      </c>
      <c r="C16" s="14" t="s">
        <v>26</v>
      </c>
      <c r="D16" s="14" t="s">
        <v>27</v>
      </c>
      <c r="E16" s="13"/>
      <c r="F16" s="16" t="s">
        <v>26</v>
      </c>
      <c r="G16" s="16" t="s">
        <v>27</v>
      </c>
      <c r="H16" s="15"/>
      <c r="I16" s="18" t="s">
        <v>26</v>
      </c>
      <c r="J16" s="18" t="s">
        <v>27</v>
      </c>
      <c r="K16" s="10"/>
      <c r="O16">
        <v>1</v>
      </c>
      <c r="P16">
        <v>3</v>
      </c>
      <c r="Q16">
        <v>3</v>
      </c>
      <c r="T16">
        <v>0</v>
      </c>
      <c r="U16">
        <v>1</v>
      </c>
      <c r="V16">
        <v>0</v>
      </c>
      <c r="W16">
        <f>3/6*4/7*2/6*T12</f>
        <v>5.7142857142857134E-2</v>
      </c>
      <c r="X16">
        <f>1/4*2/3*2/4*T13</f>
        <v>3.3333333333333333E-2</v>
      </c>
      <c r="Y16">
        <f>MAXA(W16:X16)</f>
        <v>5.7142857142857134E-2</v>
      </c>
      <c r="Z16" t="s">
        <v>26</v>
      </c>
      <c r="AC16">
        <v>1</v>
      </c>
      <c r="AD16">
        <f>AG13-6/8*-6/6*LOG(6/6,2)-2/8*-2/2*LOG(2/2,2)</f>
        <v>1.5</v>
      </c>
      <c r="AE16" t="e">
        <f>#REF!-6/8*-6/6*LOG(6/6,2)-2/8*-2/2*LOG(2/2,2)</f>
        <v>#REF!</v>
      </c>
      <c r="AF16" t="e">
        <f>#REF!-6/8*-6/6*LOG(6/6,2)-2/8*-2/2*LOG(2/2,2)</f>
        <v>#REF!</v>
      </c>
    </row>
    <row r="17" spans="1:32">
      <c r="B17">
        <v>0</v>
      </c>
      <c r="C17" s="14">
        <v>3</v>
      </c>
      <c r="D17" s="14">
        <v>1</v>
      </c>
      <c r="E17" s="19">
        <f>SUM(C17:D17)/10</f>
        <v>0.4</v>
      </c>
      <c r="F17" s="16">
        <v>2</v>
      </c>
      <c r="G17" s="16">
        <v>1</v>
      </c>
      <c r="H17" s="20">
        <f>SUM(F17:G17)/10</f>
        <v>0.3</v>
      </c>
      <c r="I17" s="17">
        <v>2</v>
      </c>
      <c r="J17" s="17">
        <v>2</v>
      </c>
      <c r="K17" s="21">
        <f>SUM(I17:J17)/10</f>
        <v>0.4</v>
      </c>
      <c r="O17">
        <v>0</v>
      </c>
      <c r="P17">
        <v>3</v>
      </c>
      <c r="Q17">
        <v>1</v>
      </c>
      <c r="T17">
        <v>1</v>
      </c>
      <c r="U17">
        <v>0</v>
      </c>
      <c r="V17">
        <v>1</v>
      </c>
      <c r="W17">
        <f>3/6*3/7*4/6*T12</f>
        <v>8.5714285714285701E-2</v>
      </c>
      <c r="X17">
        <f>3/4*1/3*2/4*T13</f>
        <v>0.05</v>
      </c>
      <c r="Y17">
        <f>MAXA(W17:X17)</f>
        <v>8.5714285714285701E-2</v>
      </c>
      <c r="Z17" t="s">
        <v>26</v>
      </c>
      <c r="AC17">
        <v>2</v>
      </c>
      <c r="AD17">
        <f>AG13-6/8*-6/6*LOG(6/6,2)-2/8*-2/2*LOG(2/2,2)</f>
        <v>1.5</v>
      </c>
      <c r="AE17" t="e">
        <f>#REF!-6/8*-6/6*LOG(6/6,2)-2/8*-2/2*LOG(2/2,2)</f>
        <v>#REF!</v>
      </c>
      <c r="AF17" t="e">
        <f>#REF!-6/8*-6/6*LOG(6/6,2)-2/8*-2/2*LOG(2/2,2)</f>
        <v>#REF!</v>
      </c>
    </row>
    <row r="18" spans="1:32">
      <c r="B18">
        <v>1</v>
      </c>
      <c r="C18" s="13">
        <v>3</v>
      </c>
      <c r="D18" s="13">
        <v>3</v>
      </c>
      <c r="E18" s="19">
        <f>SUM(C18:D18)/10</f>
        <v>0.6</v>
      </c>
      <c r="F18" s="15">
        <v>4</v>
      </c>
      <c r="G18" s="15">
        <v>3</v>
      </c>
      <c r="H18" s="20">
        <f>SUM(F18:G18)/10</f>
        <v>0.7</v>
      </c>
      <c r="I18" s="10">
        <v>4</v>
      </c>
      <c r="J18" s="10">
        <v>2</v>
      </c>
      <c r="K18" s="21">
        <f>SUM(I18:J18)/10</f>
        <v>0.6</v>
      </c>
      <c r="P18">
        <f>SUM(P16:P17)</f>
        <v>6</v>
      </c>
      <c r="Q18">
        <f>SUM(Q16:Q17)</f>
        <v>4</v>
      </c>
      <c r="AC18">
        <v>3</v>
      </c>
      <c r="AD18">
        <f>AG13-8/8*-8/8*LOG(1,2)</f>
        <v>1.5</v>
      </c>
      <c r="AE18" t="e">
        <f>#REF!-6/8*-6/6*LOG(6/6,2)-2/8*-2/2*LOG(2/2,2)</f>
        <v>#REF!</v>
      </c>
      <c r="AF18" t="e">
        <f>#REF!-6/8*-6/6*LOG(6/6,2)-2/8*-2/2*LOG(2/2,2)</f>
        <v>#REF!</v>
      </c>
    </row>
    <row r="19" spans="1:32">
      <c r="C19" s="19">
        <f>SUM(C17:C18)/10</f>
        <v>0.6</v>
      </c>
      <c r="D19" s="19">
        <f>SUM(D17:D18)/10</f>
        <v>0.4</v>
      </c>
      <c r="E19" s="13"/>
      <c r="F19" s="20">
        <f>SUM(F17:F18)/10</f>
        <v>0.6</v>
      </c>
      <c r="G19" s="20">
        <f>SUM(G17:G18)/10</f>
        <v>0.4</v>
      </c>
      <c r="H19" s="15"/>
      <c r="I19" s="21">
        <f>SUM(I17:I18)/10</f>
        <v>0.6</v>
      </c>
      <c r="J19" s="21">
        <f>SUM(J17:J18)/10</f>
        <v>0.4</v>
      </c>
      <c r="K19" s="10"/>
    </row>
    <row r="20" spans="1:32">
      <c r="O20" s="45" t="s">
        <v>179</v>
      </c>
      <c r="P20" s="45" t="s">
        <v>26</v>
      </c>
      <c r="Q20" s="45" t="s">
        <v>181</v>
      </c>
    </row>
    <row r="21" spans="1:32">
      <c r="O21">
        <v>1</v>
      </c>
      <c r="P21">
        <v>4</v>
      </c>
      <c r="Q21">
        <v>2</v>
      </c>
    </row>
    <row r="22" spans="1:32">
      <c r="A22" t="s">
        <v>213</v>
      </c>
      <c r="B22">
        <v>0.01</v>
      </c>
      <c r="O22">
        <v>0</v>
      </c>
      <c r="P22">
        <v>3</v>
      </c>
      <c r="Q22">
        <v>1</v>
      </c>
    </row>
    <row r="23" spans="1:32">
      <c r="A23" t="s">
        <v>214</v>
      </c>
      <c r="B23">
        <f>1-B22</f>
        <v>0.99</v>
      </c>
      <c r="P23">
        <f>SUM(P21:P22)</f>
        <v>7</v>
      </c>
      <c r="Q23">
        <f>SUM(Q21:Q22)</f>
        <v>3</v>
      </c>
    </row>
    <row r="24" spans="1:32">
      <c r="A24" t="s">
        <v>215</v>
      </c>
      <c r="B24">
        <v>1E-3</v>
      </c>
    </row>
    <row r="25" spans="1:32">
      <c r="A25" t="s">
        <v>216</v>
      </c>
      <c r="B25">
        <f>1-B24</f>
        <v>0.999</v>
      </c>
      <c r="C25" s="22"/>
      <c r="O25" s="45" t="s">
        <v>28</v>
      </c>
      <c r="P25" s="45" t="s">
        <v>26</v>
      </c>
      <c r="Q25" s="45" t="s">
        <v>181</v>
      </c>
    </row>
    <row r="26" spans="1:32">
      <c r="A26" t="s">
        <v>217</v>
      </c>
      <c r="B26">
        <f>B24*B23+B25*B22</f>
        <v>1.098E-2</v>
      </c>
      <c r="O26">
        <v>1</v>
      </c>
      <c r="P26">
        <v>4</v>
      </c>
      <c r="Q26">
        <v>2</v>
      </c>
    </row>
    <row r="27" spans="1:32">
      <c r="A27" t="s">
        <v>218</v>
      </c>
      <c r="B27" s="43">
        <f>B24*B23/B26</f>
        <v>9.0163934426229511E-2</v>
      </c>
      <c r="C27" t="s">
        <v>219</v>
      </c>
      <c r="O27">
        <v>0</v>
      </c>
      <c r="P27">
        <v>2</v>
      </c>
      <c r="Q27">
        <v>2</v>
      </c>
    </row>
    <row r="28" spans="1:32">
      <c r="A28" t="s">
        <v>213</v>
      </c>
      <c r="B28">
        <v>0.01</v>
      </c>
      <c r="P28">
        <f>SUM(P26:P27)</f>
        <v>6</v>
      </c>
      <c r="Q28">
        <f>SUM(Q26:Q27)</f>
        <v>4</v>
      </c>
    </row>
    <row r="29" spans="1:32">
      <c r="A29" t="s">
        <v>214</v>
      </c>
      <c r="B29">
        <f>1-B28</f>
        <v>0.99</v>
      </c>
    </row>
    <row r="30" spans="1:32">
      <c r="A30" t="s">
        <v>215</v>
      </c>
      <c r="B30">
        <f>B27</f>
        <v>9.0163934426229511E-2</v>
      </c>
    </row>
    <row r="31" spans="1:32">
      <c r="A31" t="s">
        <v>216</v>
      </c>
      <c r="B31">
        <f>1-B30</f>
        <v>0.9098360655737705</v>
      </c>
    </row>
    <row r="32" spans="1:32">
      <c r="A32" t="s">
        <v>217</v>
      </c>
      <c r="B32">
        <f>B30*B29+B31*B28</f>
        <v>9.8360655737704916E-2</v>
      </c>
    </row>
    <row r="33" spans="1:3">
      <c r="A33" t="s">
        <v>218</v>
      </c>
      <c r="B33" s="55">
        <f>B30*B29/B32</f>
        <v>0.90750000000000008</v>
      </c>
      <c r="C33" t="s">
        <v>220</v>
      </c>
    </row>
  </sheetData>
  <mergeCells count="3">
    <mergeCell ref="C15:D15"/>
    <mergeCell ref="I15:J15"/>
    <mergeCell ref="F15:G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FDE2-F6FA-4B7D-A100-81BF63D1DB26}">
  <dimension ref="A1:K49"/>
  <sheetViews>
    <sheetView topLeftCell="B11" workbookViewId="0">
      <selection activeCell="J32" sqref="J32"/>
    </sheetView>
  </sheetViews>
  <sheetFormatPr baseColWidth="10" defaultColWidth="9.140625" defaultRowHeight="15"/>
  <cols>
    <col min="1" max="1" width="16.85546875" customWidth="1"/>
    <col min="8" max="8" width="18.5703125" customWidth="1"/>
    <col min="11" max="11" width="9" style="26"/>
  </cols>
  <sheetData>
    <row r="1" spans="1:11" ht="25.5" customHeight="1">
      <c r="A1" t="s">
        <v>42</v>
      </c>
      <c r="D1" t="s">
        <v>55</v>
      </c>
      <c r="E1" t="s">
        <v>56</v>
      </c>
      <c r="H1" s="12" t="s">
        <v>83</v>
      </c>
      <c r="I1" t="s">
        <v>47</v>
      </c>
      <c r="J1" t="s">
        <v>94</v>
      </c>
      <c r="K1" s="26" t="s">
        <v>44</v>
      </c>
    </row>
    <row r="2" spans="1:11">
      <c r="A2" t="s">
        <v>43</v>
      </c>
      <c r="D2" t="s">
        <v>57</v>
      </c>
      <c r="E2" t="s">
        <v>63</v>
      </c>
      <c r="H2" t="s">
        <v>84</v>
      </c>
      <c r="I2">
        <v>4</v>
      </c>
      <c r="J2" s="26">
        <f>I2/5</f>
        <v>0.8</v>
      </c>
      <c r="K2" s="26">
        <f>I2/5</f>
        <v>0.8</v>
      </c>
    </row>
    <row r="3" spans="1:11">
      <c r="A3" t="s">
        <v>44</v>
      </c>
      <c r="D3" t="s">
        <v>58</v>
      </c>
      <c r="E3" t="s">
        <v>62</v>
      </c>
      <c r="H3" t="s">
        <v>85</v>
      </c>
      <c r="I3">
        <v>4</v>
      </c>
      <c r="J3" s="26">
        <f t="shared" ref="J3:J16" si="0">I3/5</f>
        <v>0.8</v>
      </c>
      <c r="K3" s="26">
        <f t="shared" ref="K3:K5" si="1">I3/4</f>
        <v>1</v>
      </c>
    </row>
    <row r="4" spans="1:11">
      <c r="D4" t="s">
        <v>59</v>
      </c>
      <c r="E4" t="s">
        <v>64</v>
      </c>
      <c r="H4" t="s">
        <v>86</v>
      </c>
      <c r="I4">
        <v>4</v>
      </c>
      <c r="J4" s="26">
        <f t="shared" si="0"/>
        <v>0.8</v>
      </c>
      <c r="K4" s="26">
        <f>I4/5</f>
        <v>0.8</v>
      </c>
    </row>
    <row r="5" spans="1:11">
      <c r="D5" t="s">
        <v>60</v>
      </c>
      <c r="E5" t="s">
        <v>65</v>
      </c>
      <c r="H5" t="s">
        <v>87</v>
      </c>
      <c r="I5">
        <v>4</v>
      </c>
      <c r="J5" s="26">
        <f t="shared" si="0"/>
        <v>0.8</v>
      </c>
      <c r="K5" s="26">
        <f t="shared" si="1"/>
        <v>1</v>
      </c>
    </row>
    <row r="6" spans="1:11">
      <c r="A6" t="s">
        <v>68</v>
      </c>
      <c r="D6" t="s">
        <v>61</v>
      </c>
      <c r="E6" t="s">
        <v>66</v>
      </c>
      <c r="H6" s="10" t="s">
        <v>88</v>
      </c>
      <c r="I6" s="10">
        <v>3</v>
      </c>
      <c r="J6" s="27">
        <f t="shared" si="0"/>
        <v>0.6</v>
      </c>
      <c r="K6" s="27">
        <f>I6/5</f>
        <v>0.6</v>
      </c>
    </row>
    <row r="7" spans="1:11">
      <c r="A7" t="s">
        <v>67</v>
      </c>
      <c r="B7">
        <f>5*0.6</f>
        <v>3</v>
      </c>
      <c r="H7" t="s">
        <v>89</v>
      </c>
      <c r="I7">
        <v>3</v>
      </c>
      <c r="J7" s="26">
        <f t="shared" si="0"/>
        <v>0.6</v>
      </c>
      <c r="K7" s="26">
        <f>I7/3</f>
        <v>1</v>
      </c>
    </row>
    <row r="8" spans="1:11">
      <c r="A8" s="42" t="s">
        <v>45</v>
      </c>
      <c r="B8" s="42"/>
      <c r="D8" s="42" t="s">
        <v>69</v>
      </c>
      <c r="E8" s="42"/>
      <c r="H8" t="s">
        <v>90</v>
      </c>
      <c r="I8">
        <v>3</v>
      </c>
      <c r="J8" s="26">
        <f t="shared" si="0"/>
        <v>0.6</v>
      </c>
      <c r="K8" s="26">
        <f>I8/4</f>
        <v>0.75</v>
      </c>
    </row>
    <row r="9" spans="1:11">
      <c r="A9" t="s">
        <v>46</v>
      </c>
      <c r="B9" t="s">
        <v>47</v>
      </c>
      <c r="D9" t="s">
        <v>46</v>
      </c>
      <c r="E9" t="s">
        <v>47</v>
      </c>
      <c r="H9" t="s">
        <v>91</v>
      </c>
      <c r="I9">
        <v>3</v>
      </c>
      <c r="J9" s="26">
        <f t="shared" si="0"/>
        <v>0.6</v>
      </c>
      <c r="K9" s="26">
        <f>I9/4</f>
        <v>0.75</v>
      </c>
    </row>
    <row r="10" spans="1:11">
      <c r="A10" t="s">
        <v>48</v>
      </c>
      <c r="B10">
        <v>5</v>
      </c>
      <c r="D10" t="s">
        <v>48</v>
      </c>
      <c r="E10">
        <v>5</v>
      </c>
      <c r="H10" t="s">
        <v>92</v>
      </c>
      <c r="I10">
        <v>3</v>
      </c>
      <c r="J10" s="26">
        <f t="shared" si="0"/>
        <v>0.6</v>
      </c>
      <c r="K10" s="26">
        <f>I10/4</f>
        <v>0.75</v>
      </c>
    </row>
    <row r="11" spans="1:11">
      <c r="A11" t="s">
        <v>49</v>
      </c>
      <c r="B11">
        <v>4</v>
      </c>
      <c r="D11" t="s">
        <v>49</v>
      </c>
      <c r="E11">
        <v>4</v>
      </c>
      <c r="H11" t="s">
        <v>93</v>
      </c>
      <c r="I11">
        <v>3</v>
      </c>
      <c r="J11" s="26">
        <f t="shared" si="0"/>
        <v>0.6</v>
      </c>
      <c r="K11" s="26">
        <f>I11/3</f>
        <v>1</v>
      </c>
    </row>
    <row r="12" spans="1:11">
      <c r="A12" t="s">
        <v>50</v>
      </c>
      <c r="B12">
        <v>4</v>
      </c>
      <c r="D12" t="s">
        <v>50</v>
      </c>
      <c r="E12">
        <v>4</v>
      </c>
      <c r="H12" s="10" t="s">
        <v>95</v>
      </c>
      <c r="I12" s="10">
        <v>3</v>
      </c>
      <c r="J12" s="27">
        <f t="shared" si="0"/>
        <v>0.6</v>
      </c>
      <c r="K12" s="27">
        <f>I12/5</f>
        <v>0.6</v>
      </c>
    </row>
    <row r="13" spans="1:11">
      <c r="A13" s="23" t="s">
        <v>51</v>
      </c>
      <c r="B13" s="23">
        <v>2</v>
      </c>
      <c r="D13" t="s">
        <v>52</v>
      </c>
      <c r="E13">
        <v>3</v>
      </c>
      <c r="H13" t="s">
        <v>97</v>
      </c>
      <c r="I13">
        <v>3</v>
      </c>
      <c r="J13" s="26">
        <f t="shared" si="0"/>
        <v>0.6</v>
      </c>
      <c r="K13" s="26">
        <f>I13/4</f>
        <v>0.75</v>
      </c>
    </row>
    <row r="14" spans="1:11">
      <c r="A14" t="s">
        <v>52</v>
      </c>
      <c r="B14">
        <v>3</v>
      </c>
      <c r="H14" t="s">
        <v>98</v>
      </c>
      <c r="I14">
        <v>3</v>
      </c>
      <c r="J14" s="26">
        <f t="shared" si="0"/>
        <v>0.6</v>
      </c>
      <c r="K14" s="26">
        <f>I14/4</f>
        <v>0.75</v>
      </c>
    </row>
    <row r="15" spans="1:11">
      <c r="A15" s="23" t="s">
        <v>53</v>
      </c>
      <c r="B15" s="23">
        <v>2</v>
      </c>
      <c r="H15" t="s">
        <v>99</v>
      </c>
      <c r="I15">
        <v>3</v>
      </c>
      <c r="J15" s="26">
        <f t="shared" si="0"/>
        <v>0.6</v>
      </c>
      <c r="K15" s="26">
        <f>I15/4</f>
        <v>0.75</v>
      </c>
    </row>
    <row r="16" spans="1:11">
      <c r="A16" s="23" t="s">
        <v>54</v>
      </c>
      <c r="B16" s="23">
        <v>1</v>
      </c>
      <c r="H16" t="s">
        <v>100</v>
      </c>
      <c r="I16">
        <v>3</v>
      </c>
      <c r="J16" s="26">
        <f t="shared" si="0"/>
        <v>0.6</v>
      </c>
      <c r="K16" s="26">
        <f>I16/4</f>
        <v>0.75</v>
      </c>
    </row>
    <row r="17" spans="1:11">
      <c r="H17" t="s">
        <v>101</v>
      </c>
      <c r="I17">
        <v>3</v>
      </c>
      <c r="J17" s="26">
        <f t="shared" ref="J17:J23" si="2">I17/5</f>
        <v>0.6</v>
      </c>
      <c r="K17" s="26">
        <f>I17/3</f>
        <v>1</v>
      </c>
    </row>
    <row r="18" spans="1:11">
      <c r="H18" s="10" t="s">
        <v>96</v>
      </c>
      <c r="I18" s="10">
        <v>3</v>
      </c>
      <c r="J18" s="27">
        <f t="shared" si="2"/>
        <v>0.6</v>
      </c>
      <c r="K18" s="27">
        <f>I18/5</f>
        <v>0.6</v>
      </c>
    </row>
    <row r="19" spans="1:11">
      <c r="A19" s="42" t="s">
        <v>45</v>
      </c>
      <c r="B19" s="42"/>
      <c r="D19" s="42" t="s">
        <v>76</v>
      </c>
      <c r="E19" s="42"/>
      <c r="H19" t="s">
        <v>105</v>
      </c>
      <c r="I19">
        <v>3</v>
      </c>
      <c r="J19" s="26">
        <f t="shared" si="2"/>
        <v>0.6</v>
      </c>
      <c r="K19" s="26">
        <f>I19/4</f>
        <v>0.75</v>
      </c>
    </row>
    <row r="20" spans="1:11">
      <c r="A20" t="s">
        <v>46</v>
      </c>
      <c r="B20" t="s">
        <v>47</v>
      </c>
      <c r="D20" t="s">
        <v>46</v>
      </c>
      <c r="E20" t="s">
        <v>47</v>
      </c>
      <c r="H20" t="s">
        <v>106</v>
      </c>
      <c r="I20">
        <v>3</v>
      </c>
      <c r="J20" s="26">
        <f t="shared" si="2"/>
        <v>0.6</v>
      </c>
      <c r="K20" s="26">
        <f>I20/3</f>
        <v>1</v>
      </c>
    </row>
    <row r="21" spans="1:11">
      <c r="A21" s="24" t="s">
        <v>70</v>
      </c>
      <c r="B21" s="24">
        <v>4</v>
      </c>
      <c r="D21" s="24" t="s">
        <v>70</v>
      </c>
      <c r="E21" s="24">
        <v>4</v>
      </c>
      <c r="H21" t="s">
        <v>102</v>
      </c>
      <c r="I21">
        <v>3</v>
      </c>
      <c r="J21" s="26">
        <f t="shared" si="2"/>
        <v>0.6</v>
      </c>
      <c r="K21" s="26">
        <f>I21/4</f>
        <v>0.75</v>
      </c>
    </row>
    <row r="22" spans="1:11">
      <c r="A22" s="24" t="s">
        <v>71</v>
      </c>
      <c r="B22" s="24">
        <v>4</v>
      </c>
      <c r="D22" s="24" t="s">
        <v>71</v>
      </c>
      <c r="E22" s="24">
        <v>4</v>
      </c>
      <c r="H22" t="s">
        <v>103</v>
      </c>
      <c r="I22">
        <v>3</v>
      </c>
      <c r="J22" s="26">
        <f t="shared" si="2"/>
        <v>0.6</v>
      </c>
      <c r="K22" s="26">
        <f>I22/3</f>
        <v>1</v>
      </c>
    </row>
    <row r="23" spans="1:11">
      <c r="A23" s="24" t="s">
        <v>72</v>
      </c>
      <c r="B23" s="24">
        <v>3</v>
      </c>
      <c r="D23" s="24" t="s">
        <v>72</v>
      </c>
      <c r="E23" s="24">
        <v>3</v>
      </c>
      <c r="H23" t="s">
        <v>104</v>
      </c>
      <c r="I23">
        <v>3</v>
      </c>
      <c r="J23" s="26">
        <f t="shared" si="2"/>
        <v>0.6</v>
      </c>
      <c r="K23" s="26">
        <f>I23/3</f>
        <v>1</v>
      </c>
    </row>
    <row r="24" spans="1:11">
      <c r="A24" s="24" t="s">
        <v>73</v>
      </c>
      <c r="B24" s="24">
        <v>3</v>
      </c>
      <c r="D24" s="24" t="s">
        <v>73</v>
      </c>
      <c r="E24" s="24">
        <v>3</v>
      </c>
    </row>
    <row r="25" spans="1:11">
      <c r="A25" s="24" t="s">
        <v>74</v>
      </c>
      <c r="B25" s="24">
        <v>3</v>
      </c>
      <c r="D25" s="24" t="s">
        <v>74</v>
      </c>
      <c r="E25" s="24">
        <v>3</v>
      </c>
    </row>
    <row r="26" spans="1:11">
      <c r="A26" s="25" t="s">
        <v>75</v>
      </c>
      <c r="B26" s="25">
        <v>2</v>
      </c>
      <c r="J26" s="26"/>
    </row>
    <row r="27" spans="1:11">
      <c r="A27" s="24"/>
      <c r="B27" s="24"/>
      <c r="J27" s="26"/>
    </row>
    <row r="28" spans="1:11">
      <c r="I28" t="s">
        <v>114</v>
      </c>
      <c r="J28" s="26" t="s">
        <v>115</v>
      </c>
      <c r="K28" s="26" t="s">
        <v>116</v>
      </c>
    </row>
    <row r="29" spans="1:11" ht="17.25">
      <c r="A29" s="42" t="s">
        <v>77</v>
      </c>
      <c r="B29" s="42"/>
      <c r="D29" s="42" t="s">
        <v>82</v>
      </c>
      <c r="E29" s="42"/>
      <c r="H29" s="31" t="s">
        <v>107</v>
      </c>
      <c r="I29" s="32">
        <v>1</v>
      </c>
      <c r="J29" s="33"/>
      <c r="K29" s="33">
        <v>1</v>
      </c>
    </row>
    <row r="30" spans="1:11" ht="17.25">
      <c r="A30" t="s">
        <v>46</v>
      </c>
      <c r="B30" t="s">
        <v>47</v>
      </c>
      <c r="D30" t="s">
        <v>46</v>
      </c>
      <c r="E30" t="s">
        <v>47</v>
      </c>
      <c r="H30" s="31" t="s">
        <v>108</v>
      </c>
      <c r="I30" s="32">
        <v>1</v>
      </c>
      <c r="J30" s="33"/>
      <c r="K30" s="33">
        <v>1</v>
      </c>
    </row>
    <row r="31" spans="1:11" ht="17.25">
      <c r="A31" s="24" t="s">
        <v>78</v>
      </c>
      <c r="B31" s="24">
        <v>3</v>
      </c>
      <c r="D31" s="24" t="s">
        <v>78</v>
      </c>
      <c r="E31" s="24">
        <v>3</v>
      </c>
      <c r="H31" s="31" t="s">
        <v>109</v>
      </c>
      <c r="I31" s="32">
        <v>1</v>
      </c>
      <c r="J31" s="33">
        <v>1</v>
      </c>
      <c r="K31" s="33">
        <v>1</v>
      </c>
    </row>
    <row r="32" spans="1:11" ht="17.25">
      <c r="A32" s="24" t="s">
        <v>81</v>
      </c>
      <c r="B32" s="24">
        <v>3</v>
      </c>
      <c r="D32" s="24" t="s">
        <v>81</v>
      </c>
      <c r="E32" s="24">
        <v>3</v>
      </c>
      <c r="H32" s="31" t="s">
        <v>110</v>
      </c>
      <c r="I32" s="32">
        <v>1</v>
      </c>
      <c r="J32" s="33"/>
      <c r="K32" s="33">
        <v>1</v>
      </c>
    </row>
    <row r="33" spans="1:11" ht="17.25">
      <c r="A33" s="25" t="s">
        <v>79</v>
      </c>
      <c r="B33" s="25">
        <v>2</v>
      </c>
      <c r="D33" s="24"/>
      <c r="E33" s="24"/>
      <c r="H33" s="31" t="s">
        <v>111</v>
      </c>
      <c r="I33" s="32">
        <v>1</v>
      </c>
      <c r="J33" s="32">
        <v>1</v>
      </c>
      <c r="K33" s="33">
        <v>1</v>
      </c>
    </row>
    <row r="34" spans="1:11" ht="17.25">
      <c r="A34" s="25" t="s">
        <v>80</v>
      </c>
      <c r="B34" s="25">
        <v>2</v>
      </c>
      <c r="D34" s="24"/>
      <c r="E34" s="24"/>
      <c r="H34" s="31" t="s">
        <v>112</v>
      </c>
      <c r="I34" s="32">
        <v>1</v>
      </c>
      <c r="J34" s="32">
        <v>1</v>
      </c>
      <c r="K34" s="33"/>
    </row>
    <row r="35" spans="1:11" ht="17.25">
      <c r="A35" s="24"/>
      <c r="B35" s="24"/>
      <c r="D35" s="24"/>
      <c r="E35" s="24"/>
      <c r="H35" s="31" t="s">
        <v>113</v>
      </c>
      <c r="I35" s="32">
        <v>1</v>
      </c>
      <c r="J35" s="32">
        <v>1</v>
      </c>
      <c r="K35" s="33"/>
    </row>
    <row r="36" spans="1:11" ht="17.25">
      <c r="H36" s="34" t="s">
        <v>117</v>
      </c>
      <c r="I36" s="32"/>
      <c r="J36" s="32">
        <v>1</v>
      </c>
      <c r="K36" s="33"/>
    </row>
    <row r="37" spans="1:11" ht="17.25">
      <c r="H37" s="35" t="s">
        <v>118</v>
      </c>
      <c r="I37" s="32"/>
      <c r="J37" s="32">
        <v>1</v>
      </c>
      <c r="K37" s="33"/>
    </row>
    <row r="38" spans="1:11" ht="17.25">
      <c r="H38" s="35" t="s">
        <v>119</v>
      </c>
      <c r="I38" s="32"/>
      <c r="J38" s="32">
        <v>1</v>
      </c>
      <c r="K38" s="33"/>
    </row>
    <row r="39" spans="1:11">
      <c r="H39" s="32" t="s">
        <v>121</v>
      </c>
      <c r="I39" s="32"/>
      <c r="J39" s="32"/>
      <c r="K39" s="33">
        <v>1</v>
      </c>
    </row>
    <row r="40" spans="1:11" ht="17.25">
      <c r="H40" s="35" t="s">
        <v>120</v>
      </c>
      <c r="I40" s="32"/>
      <c r="J40" s="32"/>
      <c r="K40" s="33">
        <v>1</v>
      </c>
    </row>
    <row r="41" spans="1:11" ht="17.25">
      <c r="H41" s="29"/>
    </row>
    <row r="42" spans="1:11" ht="17.25">
      <c r="H42" s="30"/>
    </row>
    <row r="43" spans="1:11" ht="17.25">
      <c r="H43" s="28"/>
    </row>
    <row r="44" spans="1:11" ht="17.25">
      <c r="H44" s="28"/>
    </row>
    <row r="45" spans="1:11" ht="17.25">
      <c r="H45" s="28"/>
    </row>
    <row r="46" spans="1:11" ht="17.25">
      <c r="H46" s="28"/>
    </row>
    <row r="47" spans="1:11" ht="17.25">
      <c r="H47" s="28"/>
    </row>
    <row r="48" spans="1:11" ht="17.25">
      <c r="H48" s="28"/>
    </row>
    <row r="49" spans="8:8" ht="17.25">
      <c r="H49" s="28"/>
    </row>
  </sheetData>
  <mergeCells count="6">
    <mergeCell ref="A8:B8"/>
    <mergeCell ref="D8:E8"/>
    <mergeCell ref="A19:B19"/>
    <mergeCell ref="D19:E19"/>
    <mergeCell ref="A29:B29"/>
    <mergeCell ref="D29:E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CAE4-CF48-4A89-B57C-75CBD066F942}">
  <dimension ref="A1:K62"/>
  <sheetViews>
    <sheetView workbookViewId="0">
      <selection activeCell="A2" sqref="A2:E15"/>
    </sheetView>
  </sheetViews>
  <sheetFormatPr baseColWidth="10" defaultRowHeight="15"/>
  <cols>
    <col min="6" max="7" width="12" bestFit="1" customWidth="1"/>
    <col min="9" max="9" width="66.85546875" customWidth="1"/>
    <col min="10" max="10" width="9.28515625" bestFit="1" customWidth="1"/>
    <col min="11" max="11" width="8.7109375" bestFit="1" customWidth="1"/>
  </cols>
  <sheetData>
    <row r="1" spans="1:5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 hidden="1">
      <c r="A2" t="s">
        <v>139</v>
      </c>
      <c r="B2">
        <v>85</v>
      </c>
      <c r="C2">
        <v>85</v>
      </c>
      <c r="D2" t="s">
        <v>140</v>
      </c>
      <c r="E2" t="s">
        <v>141</v>
      </c>
    </row>
    <row r="3" spans="1:5" hidden="1">
      <c r="A3" t="s">
        <v>139</v>
      </c>
      <c r="B3">
        <v>80</v>
      </c>
      <c r="C3">
        <v>90</v>
      </c>
      <c r="D3" t="s">
        <v>142</v>
      </c>
      <c r="E3" t="s">
        <v>141</v>
      </c>
    </row>
    <row r="4" spans="1:5">
      <c r="A4" t="s">
        <v>143</v>
      </c>
      <c r="B4">
        <v>83</v>
      </c>
      <c r="C4">
        <v>78</v>
      </c>
      <c r="D4" t="s">
        <v>140</v>
      </c>
      <c r="E4" t="s">
        <v>144</v>
      </c>
    </row>
    <row r="5" spans="1:5">
      <c r="A5" t="s">
        <v>145</v>
      </c>
      <c r="B5">
        <v>70</v>
      </c>
      <c r="C5">
        <v>96</v>
      </c>
      <c r="D5" t="s">
        <v>140</v>
      </c>
      <c r="E5" t="s">
        <v>144</v>
      </c>
    </row>
    <row r="6" spans="1:5">
      <c r="A6" t="s">
        <v>145</v>
      </c>
      <c r="B6">
        <v>68</v>
      </c>
      <c r="C6">
        <v>80</v>
      </c>
      <c r="D6" t="s">
        <v>140</v>
      </c>
      <c r="E6" t="s">
        <v>144</v>
      </c>
    </row>
    <row r="7" spans="1:5">
      <c r="A7" t="s">
        <v>145</v>
      </c>
      <c r="B7">
        <v>65</v>
      </c>
      <c r="C7">
        <v>70</v>
      </c>
      <c r="D7" t="s">
        <v>140</v>
      </c>
      <c r="E7" t="s">
        <v>144</v>
      </c>
    </row>
    <row r="8" spans="1:5">
      <c r="A8" t="s">
        <v>143</v>
      </c>
      <c r="B8">
        <v>64</v>
      </c>
      <c r="C8">
        <v>65</v>
      </c>
      <c r="D8" t="s">
        <v>142</v>
      </c>
      <c r="E8" t="s">
        <v>144</v>
      </c>
    </row>
    <row r="9" spans="1:5" hidden="1">
      <c r="A9" t="s">
        <v>139</v>
      </c>
      <c r="B9">
        <v>72</v>
      </c>
      <c r="C9">
        <v>95</v>
      </c>
      <c r="D9" t="s">
        <v>140</v>
      </c>
      <c r="E9" t="s">
        <v>141</v>
      </c>
    </row>
    <row r="10" spans="1:5">
      <c r="A10" t="s">
        <v>139</v>
      </c>
      <c r="B10">
        <v>69</v>
      </c>
      <c r="C10">
        <v>70</v>
      </c>
      <c r="D10" t="s">
        <v>140</v>
      </c>
      <c r="E10" t="s">
        <v>144</v>
      </c>
    </row>
    <row r="11" spans="1:5">
      <c r="A11" t="s">
        <v>145</v>
      </c>
      <c r="B11">
        <v>75</v>
      </c>
      <c r="C11">
        <v>80</v>
      </c>
      <c r="D11" t="s">
        <v>140</v>
      </c>
      <c r="E11" t="s">
        <v>144</v>
      </c>
    </row>
    <row r="12" spans="1:5">
      <c r="A12" t="s">
        <v>139</v>
      </c>
      <c r="B12">
        <v>75</v>
      </c>
      <c r="C12">
        <v>70</v>
      </c>
      <c r="D12" t="s">
        <v>142</v>
      </c>
      <c r="E12" t="s">
        <v>144</v>
      </c>
    </row>
    <row r="13" spans="1:5">
      <c r="A13" t="s">
        <v>143</v>
      </c>
      <c r="B13">
        <v>72</v>
      </c>
      <c r="C13">
        <v>90</v>
      </c>
      <c r="D13" t="s">
        <v>142</v>
      </c>
      <c r="E13" t="s">
        <v>144</v>
      </c>
    </row>
    <row r="14" spans="1:5">
      <c r="A14" t="s">
        <v>143</v>
      </c>
      <c r="B14">
        <v>81</v>
      </c>
      <c r="C14">
        <v>75</v>
      </c>
      <c r="D14" t="s">
        <v>140</v>
      </c>
      <c r="E14" t="s">
        <v>144</v>
      </c>
    </row>
    <row r="15" spans="1:5" hidden="1">
      <c r="A15" t="s">
        <v>145</v>
      </c>
      <c r="B15">
        <v>71</v>
      </c>
      <c r="C15">
        <v>80</v>
      </c>
      <c r="D15" t="s">
        <v>142</v>
      </c>
      <c r="E15" t="s">
        <v>141</v>
      </c>
    </row>
    <row r="16" spans="1:5">
      <c r="A16" t="s">
        <v>163</v>
      </c>
      <c r="B16">
        <f>AVERAGE(Tabell1[Temp.])</f>
        <v>73.571428571428569</v>
      </c>
      <c r="C16">
        <f>AVERAGE(Tabell1[Humidity])</f>
        <v>80.285714285714292</v>
      </c>
    </row>
    <row r="17" spans="1:11">
      <c r="A17" t="s">
        <v>164</v>
      </c>
      <c r="B17">
        <f>STDEV(Tabell1[Temp.])</f>
        <v>6.5716674586297499</v>
      </c>
      <c r="C17">
        <f>STDEV(Tabell1[Temp.])</f>
        <v>6.5716674586297499</v>
      </c>
    </row>
    <row r="18" spans="1:11">
      <c r="B18">
        <f>NORMDIST(B4,Tabell1[[#Totals],[Temp.]],B17,TRUE)</f>
        <v>0.92431803858790174</v>
      </c>
    </row>
    <row r="20" spans="1:11">
      <c r="I20" t="s">
        <v>133</v>
      </c>
      <c r="J20" t="s">
        <v>146</v>
      </c>
      <c r="K20" t="s">
        <v>147</v>
      </c>
    </row>
    <row r="21" spans="1:11">
      <c r="B21">
        <f>(B7-Tabell1[[#Totals],[Temp.]])/B17</f>
        <v>-1.3043004116364383</v>
      </c>
      <c r="H21" t="s">
        <v>148</v>
      </c>
      <c r="I21" t="s">
        <v>149</v>
      </c>
      <c r="J21">
        <f>2/14</f>
        <v>0.14285714285714285</v>
      </c>
      <c r="K21">
        <f>2/2</f>
        <v>1</v>
      </c>
    </row>
    <row r="22" spans="1:11">
      <c r="B22">
        <f>_xlfn.NORM.S.DIST(B21,TRUE)</f>
        <v>9.6065587514542389E-2</v>
      </c>
      <c r="D22" t="s">
        <v>174</v>
      </c>
      <c r="E22">
        <f>10/14</f>
        <v>0.7142857142857143</v>
      </c>
      <c r="H22" t="s">
        <v>150</v>
      </c>
      <c r="I22" t="s">
        <v>151</v>
      </c>
      <c r="J22">
        <f>3/14</f>
        <v>0.21428571428571427</v>
      </c>
      <c r="K22">
        <f>3/3</f>
        <v>1</v>
      </c>
    </row>
    <row r="23" spans="1:11">
      <c r="D23" t="s">
        <v>175</v>
      </c>
      <c r="E23">
        <f>4/14</f>
        <v>0.2857142857142857</v>
      </c>
      <c r="H23" t="s">
        <v>152</v>
      </c>
      <c r="I23" t="s">
        <v>153</v>
      </c>
      <c r="J23">
        <f>4/14</f>
        <v>0.2857142857142857</v>
      </c>
      <c r="K23">
        <f>4/4</f>
        <v>1</v>
      </c>
    </row>
    <row r="24" spans="1:11">
      <c r="A24" s="45" t="s">
        <v>134</v>
      </c>
      <c r="B24" s="45" t="s">
        <v>165</v>
      </c>
      <c r="C24" s="45" t="s">
        <v>166</v>
      </c>
      <c r="H24" t="s">
        <v>154</v>
      </c>
      <c r="I24" t="s">
        <v>155</v>
      </c>
      <c r="J24" s="22">
        <f>1/14</f>
        <v>7.1428571428571425E-2</v>
      </c>
      <c r="K24" s="22">
        <f>1/1</f>
        <v>1</v>
      </c>
    </row>
    <row r="25" spans="1:11">
      <c r="A25" t="s">
        <v>139</v>
      </c>
      <c r="B25">
        <v>2</v>
      </c>
      <c r="C25">
        <v>3</v>
      </c>
      <c r="H25" t="s">
        <v>156</v>
      </c>
      <c r="I25" t="s">
        <v>157</v>
      </c>
      <c r="J25">
        <f>1/14</f>
        <v>7.1428571428571425E-2</v>
      </c>
      <c r="K25">
        <f>1/1</f>
        <v>1</v>
      </c>
    </row>
    <row r="26" spans="1:11">
      <c r="A26" t="s">
        <v>143</v>
      </c>
      <c r="B26">
        <v>4</v>
      </c>
      <c r="C26">
        <v>0</v>
      </c>
      <c r="E26" s="45"/>
      <c r="F26" s="45" t="s">
        <v>144</v>
      </c>
      <c r="G26" s="45" t="s">
        <v>141</v>
      </c>
      <c r="H26" t="s">
        <v>158</v>
      </c>
      <c r="I26" t="s">
        <v>159</v>
      </c>
      <c r="J26">
        <f>3/14</f>
        <v>0.21428571428571427</v>
      </c>
      <c r="K26">
        <f>3/3</f>
        <v>1</v>
      </c>
    </row>
    <row r="27" spans="1:11">
      <c r="A27" t="s">
        <v>145</v>
      </c>
      <c r="B27">
        <v>4</v>
      </c>
      <c r="C27">
        <v>1</v>
      </c>
      <c r="D27" s="43" t="s">
        <v>134</v>
      </c>
      <c r="E27" t="s">
        <v>176</v>
      </c>
      <c r="F27">
        <f>2/10</f>
        <v>0.2</v>
      </c>
      <c r="G27">
        <f>3/4</f>
        <v>0.75</v>
      </c>
    </row>
    <row r="28" spans="1:11">
      <c r="A28" s="43" t="s">
        <v>167</v>
      </c>
      <c r="B28" s="43">
        <f>SUM(B25:B27)</f>
        <v>10</v>
      </c>
      <c r="C28" s="43">
        <f>SUM(C25:C27)</f>
        <v>4</v>
      </c>
      <c r="D28" s="43" t="s">
        <v>168</v>
      </c>
      <c r="E28">
        <v>70</v>
      </c>
      <c r="F28">
        <f>_xlfn.NORM.DIST(E28,B42,B43,)</f>
        <v>5.9259577901778979E-2</v>
      </c>
      <c r="G28">
        <f>_xlfn.NORM.DIST(E28,C42,C43,)</f>
        <v>3.4490900218018768E-2</v>
      </c>
    </row>
    <row r="29" spans="1:11">
      <c r="D29" s="43" t="s">
        <v>136</v>
      </c>
      <c r="E29">
        <v>65</v>
      </c>
      <c r="F29">
        <f>_xlfn.NORM.DIST(E29,B56,B57,)</f>
        <v>1.8136636937764305E-2</v>
      </c>
      <c r="G29">
        <f>_xlfn.NORM.DIST(E29,C56,C57,)</f>
        <v>1.4212703927697298E-4</v>
      </c>
      <c r="I29" t="s">
        <v>149</v>
      </c>
    </row>
    <row r="30" spans="1:11">
      <c r="D30" s="43" t="s">
        <v>137</v>
      </c>
      <c r="E30" t="s">
        <v>142</v>
      </c>
      <c r="F30">
        <f>3/10</f>
        <v>0.3</v>
      </c>
      <c r="G30">
        <f>2/4</f>
        <v>0.5</v>
      </c>
      <c r="I30" t="s">
        <v>151</v>
      </c>
    </row>
    <row r="31" spans="1:11">
      <c r="A31" s="45" t="s">
        <v>168</v>
      </c>
      <c r="B31" s="45" t="s">
        <v>165</v>
      </c>
      <c r="C31" s="45" t="s">
        <v>166</v>
      </c>
      <c r="F31">
        <f>PRODUCT(F27:F30)*E22</f>
        <v>4.606154783527397E-5</v>
      </c>
      <c r="G31">
        <f>PRODUCT(G27:G30)*E23</f>
        <v>5.25223878212626E-7</v>
      </c>
      <c r="I31" t="s">
        <v>153</v>
      </c>
    </row>
    <row r="32" spans="1:11">
      <c r="B32" s="44">
        <v>83</v>
      </c>
      <c r="C32" s="44">
        <v>85</v>
      </c>
      <c r="F32">
        <f>MAXA(F31:G31)</f>
        <v>4.606154783527397E-5</v>
      </c>
      <c r="G32" t="s">
        <v>177</v>
      </c>
      <c r="I32" t="s">
        <v>160</v>
      </c>
    </row>
    <row r="33" spans="1:9">
      <c r="B33" s="44">
        <v>70</v>
      </c>
      <c r="C33" s="44">
        <v>80</v>
      </c>
      <c r="I33" t="s">
        <v>161</v>
      </c>
    </row>
    <row r="34" spans="1:9">
      <c r="B34" s="44">
        <v>68</v>
      </c>
      <c r="C34" s="44">
        <v>72</v>
      </c>
      <c r="I34" t="s">
        <v>162</v>
      </c>
    </row>
    <row r="35" spans="1:9">
      <c r="B35" s="44">
        <v>65</v>
      </c>
      <c r="C35" s="44">
        <v>71</v>
      </c>
    </row>
    <row r="36" spans="1:9">
      <c r="B36" s="44">
        <v>64</v>
      </c>
    </row>
    <row r="37" spans="1:9">
      <c r="B37" s="44">
        <v>69</v>
      </c>
    </row>
    <row r="38" spans="1:9">
      <c r="B38" s="44">
        <v>75</v>
      </c>
    </row>
    <row r="39" spans="1:9">
      <c r="B39" s="44">
        <v>75</v>
      </c>
    </row>
    <row r="40" spans="1:9">
      <c r="B40" s="44">
        <v>72</v>
      </c>
    </row>
    <row r="41" spans="1:9">
      <c r="B41" s="44">
        <v>81</v>
      </c>
    </row>
    <row r="42" spans="1:9">
      <c r="A42" t="s">
        <v>169</v>
      </c>
      <c r="B42">
        <f>AVERAGE(B32:B41)</f>
        <v>72.2</v>
      </c>
      <c r="C42">
        <f>AVERAGE(C32:C41)</f>
        <v>77</v>
      </c>
    </row>
    <row r="43" spans="1:9">
      <c r="A43" t="s">
        <v>170</v>
      </c>
      <c r="B43">
        <f>STDEV(B32:B41)</f>
        <v>6.338594306135847</v>
      </c>
      <c r="C43">
        <f>STDEV(C32:C41)</f>
        <v>6.6833125519211407</v>
      </c>
    </row>
    <row r="45" spans="1:9">
      <c r="A45" s="23" t="s">
        <v>136</v>
      </c>
      <c r="B45" s="23" t="s">
        <v>144</v>
      </c>
      <c r="C45" s="23" t="s">
        <v>141</v>
      </c>
    </row>
    <row r="46" spans="1:9">
      <c r="B46" s="44">
        <v>78</v>
      </c>
      <c r="C46" s="44">
        <v>85</v>
      </c>
    </row>
    <row r="47" spans="1:9">
      <c r="B47" s="44">
        <v>96</v>
      </c>
      <c r="C47" s="44">
        <v>90</v>
      </c>
    </row>
    <row r="48" spans="1:9">
      <c r="B48" s="44">
        <v>80</v>
      </c>
      <c r="C48" s="44">
        <v>95</v>
      </c>
    </row>
    <row r="49" spans="1:3">
      <c r="B49" s="44">
        <v>70</v>
      </c>
      <c r="C49" s="44">
        <v>80</v>
      </c>
    </row>
    <row r="50" spans="1:3">
      <c r="B50" s="44">
        <v>65</v>
      </c>
    </row>
    <row r="51" spans="1:3">
      <c r="B51" s="44">
        <v>70</v>
      </c>
    </row>
    <row r="52" spans="1:3">
      <c r="B52" s="44">
        <v>80</v>
      </c>
    </row>
    <row r="53" spans="1:3">
      <c r="B53" s="44">
        <v>70</v>
      </c>
    </row>
    <row r="54" spans="1:3">
      <c r="B54" s="44">
        <v>90</v>
      </c>
    </row>
    <row r="55" spans="1:3">
      <c r="B55" s="44">
        <v>75</v>
      </c>
    </row>
    <row r="56" spans="1:3">
      <c r="B56">
        <f>AVERAGE(B46:B55)</f>
        <v>77.400000000000006</v>
      </c>
      <c r="C56">
        <f>AVERAGE(C46:C55)</f>
        <v>87.5</v>
      </c>
    </row>
    <row r="57" spans="1:3">
      <c r="B57">
        <f>STDEV(B46:B55)</f>
        <v>9.6747092979582678</v>
      </c>
      <c r="C57">
        <f>STDEV(C46:C55)</f>
        <v>6.4549722436790278</v>
      </c>
    </row>
    <row r="59" spans="1:3">
      <c r="A59" s="45" t="s">
        <v>171</v>
      </c>
      <c r="B59" s="45" t="s">
        <v>144</v>
      </c>
      <c r="C59" s="45" t="s">
        <v>141</v>
      </c>
    </row>
    <row r="60" spans="1:3">
      <c r="A60" t="s">
        <v>172</v>
      </c>
      <c r="B60">
        <v>3</v>
      </c>
      <c r="C60">
        <v>2</v>
      </c>
    </row>
    <row r="61" spans="1:3">
      <c r="A61" t="s">
        <v>173</v>
      </c>
      <c r="B61">
        <v>7</v>
      </c>
      <c r="C61">
        <v>2</v>
      </c>
    </row>
    <row r="62" spans="1:3">
      <c r="B62">
        <f>SUM(B60:B61)</f>
        <v>10</v>
      </c>
      <c r="C62">
        <f>SUM(C60:C61)</f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B5AB-E6AD-4E53-8B4F-4413F9CB1DE1}">
  <dimension ref="A1:H19"/>
  <sheetViews>
    <sheetView workbookViewId="0">
      <selection activeCell="G20" sqref="G20"/>
    </sheetView>
  </sheetViews>
  <sheetFormatPr baseColWidth="10" defaultRowHeight="15"/>
  <sheetData>
    <row r="1" spans="1:8">
      <c r="A1" s="45" t="s">
        <v>182</v>
      </c>
      <c r="B1" s="45" t="s">
        <v>183</v>
      </c>
      <c r="C1" s="45" t="s">
        <v>184</v>
      </c>
      <c r="D1" s="45" t="s">
        <v>185</v>
      </c>
      <c r="E1" s="45" t="s">
        <v>186</v>
      </c>
      <c r="F1" s="45" t="s">
        <v>190</v>
      </c>
      <c r="G1" s="45" t="s">
        <v>188</v>
      </c>
      <c r="H1" s="45" t="s">
        <v>189</v>
      </c>
    </row>
    <row r="2" spans="1:8">
      <c r="A2" s="23">
        <v>0</v>
      </c>
      <c r="B2">
        <v>0</v>
      </c>
      <c r="C2">
        <v>1</v>
      </c>
      <c r="D2">
        <v>0</v>
      </c>
      <c r="E2">
        <v>1</v>
      </c>
      <c r="F2">
        <f>MOD(2*A2+1,6)</f>
        <v>1</v>
      </c>
      <c r="G2">
        <f>MOD(3*A2+2,6)</f>
        <v>2</v>
      </c>
      <c r="H2">
        <f>MOD(5*A2+2,6)</f>
        <v>2</v>
      </c>
    </row>
    <row r="3" spans="1:8">
      <c r="A3" s="23">
        <v>1</v>
      </c>
      <c r="B3">
        <v>0</v>
      </c>
      <c r="C3">
        <v>1</v>
      </c>
      <c r="D3">
        <v>0</v>
      </c>
      <c r="E3">
        <v>0</v>
      </c>
      <c r="F3">
        <f t="shared" ref="F3:F7" si="0">MOD(2*A3+1,6)</f>
        <v>3</v>
      </c>
      <c r="G3">
        <f t="shared" ref="G3:G7" si="1">MOD(3*A3+2,6)</f>
        <v>5</v>
      </c>
      <c r="H3">
        <f t="shared" ref="H3:H7" si="2">MOD(5*A3+2,6)</f>
        <v>1</v>
      </c>
    </row>
    <row r="4" spans="1:8">
      <c r="A4" s="23">
        <v>2</v>
      </c>
      <c r="B4">
        <v>1</v>
      </c>
      <c r="C4">
        <v>0</v>
      </c>
      <c r="D4">
        <v>0</v>
      </c>
      <c r="E4">
        <v>1</v>
      </c>
      <c r="F4">
        <f t="shared" si="0"/>
        <v>5</v>
      </c>
      <c r="G4">
        <f t="shared" si="1"/>
        <v>2</v>
      </c>
      <c r="H4">
        <f t="shared" si="2"/>
        <v>0</v>
      </c>
    </row>
    <row r="5" spans="1:8">
      <c r="A5" s="23">
        <v>3</v>
      </c>
      <c r="B5">
        <v>0</v>
      </c>
      <c r="C5">
        <v>0</v>
      </c>
      <c r="D5">
        <v>1</v>
      </c>
      <c r="E5">
        <v>0</v>
      </c>
      <c r="F5">
        <f t="shared" si="0"/>
        <v>1</v>
      </c>
      <c r="G5">
        <f t="shared" si="1"/>
        <v>5</v>
      </c>
      <c r="H5">
        <f t="shared" si="2"/>
        <v>5</v>
      </c>
    </row>
    <row r="6" spans="1:8">
      <c r="A6" s="23">
        <v>4</v>
      </c>
      <c r="B6">
        <v>0</v>
      </c>
      <c r="C6">
        <v>0</v>
      </c>
      <c r="D6">
        <v>1</v>
      </c>
      <c r="E6">
        <v>1</v>
      </c>
      <c r="F6">
        <f t="shared" si="0"/>
        <v>3</v>
      </c>
      <c r="G6">
        <f t="shared" si="1"/>
        <v>2</v>
      </c>
      <c r="H6">
        <f t="shared" si="2"/>
        <v>4</v>
      </c>
    </row>
    <row r="7" spans="1:8">
      <c r="A7" s="23">
        <v>5</v>
      </c>
      <c r="B7">
        <v>1</v>
      </c>
      <c r="C7">
        <v>0</v>
      </c>
      <c r="D7">
        <v>0</v>
      </c>
      <c r="E7">
        <v>0</v>
      </c>
      <c r="F7">
        <f t="shared" si="0"/>
        <v>5</v>
      </c>
      <c r="G7">
        <f t="shared" si="1"/>
        <v>5</v>
      </c>
      <c r="H7">
        <f t="shared" si="2"/>
        <v>3</v>
      </c>
    </row>
    <row r="9" spans="1:8">
      <c r="A9" s="23"/>
      <c r="B9" s="45" t="s">
        <v>183</v>
      </c>
      <c r="C9" s="45" t="s">
        <v>184</v>
      </c>
      <c r="D9" s="45" t="s">
        <v>185</v>
      </c>
      <c r="E9" s="45" t="s">
        <v>186</v>
      </c>
    </row>
    <row r="10" spans="1:8">
      <c r="A10" s="45" t="s">
        <v>187</v>
      </c>
      <c r="B10">
        <v>5</v>
      </c>
      <c r="C10">
        <v>1</v>
      </c>
      <c r="D10">
        <v>1</v>
      </c>
      <c r="E10">
        <v>1</v>
      </c>
    </row>
    <row r="11" spans="1:8">
      <c r="A11" s="45" t="s">
        <v>188</v>
      </c>
      <c r="B11">
        <v>2</v>
      </c>
      <c r="C11">
        <v>2</v>
      </c>
      <c r="D11">
        <v>2</v>
      </c>
      <c r="E11">
        <v>2</v>
      </c>
    </row>
    <row r="12" spans="1:8">
      <c r="A12" s="45" t="s">
        <v>189</v>
      </c>
      <c r="B12">
        <v>0</v>
      </c>
      <c r="C12">
        <v>1</v>
      </c>
      <c r="D12">
        <v>4</v>
      </c>
      <c r="E12">
        <v>0</v>
      </c>
    </row>
    <row r="13" spans="1:8">
      <c r="A13" s="23"/>
      <c r="B13" s="45" t="s">
        <v>191</v>
      </c>
      <c r="C13" s="45" t="s">
        <v>192</v>
      </c>
    </row>
    <row r="14" spans="1:8">
      <c r="A14" s="45" t="s">
        <v>193</v>
      </c>
      <c r="B14">
        <f>0/4</f>
        <v>0</v>
      </c>
      <c r="C14">
        <f>1/3</f>
        <v>0.33333333333333331</v>
      </c>
    </row>
    <row r="15" spans="1:8">
      <c r="A15" s="45" t="s">
        <v>194</v>
      </c>
      <c r="B15">
        <f>0/4</f>
        <v>0</v>
      </c>
      <c r="C15">
        <f>1/3</f>
        <v>0.33333333333333331</v>
      </c>
    </row>
    <row r="16" spans="1:8">
      <c r="A16" s="45" t="s">
        <v>195</v>
      </c>
      <c r="B16">
        <f>1/4</f>
        <v>0.25</v>
      </c>
      <c r="C16">
        <f>2/3</f>
        <v>0.66666666666666663</v>
      </c>
    </row>
    <row r="17" spans="1:3">
      <c r="A17" s="45" t="s">
        <v>196</v>
      </c>
      <c r="B17">
        <f>0/4</f>
        <v>0</v>
      </c>
      <c r="C17">
        <f>2/3</f>
        <v>0.66666666666666663</v>
      </c>
    </row>
    <row r="18" spans="1:3">
      <c r="A18" s="45" t="s">
        <v>198</v>
      </c>
      <c r="B18">
        <f>1/4</f>
        <v>0.25</v>
      </c>
      <c r="C18">
        <f>2/3</f>
        <v>0.66666666666666663</v>
      </c>
    </row>
    <row r="19" spans="1:3">
      <c r="A19" s="45" t="s">
        <v>197</v>
      </c>
      <c r="B19">
        <f>1/4</f>
        <v>0.25</v>
      </c>
      <c r="C19">
        <f>2/3</f>
        <v>0.66666666666666663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7960-E874-42B9-BC4E-78A0DAF71505}">
  <dimension ref="A1:X15"/>
  <sheetViews>
    <sheetView workbookViewId="0">
      <selection activeCell="K15" sqref="K15"/>
    </sheetView>
  </sheetViews>
  <sheetFormatPr baseColWidth="10" defaultRowHeight="15"/>
  <cols>
    <col min="5" max="11" width="2" bestFit="1" customWidth="1"/>
    <col min="13" max="15" width="2" bestFit="1" customWidth="1"/>
    <col min="17" max="17" width="2.42578125" bestFit="1" customWidth="1"/>
    <col min="18" max="21" width="2" bestFit="1" customWidth="1"/>
  </cols>
  <sheetData>
    <row r="1" spans="1:24">
      <c r="A1" s="23"/>
      <c r="B1" s="45" t="s">
        <v>203</v>
      </c>
      <c r="F1" s="56" t="s">
        <v>221</v>
      </c>
      <c r="G1" s="56"/>
      <c r="H1" s="56"/>
      <c r="I1" s="56"/>
      <c r="J1" s="56"/>
      <c r="K1" s="57"/>
      <c r="L1" s="57"/>
      <c r="M1" s="56" t="s">
        <v>222</v>
      </c>
      <c r="N1" s="56"/>
      <c r="O1" s="56"/>
      <c r="Q1" s="56" t="s">
        <v>223</v>
      </c>
      <c r="R1" s="56"/>
      <c r="S1" s="56"/>
      <c r="T1" s="56"/>
      <c r="U1" s="56"/>
    </row>
    <row r="2" spans="1:24">
      <c r="A2" s="45" t="s">
        <v>199</v>
      </c>
      <c r="B2">
        <v>128</v>
      </c>
      <c r="C2">
        <v>5</v>
      </c>
      <c r="F2" s="10">
        <v>0</v>
      </c>
      <c r="G2" s="10">
        <v>0</v>
      </c>
      <c r="H2" s="10">
        <v>0</v>
      </c>
      <c r="I2">
        <v>1</v>
      </c>
      <c r="J2">
        <v>0</v>
      </c>
      <c r="M2">
        <v>0</v>
      </c>
      <c r="N2">
        <v>1</v>
      </c>
      <c r="O2">
        <v>0</v>
      </c>
      <c r="Q2">
        <f>SUM(F2*$M$2,G2*$N$2,H2*$O$2,F3*$M$3,G3*$N$3,H3*$O$3,F4*$M$4,G4*$N$4,H4*$O$4)</f>
        <v>1</v>
      </c>
      <c r="R2">
        <f t="shared" ref="R2:S2" si="0">SUM(G2*$M$2,H2*$N$2,I2*$O$2,G3*$M$3,H3*$N$3,I3*$O$3,G4*$M$4,H4*$N$4,I4*$O$4)</f>
        <v>1</v>
      </c>
      <c r="S2">
        <f t="shared" si="0"/>
        <v>4</v>
      </c>
    </row>
    <row r="3" spans="1:24">
      <c r="A3" s="45" t="s">
        <v>206</v>
      </c>
      <c r="B3">
        <v>3</v>
      </c>
      <c r="C3">
        <v>1</v>
      </c>
      <c r="F3" s="10">
        <v>0</v>
      </c>
      <c r="G3" s="10">
        <v>0</v>
      </c>
      <c r="H3" s="10">
        <v>1</v>
      </c>
      <c r="I3">
        <v>1</v>
      </c>
      <c r="J3">
        <v>0</v>
      </c>
      <c r="M3">
        <v>1</v>
      </c>
      <c r="N3">
        <v>1</v>
      </c>
      <c r="O3">
        <v>0</v>
      </c>
      <c r="Q3">
        <f t="shared" ref="Q3:Q4" si="1">SUM(F3*$M$2,G3*$N$2,H3*$O$2,F4*$M$3,G4*$N$3,H4*$O$3,F5*$M$4,G5*$N$4,H5*$O$4)</f>
        <v>1</v>
      </c>
      <c r="R3">
        <f t="shared" ref="R3:R4" si="2">SUM(G3*$M$2,H3*$N$2,I3*$O$2,G4*$M$3,H4*$N$3,I4*$O$3,G5*$M$4,H5*$N$4,I5*$O$4)</f>
        <v>2</v>
      </c>
      <c r="S3">
        <f t="shared" ref="S3:S4" si="3">SUM(H3*$M$2,I3*$N$2,J3*$O$2,H4*$M$3,I4*$N$3,J4*$O$3,H5*$M$4,I5*$N$4,J5*$O$4)</f>
        <v>3</v>
      </c>
    </row>
    <row r="4" spans="1:24">
      <c r="A4" s="45" t="s">
        <v>200</v>
      </c>
      <c r="B4">
        <v>9</v>
      </c>
      <c r="C4">
        <v>3</v>
      </c>
      <c r="F4" s="10">
        <v>0</v>
      </c>
      <c r="G4" s="10">
        <v>1</v>
      </c>
      <c r="H4" s="10">
        <v>0</v>
      </c>
      <c r="I4">
        <v>1</v>
      </c>
      <c r="J4">
        <v>0</v>
      </c>
      <c r="M4">
        <v>0</v>
      </c>
      <c r="N4">
        <v>1</v>
      </c>
      <c r="O4">
        <v>0</v>
      </c>
      <c r="Q4">
        <f t="shared" si="1"/>
        <v>1</v>
      </c>
      <c r="R4">
        <f t="shared" si="2"/>
        <v>1</v>
      </c>
      <c r="S4">
        <f t="shared" si="3"/>
        <v>3</v>
      </c>
    </row>
    <row r="5" spans="1:24">
      <c r="A5" s="45" t="s">
        <v>201</v>
      </c>
      <c r="B5">
        <v>0</v>
      </c>
      <c r="C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24">
      <c r="A6" s="45" t="s">
        <v>202</v>
      </c>
      <c r="B6">
        <v>1</v>
      </c>
      <c r="C6">
        <v>1</v>
      </c>
      <c r="F6">
        <v>0</v>
      </c>
      <c r="G6">
        <v>0</v>
      </c>
      <c r="H6">
        <v>1</v>
      </c>
      <c r="I6">
        <v>1</v>
      </c>
      <c r="J6">
        <v>1</v>
      </c>
    </row>
    <row r="7" spans="1:24">
      <c r="A7" s="45" t="s">
        <v>205</v>
      </c>
      <c r="B7">
        <v>32</v>
      </c>
      <c r="C7">
        <v>1</v>
      </c>
    </row>
    <row r="8" spans="1:24">
      <c r="A8" s="45" t="s">
        <v>204</v>
      </c>
      <c r="B8" s="45">
        <f>(B2-B4+2*B5)/B6 + 1</f>
        <v>120</v>
      </c>
      <c r="C8" s="45">
        <f>(C2-C4+2*C5)/C6 + 1</f>
        <v>3</v>
      </c>
      <c r="Q8" s="56" t="s">
        <v>224</v>
      </c>
      <c r="R8" s="56"/>
      <c r="S8" s="56"/>
      <c r="T8" s="56"/>
      <c r="U8" s="56"/>
      <c r="W8" t="s">
        <v>225</v>
      </c>
    </row>
    <row r="9" spans="1:24">
      <c r="A9" s="45" t="s">
        <v>207</v>
      </c>
      <c r="B9">
        <f>B8*B7</f>
        <v>3840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Q9">
        <f>SUM(E9*$M$2,F9*$N$2,G9*$O$2,E10*$M$3,F10*$N$3,G10*$O$3,E11*$M$4,F11*$N$4,G11*$O$4)</f>
        <v>0</v>
      </c>
      <c r="R9">
        <f t="shared" ref="R9:T9" si="4">SUM(F9*$M$2,G9*$N$2,H9*$O$2,F10*$M$3,G10*$N$3,H10*$O$3,F11*$M$4,G11*$N$4,H11*$O$4)</f>
        <v>0</v>
      </c>
      <c r="S9">
        <f t="shared" si="4"/>
        <v>1</v>
      </c>
      <c r="T9">
        <f t="shared" si="4"/>
        <v>2</v>
      </c>
      <c r="U9">
        <f>SUM(I9*$M$2,J9*$N$2,K9*$O$2,I10*$M$3,J10*$N$3,K10*$O$3,I11*$M$4,J11*$N$4,K11*$O$4)</f>
        <v>1</v>
      </c>
      <c r="W9" s="58">
        <f>SUM(Q9:T12)/16</f>
        <v>1.25</v>
      </c>
      <c r="X9" s="58">
        <f>SUM(R9:U12)/16</f>
        <v>1.5625</v>
      </c>
    </row>
    <row r="10" spans="1:24">
      <c r="E10" s="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10">
        <v>0</v>
      </c>
      <c r="Q10">
        <f t="shared" ref="Q10:Q15" si="5">SUM(E10*$M$2,F10*$N$2,G10*$O$2,E11*$M$3,F11*$N$3,G11*$O$3,E12*$M$4,F12*$N$4,G12*$O$4)</f>
        <v>0</v>
      </c>
      <c r="R10">
        <f t="shared" ref="R10:R15" si="6">SUM(F10*$M$2,G10*$N$2,H10*$O$2,F11*$M$3,G11*$N$3,H11*$O$3,F12*$M$4,G12*$N$4,H12*$O$4)</f>
        <v>1</v>
      </c>
      <c r="S10">
        <f t="shared" ref="S10:S15" si="7">SUM(G10*$M$2,H10*$N$2,I10*$O$2,G11*$M$3,H11*$N$3,I11*$O$3,G12*$M$4,H12*$N$4,I12*$O$4)</f>
        <v>1</v>
      </c>
      <c r="T10">
        <f t="shared" ref="T10:U15" si="8">SUM(H10*$M$2,I10*$N$2,J10*$O$2,H11*$M$3,I11*$N$3,J11*$O$3,H12*$M$4,I12*$N$4,J12*$O$4)</f>
        <v>4</v>
      </c>
      <c r="U10">
        <f t="shared" si="8"/>
        <v>1</v>
      </c>
      <c r="W10" s="58">
        <f>SUM(Q10:T13)/16</f>
        <v>1.3125</v>
      </c>
      <c r="X10" s="58">
        <f>SUM(R10:U13)/16</f>
        <v>1.6875</v>
      </c>
    </row>
    <row r="11" spans="1:24">
      <c r="E11" s="10">
        <v>0</v>
      </c>
      <c r="F11">
        <v>0</v>
      </c>
      <c r="G11">
        <v>0</v>
      </c>
      <c r="H11">
        <v>1</v>
      </c>
      <c r="I11">
        <v>1</v>
      </c>
      <c r="J11">
        <v>0</v>
      </c>
      <c r="K11" s="10">
        <v>0</v>
      </c>
      <c r="Q11">
        <f t="shared" si="5"/>
        <v>0</v>
      </c>
      <c r="R11">
        <f t="shared" si="6"/>
        <v>1</v>
      </c>
      <c r="S11">
        <f t="shared" si="7"/>
        <v>2</v>
      </c>
      <c r="T11">
        <f t="shared" si="8"/>
        <v>3</v>
      </c>
      <c r="U11">
        <f t="shared" ref="U11:U15" si="9">SUM(I11*$M$2,J11*$N$2,K11*$O$2,I12*$M$3,J12*$N$3,K12*$O$3,I13*$M$4,J13*$N$4,K13*$O$4)</f>
        <v>1</v>
      </c>
    </row>
    <row r="12" spans="1:24">
      <c r="E12" s="10">
        <v>0</v>
      </c>
      <c r="F12">
        <v>0</v>
      </c>
      <c r="G12">
        <v>1</v>
      </c>
      <c r="H12">
        <v>0</v>
      </c>
      <c r="I12">
        <v>1</v>
      </c>
      <c r="J12">
        <v>0</v>
      </c>
      <c r="K12" s="10">
        <v>0</v>
      </c>
      <c r="Q12">
        <f t="shared" si="5"/>
        <v>0</v>
      </c>
      <c r="R12">
        <f t="shared" si="6"/>
        <v>1</v>
      </c>
      <c r="S12">
        <f t="shared" si="7"/>
        <v>1</v>
      </c>
      <c r="T12">
        <f t="shared" si="8"/>
        <v>3</v>
      </c>
      <c r="U12">
        <f t="shared" si="9"/>
        <v>2</v>
      </c>
      <c r="W12">
        <f>SUM(Q9:T12)</f>
        <v>20</v>
      </c>
      <c r="X12">
        <f>SUM(R9:U12)</f>
        <v>25</v>
      </c>
    </row>
    <row r="13" spans="1:24">
      <c r="E13" s="10">
        <v>0</v>
      </c>
      <c r="F13">
        <v>0</v>
      </c>
      <c r="G13">
        <v>0</v>
      </c>
      <c r="H13">
        <v>0</v>
      </c>
      <c r="I13">
        <v>1</v>
      </c>
      <c r="J13">
        <v>0</v>
      </c>
      <c r="K13" s="10">
        <v>0</v>
      </c>
      <c r="Q13">
        <f t="shared" si="5"/>
        <v>0</v>
      </c>
      <c r="R13">
        <f t="shared" si="6"/>
        <v>0</v>
      </c>
      <c r="S13">
        <f t="shared" si="7"/>
        <v>1</v>
      </c>
      <c r="T13">
        <f t="shared" si="8"/>
        <v>3</v>
      </c>
      <c r="U13">
        <f t="shared" si="9"/>
        <v>2</v>
      </c>
      <c r="W13">
        <f t="shared" ref="W13:X13" si="10">SUM(Q10:T13)</f>
        <v>21</v>
      </c>
      <c r="X13">
        <f t="shared" si="10"/>
        <v>27</v>
      </c>
    </row>
    <row r="14" spans="1:24">
      <c r="E14" s="10">
        <v>0</v>
      </c>
      <c r="F14">
        <v>0</v>
      </c>
      <c r="G14">
        <v>0</v>
      </c>
      <c r="H14">
        <v>1</v>
      </c>
      <c r="I14">
        <v>1</v>
      </c>
      <c r="J14">
        <v>1</v>
      </c>
      <c r="K14" s="10">
        <v>0</v>
      </c>
    </row>
    <row r="15" spans="1:24"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</sheetData>
  <mergeCells count="4">
    <mergeCell ref="F1:J1"/>
    <mergeCell ref="M1:O1"/>
    <mergeCell ref="Q1:U1"/>
    <mergeCell ref="Q8:U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361E-575C-4B62-A6DC-030BB449E9B4}">
  <dimension ref="A1:K12"/>
  <sheetViews>
    <sheetView workbookViewId="0">
      <selection activeCell="A13" sqref="A13"/>
    </sheetView>
  </sheetViews>
  <sheetFormatPr baseColWidth="10" defaultColWidth="9.140625" defaultRowHeight="15"/>
  <sheetData>
    <row r="1" spans="1:11">
      <c r="A1" t="s">
        <v>226</v>
      </c>
      <c r="E1" t="s">
        <v>227</v>
      </c>
      <c r="H1" t="s">
        <v>228</v>
      </c>
      <c r="K1" t="s">
        <v>229</v>
      </c>
    </row>
    <row r="2" spans="1:11">
      <c r="A2">
        <v>1</v>
      </c>
      <c r="B2">
        <v>2</v>
      </c>
      <c r="C2">
        <v>3</v>
      </c>
      <c r="E2">
        <v>1</v>
      </c>
      <c r="F2">
        <v>1</v>
      </c>
      <c r="H2">
        <v>1</v>
      </c>
      <c r="I2">
        <v>1</v>
      </c>
      <c r="K2">
        <v>1</v>
      </c>
    </row>
    <row r="3" spans="1:11">
      <c r="A3">
        <v>2</v>
      </c>
      <c r="B3">
        <v>-1</v>
      </c>
      <c r="C3">
        <v>2</v>
      </c>
      <c r="E3">
        <v>1</v>
      </c>
      <c r="F3">
        <v>-3</v>
      </c>
      <c r="H3">
        <v>1</v>
      </c>
      <c r="I3">
        <v>-1</v>
      </c>
      <c r="K3">
        <v>-1</v>
      </c>
    </row>
    <row r="4" spans="1:11">
      <c r="E4">
        <v>1</v>
      </c>
      <c r="F4">
        <v>2</v>
      </c>
    </row>
    <row r="6" spans="1:11">
      <c r="A6" t="s">
        <v>230</v>
      </c>
    </row>
    <row r="7" spans="1:11">
      <c r="A7">
        <v>1</v>
      </c>
      <c r="B7">
        <v>1</v>
      </c>
      <c r="C7">
        <v>0</v>
      </c>
    </row>
    <row r="8" spans="1:11">
      <c r="A8" t="s">
        <v>231</v>
      </c>
    </row>
    <row r="9" spans="1:11">
      <c r="A9">
        <v>0</v>
      </c>
      <c r="B9">
        <v>1</v>
      </c>
    </row>
    <row r="10" spans="1:11">
      <c r="A10" t="s">
        <v>232</v>
      </c>
    </row>
    <row r="11" spans="1:11">
      <c r="A11">
        <v>-1</v>
      </c>
      <c r="B11">
        <v>1</v>
      </c>
    </row>
    <row r="12" spans="1:11">
      <c r="A12" t="s">
        <v>233</v>
      </c>
      <c r="B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535C-6AF1-47D5-8707-B6186FF66AB1}">
  <dimension ref="A1"/>
  <sheetViews>
    <sheetView tabSelected="1" workbookViewId="0"/>
  </sheetViews>
  <sheetFormatPr baseColWidth="10" defaultRowHeight="15"/>
  <sheetData>
    <row r="1" spans="1:1">
      <c r="A1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DC08C996BA64EB87B1F9B9E2C5DF9" ma:contentTypeVersion="13" ma:contentTypeDescription="Create a new document." ma:contentTypeScope="" ma:versionID="34b5cecee4a87a20a00f80f2ee8da86b">
  <xsd:schema xmlns:xsd="http://www.w3.org/2001/XMLSchema" xmlns:xs="http://www.w3.org/2001/XMLSchema" xmlns:p="http://schemas.microsoft.com/office/2006/metadata/properties" xmlns:ns3="54db2f56-4ad0-4dd9-8430-58cc55335ae0" xmlns:ns4="fd1c5f2a-3d21-4751-9461-173ca49afe72" targetNamespace="http://schemas.microsoft.com/office/2006/metadata/properties" ma:root="true" ma:fieldsID="3bea5ec99430e31495ef82702cd2a425" ns3:_="" ns4:_="">
    <xsd:import namespace="54db2f56-4ad0-4dd9-8430-58cc55335ae0"/>
    <xsd:import namespace="fd1c5f2a-3d21-4751-9461-173ca49af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b2f56-4ad0-4dd9-8430-58cc55335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c5f2a-3d21-4751-9461-173ca49a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BC2F3-B59C-495C-920E-E79F20442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786E3-7B51-4F80-BBD5-7C1F27F5DF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1765A-EACC-4324-B3DF-6BC900483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b2f56-4ad0-4dd9-8430-58cc55335ae0"/>
    <ds:schemaRef ds:uri="fd1c5f2a-3d21-4751-9461-173ca49af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Navngitte områder</vt:lpstr>
      </vt:variant>
      <vt:variant>
        <vt:i4>1</vt:i4>
      </vt:variant>
    </vt:vector>
  </HeadingPairs>
  <TitlesOfParts>
    <vt:vector size="9" baseType="lpstr">
      <vt:lpstr>DecisionTree</vt:lpstr>
      <vt:lpstr>NaiveBayes</vt:lpstr>
      <vt:lpstr>Association rules</vt:lpstr>
      <vt:lpstr>Rule based classif</vt:lpstr>
      <vt:lpstr>LSH</vt:lpstr>
      <vt:lpstr>CNN</vt:lpstr>
      <vt:lpstr>NN</vt:lpstr>
      <vt:lpstr>Ark6</vt:lpstr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 Cantu</dc:creator>
  <cp:lastModifiedBy>Asahi Cantu</cp:lastModifiedBy>
  <dcterms:created xsi:type="dcterms:W3CDTF">2020-05-11T17:14:53Z</dcterms:created>
  <dcterms:modified xsi:type="dcterms:W3CDTF">2021-05-19T19:27:58Z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0x01010022BDC08C996BA64EB87B1F9B9E2C5DF9</vt:lpwstr>
  </property>
</Properties>
</file>