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YA SOLAR SAHI HAI\"/>
    </mc:Choice>
  </mc:AlternateContent>
  <xr:revisionPtr revIDLastSave="0" documentId="13_ncr:1_{995924E1-9926-4A7B-B53A-DDC680006D5B}" xr6:coauthVersionLast="36" xr6:coauthVersionMax="36" xr10:uidLastSave="{00000000-0000-0000-0000-000000000000}"/>
  <bookViews>
    <workbookView xWindow="0" yWindow="0" windowWidth="28800" windowHeight="10575" firstSheet="1" activeTab="5" xr2:uid="{2747F8E8-BB15-449C-860B-A4D1131EBF1A}"/>
  </bookViews>
  <sheets>
    <sheet name="Consumption History" sheetId="1" r:id="rId1"/>
    <sheet name="PvSyst Report" sheetId="9" r:id="rId2"/>
    <sheet name="Solar Power matrics from report" sheetId="7" r:id="rId3"/>
    <sheet name="Capex-Opex" sheetId="8" r:id="rId4"/>
    <sheet name="Energy - Money Matrics" sheetId="10" r:id="rId5"/>
    <sheet name="Calculation Dashboard" sheetId="1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0" l="1"/>
  <c r="C8" i="11"/>
  <c r="S3" i="10" s="1"/>
  <c r="L4" i="10" l="1"/>
  <c r="L5" i="10" s="1"/>
  <c r="H5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M34" i="10" s="1"/>
  <c r="AE4" i="10"/>
  <c r="AD6" i="10"/>
  <c r="AD5" i="10"/>
  <c r="AD4" i="10"/>
  <c r="D5" i="10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M4" i="10" l="1"/>
  <c r="L6" i="10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E27" i="8"/>
  <c r="L17" i="10" l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M16" i="10"/>
  <c r="H8" i="8"/>
  <c r="B5" i="10" l="1"/>
  <c r="M5" i="10" s="1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E24" i="8"/>
  <c r="H38" i="1"/>
  <c r="H39" i="1"/>
  <c r="G39" i="1"/>
  <c r="G38" i="1"/>
  <c r="D21" i="1"/>
  <c r="C21" i="1"/>
  <c r="B6" i="10" l="1"/>
  <c r="M6" i="10" s="1"/>
  <c r="C20" i="1"/>
  <c r="B7" i="10" l="1"/>
  <c r="M7" i="10" s="1"/>
  <c r="D20" i="1"/>
  <c r="B8" i="10" l="1"/>
  <c r="M8" i="10" s="1"/>
  <c r="B9" i="10" l="1"/>
  <c r="M9" i="10" s="1"/>
  <c r="B10" i="10" l="1"/>
  <c r="M10" i="10" s="1"/>
  <c r="B11" i="10" l="1"/>
  <c r="M11" i="10" s="1"/>
  <c r="B12" i="10" l="1"/>
  <c r="M12" i="10" s="1"/>
  <c r="B13" i="10" l="1"/>
  <c r="M13" i="10" s="1"/>
  <c r="B14" i="10" l="1"/>
  <c r="M14" i="10" s="1"/>
  <c r="B15" i="10" l="1"/>
  <c r="M15" i="10" s="1"/>
  <c r="B16" i="10" l="1"/>
  <c r="B17" i="10" l="1"/>
  <c r="M17" i="10" s="1"/>
  <c r="B18" i="10" l="1"/>
  <c r="M18" i="10" s="1"/>
  <c r="B19" i="10" l="1"/>
  <c r="M19" i="10" s="1"/>
  <c r="B20" i="10" l="1"/>
  <c r="M20" i="10" s="1"/>
  <c r="B21" i="10" l="1"/>
  <c r="M21" i="10" s="1"/>
  <c r="B22" i="10" l="1"/>
  <c r="M22" i="10" s="1"/>
  <c r="B23" i="10" l="1"/>
  <c r="M23" i="10" s="1"/>
  <c r="B24" i="10" l="1"/>
  <c r="M24" i="10" s="1"/>
  <c r="B25" i="10" l="1"/>
  <c r="M25" i="10" s="1"/>
  <c r="B26" i="10" l="1"/>
  <c r="M26" i="10" s="1"/>
  <c r="B27" i="10" l="1"/>
  <c r="M27" i="10" s="1"/>
  <c r="B28" i="10" l="1"/>
  <c r="M28" i="10" s="1"/>
  <c r="B29" i="10" l="1"/>
  <c r="M29" i="10" s="1"/>
  <c r="B30" i="10" l="1"/>
  <c r="M30" i="10" s="1"/>
  <c r="B31" i="10" l="1"/>
  <c r="M31" i="10" s="1"/>
  <c r="B32" i="10" l="1"/>
  <c r="M32" i="10" s="1"/>
  <c r="B33" i="10" l="1"/>
  <c r="M33" i="10" s="1"/>
  <c r="B34" i="10" l="1"/>
  <c r="C20" i="11"/>
  <c r="E4" i="10"/>
  <c r="E5" i="10" s="1"/>
  <c r="G4" i="10" l="1"/>
  <c r="I4" i="10" s="1"/>
  <c r="F5" i="10"/>
  <c r="J5" i="10" s="1"/>
  <c r="G5" i="10"/>
  <c r="I5" i="10" s="1"/>
  <c r="E6" i="10"/>
  <c r="F4" i="10"/>
  <c r="J4" i="10" s="1"/>
  <c r="K4" i="10" s="1"/>
  <c r="N4" i="10" s="1"/>
  <c r="O4" i="10" l="1"/>
  <c r="F6" i="10"/>
  <c r="J6" i="10" s="1"/>
  <c r="E7" i="10"/>
  <c r="G6" i="10"/>
  <c r="I6" i="10" s="1"/>
  <c r="K6" i="10" s="1"/>
  <c r="N6" i="10" s="1"/>
  <c r="K5" i="10"/>
  <c r="N5" i="10" s="1"/>
  <c r="E8" i="10" l="1"/>
  <c r="G7" i="10"/>
  <c r="I7" i="10" s="1"/>
  <c r="F7" i="10"/>
  <c r="J7" i="10" s="1"/>
  <c r="P4" i="10"/>
  <c r="O5" i="10"/>
  <c r="O6" i="10" l="1"/>
  <c r="P5" i="10"/>
  <c r="K7" i="10"/>
  <c r="N7" i="10" s="1"/>
  <c r="G8" i="10"/>
  <c r="I8" i="10" s="1"/>
  <c r="F8" i="10"/>
  <c r="J8" i="10" s="1"/>
  <c r="E9" i="10"/>
  <c r="K8" i="10" l="1"/>
  <c r="N8" i="10" s="1"/>
  <c r="G9" i="10"/>
  <c r="I9" i="10" s="1"/>
  <c r="F9" i="10"/>
  <c r="J9" i="10" s="1"/>
  <c r="E10" i="10"/>
  <c r="O7" i="10"/>
  <c r="P6" i="10"/>
  <c r="E11" i="10" l="1"/>
  <c r="F10" i="10"/>
  <c r="J10" i="10" s="1"/>
  <c r="G10" i="10"/>
  <c r="I10" i="10" s="1"/>
  <c r="K10" i="10" s="1"/>
  <c r="N10" i="10" s="1"/>
  <c r="O8" i="10"/>
  <c r="P7" i="10"/>
  <c r="K9" i="10"/>
  <c r="N9" i="10" s="1"/>
  <c r="E12" i="10" l="1"/>
  <c r="G11" i="10"/>
  <c r="I11" i="10" s="1"/>
  <c r="F11" i="10"/>
  <c r="J11" i="10" s="1"/>
  <c r="P8" i="10"/>
  <c r="O9" i="10"/>
  <c r="K11" i="10" l="1"/>
  <c r="N11" i="10" s="1"/>
  <c r="O10" i="10"/>
  <c r="P9" i="10"/>
  <c r="E13" i="10"/>
  <c r="G12" i="10"/>
  <c r="I12" i="10" s="1"/>
  <c r="K12" i="10" s="1"/>
  <c r="N12" i="10" s="1"/>
  <c r="F12" i="10"/>
  <c r="J12" i="10" s="1"/>
  <c r="P10" i="10" l="1"/>
  <c r="O11" i="10"/>
  <c r="E14" i="10"/>
  <c r="G13" i="10"/>
  <c r="I13" i="10" s="1"/>
  <c r="F13" i="10"/>
  <c r="J13" i="10" s="1"/>
  <c r="K13" i="10" l="1"/>
  <c r="N13" i="10" s="1"/>
  <c r="F14" i="10"/>
  <c r="J14" i="10" s="1"/>
  <c r="E15" i="10"/>
  <c r="G14" i="10"/>
  <c r="I14" i="10" s="1"/>
  <c r="K14" i="10" s="1"/>
  <c r="N14" i="10" s="1"/>
  <c r="P11" i="10"/>
  <c r="O12" i="10"/>
  <c r="O13" i="10" l="1"/>
  <c r="P12" i="10"/>
  <c r="F15" i="10"/>
  <c r="J15" i="10" s="1"/>
  <c r="G15" i="10"/>
  <c r="I15" i="10" s="1"/>
  <c r="K15" i="10" s="1"/>
  <c r="N15" i="10" s="1"/>
  <c r="E16" i="10"/>
  <c r="E17" i="10" l="1"/>
  <c r="F16" i="10"/>
  <c r="J16" i="10" s="1"/>
  <c r="G16" i="10"/>
  <c r="I16" i="10" s="1"/>
  <c r="K16" i="10" s="1"/>
  <c r="N16" i="10" s="1"/>
  <c r="O14" i="10"/>
  <c r="P13" i="10"/>
  <c r="O15" i="10" l="1"/>
  <c r="P14" i="10"/>
  <c r="E18" i="10"/>
  <c r="G17" i="10"/>
  <c r="I17" i="10" s="1"/>
  <c r="F17" i="10"/>
  <c r="J17" i="10" s="1"/>
  <c r="K17" i="10" l="1"/>
  <c r="N17" i="10" s="1"/>
  <c r="G18" i="10"/>
  <c r="I18" i="10" s="1"/>
  <c r="E19" i="10"/>
  <c r="F18" i="10"/>
  <c r="J18" i="10" s="1"/>
  <c r="P15" i="10"/>
  <c r="O16" i="10"/>
  <c r="P16" i="10" l="1"/>
  <c r="O17" i="10"/>
  <c r="G19" i="10"/>
  <c r="I19" i="10" s="1"/>
  <c r="E20" i="10"/>
  <c r="F19" i="10"/>
  <c r="J19" i="10" s="1"/>
  <c r="K18" i="10"/>
  <c r="N18" i="10" s="1"/>
  <c r="E21" i="10" l="1"/>
  <c r="G20" i="10"/>
  <c r="I20" i="10" s="1"/>
  <c r="F20" i="10"/>
  <c r="J20" i="10" s="1"/>
  <c r="K19" i="10"/>
  <c r="N19" i="10" s="1"/>
  <c r="O18" i="10"/>
  <c r="P17" i="10"/>
  <c r="P18" i="10" l="1"/>
  <c r="O19" i="10"/>
  <c r="K20" i="10"/>
  <c r="N20" i="10" s="1"/>
  <c r="F21" i="10"/>
  <c r="J21" i="10" s="1"/>
  <c r="E22" i="10"/>
  <c r="G21" i="10"/>
  <c r="I21" i="10" s="1"/>
  <c r="K21" i="10" s="1"/>
  <c r="N21" i="10" s="1"/>
  <c r="E23" i="10" l="1"/>
  <c r="F22" i="10"/>
  <c r="J22" i="10" s="1"/>
  <c r="G22" i="10"/>
  <c r="I22" i="10" s="1"/>
  <c r="K22" i="10" s="1"/>
  <c r="N22" i="10" s="1"/>
  <c r="P19" i="10"/>
  <c r="O20" i="10"/>
  <c r="O21" i="10" l="1"/>
  <c r="P20" i="10"/>
  <c r="F23" i="10"/>
  <c r="J23" i="10" s="1"/>
  <c r="G23" i="10"/>
  <c r="I23" i="10" s="1"/>
  <c r="K23" i="10" s="1"/>
  <c r="N23" i="10" s="1"/>
  <c r="E24" i="10"/>
  <c r="G24" i="10" l="1"/>
  <c r="I24" i="10" s="1"/>
  <c r="F24" i="10"/>
  <c r="J24" i="10" s="1"/>
  <c r="E25" i="10"/>
  <c r="O22" i="10"/>
  <c r="P21" i="10"/>
  <c r="P22" i="10" l="1"/>
  <c r="O23" i="10"/>
  <c r="G25" i="10"/>
  <c r="I25" i="10" s="1"/>
  <c r="E26" i="10"/>
  <c r="F25" i="10"/>
  <c r="J25" i="10" s="1"/>
  <c r="K24" i="10"/>
  <c r="N24" i="10" s="1"/>
  <c r="F26" i="10" l="1"/>
  <c r="J26" i="10" s="1"/>
  <c r="G26" i="10"/>
  <c r="I26" i="10" s="1"/>
  <c r="K26" i="10" s="1"/>
  <c r="N26" i="10" s="1"/>
  <c r="E27" i="10"/>
  <c r="K25" i="10"/>
  <c r="N25" i="10" s="1"/>
  <c r="P23" i="10"/>
  <c r="O24" i="10"/>
  <c r="P24" i="10" l="1"/>
  <c r="O25" i="10"/>
  <c r="F27" i="10"/>
  <c r="J27" i="10" s="1"/>
  <c r="G27" i="10"/>
  <c r="I27" i="10" s="1"/>
  <c r="K27" i="10" s="1"/>
  <c r="N27" i="10" s="1"/>
  <c r="E28" i="10"/>
  <c r="F28" i="10" l="1"/>
  <c r="J28" i="10" s="1"/>
  <c r="E29" i="10"/>
  <c r="G28" i="10"/>
  <c r="I28" i="10" s="1"/>
  <c r="K28" i="10" s="1"/>
  <c r="N28" i="10" s="1"/>
  <c r="P25" i="10"/>
  <c r="O26" i="10"/>
  <c r="P26" i="10" l="1"/>
  <c r="O27" i="10"/>
  <c r="E30" i="10"/>
  <c r="G29" i="10"/>
  <c r="I29" i="10" s="1"/>
  <c r="F29" i="10"/>
  <c r="J29" i="10" s="1"/>
  <c r="K29" i="10" l="1"/>
  <c r="N29" i="10" s="1"/>
  <c r="E31" i="10"/>
  <c r="F30" i="10"/>
  <c r="J30" i="10" s="1"/>
  <c r="G30" i="10"/>
  <c r="I30" i="10" s="1"/>
  <c r="K30" i="10" s="1"/>
  <c r="N30" i="10" s="1"/>
  <c r="P27" i="10"/>
  <c r="O28" i="10"/>
  <c r="P28" i="10" l="1"/>
  <c r="O29" i="10"/>
  <c r="G31" i="10"/>
  <c r="I31" i="10" s="1"/>
  <c r="E32" i="10"/>
  <c r="F31" i="10"/>
  <c r="J31" i="10" s="1"/>
  <c r="E33" i="10" l="1"/>
  <c r="F32" i="10"/>
  <c r="J32" i="10" s="1"/>
  <c r="G32" i="10"/>
  <c r="I32" i="10" s="1"/>
  <c r="K32" i="10" s="1"/>
  <c r="N32" i="10" s="1"/>
  <c r="K31" i="10"/>
  <c r="N31" i="10" s="1"/>
  <c r="O30" i="10"/>
  <c r="P29" i="10"/>
  <c r="O31" i="10" l="1"/>
  <c r="P30" i="10"/>
  <c r="G33" i="10"/>
  <c r="I33" i="10" s="1"/>
  <c r="K33" i="10" s="1"/>
  <c r="N33" i="10" s="1"/>
  <c r="E34" i="10"/>
  <c r="F33" i="10"/>
  <c r="J33" i="10" s="1"/>
  <c r="F34" i="10" l="1"/>
  <c r="J34" i="10" s="1"/>
  <c r="G34" i="10"/>
  <c r="I34" i="10" s="1"/>
  <c r="K34" i="10" s="1"/>
  <c r="N34" i="10" s="1"/>
  <c r="O32" i="10"/>
  <c r="P31" i="10"/>
  <c r="O33" i="10" l="1"/>
  <c r="P32" i="10"/>
  <c r="S4" i="10"/>
  <c r="S6" i="10"/>
  <c r="L5" i="11" s="1"/>
  <c r="S5" i="10"/>
  <c r="L17" i="11" s="1"/>
  <c r="L23" i="11" l="1"/>
  <c r="S8" i="10"/>
  <c r="O34" i="10"/>
  <c r="P33" i="10"/>
  <c r="P34" i="10" l="1"/>
  <c r="S7" i="10"/>
  <c r="L10" i="11" s="1"/>
</calcChain>
</file>

<file path=xl/sharedStrings.xml><?xml version="1.0" encoding="utf-8"?>
<sst xmlns="http://schemas.openxmlformats.org/spreadsheetml/2006/main" count="182" uniqueCount="164">
  <si>
    <t>Month</t>
  </si>
  <si>
    <t>July'24</t>
  </si>
  <si>
    <t>August'24</t>
  </si>
  <si>
    <t>Sept'24</t>
  </si>
  <si>
    <t>Oct'24</t>
  </si>
  <si>
    <t>Nov'24</t>
  </si>
  <si>
    <t>Dec'24</t>
  </si>
  <si>
    <t>Jan'25</t>
  </si>
  <si>
    <t>Feb'25</t>
  </si>
  <si>
    <t>March'25</t>
  </si>
  <si>
    <t>April'25</t>
  </si>
  <si>
    <t>May'25</t>
  </si>
  <si>
    <t>June'25</t>
  </si>
  <si>
    <t xml:space="preserve">Avg Consumption </t>
  </si>
  <si>
    <t>MONTHLY</t>
  </si>
  <si>
    <t>DAILY</t>
  </si>
  <si>
    <t>Date</t>
  </si>
  <si>
    <t>Consumption (kWh)</t>
  </si>
  <si>
    <t>Balance Deducted (₹)</t>
  </si>
  <si>
    <t>%</t>
  </si>
  <si>
    <t>Year</t>
  </si>
  <si>
    <t>Total Consumption</t>
  </si>
  <si>
    <t>Column1</t>
  </si>
  <si>
    <t>Column2</t>
  </si>
  <si>
    <t>Description</t>
  </si>
  <si>
    <t>Quantity</t>
  </si>
  <si>
    <t>Unit Price (INR)</t>
  </si>
  <si>
    <t>Total (INR)</t>
  </si>
  <si>
    <t>Engineering &amp; design</t>
  </si>
  <si>
    <t>Environmental studies</t>
  </si>
  <si>
    <t>Economic analysis</t>
  </si>
  <si>
    <t>Global installation cost per module</t>
  </si>
  <si>
    <t>Global installation cost per inverter</t>
  </si>
  <si>
    <t>Transport</t>
  </si>
  <si>
    <t>PV modules (WSMD-540)</t>
  </si>
  <si>
    <t>Supports for modules (mounting hardware)</t>
  </si>
  <si>
    <t>Inverter (3 kW Sungrow SG3.0RT-P2)</t>
  </si>
  <si>
    <t>100 m</t>
  </si>
  <si>
    <t>Combiner box (6-string)</t>
  </si>
  <si>
    <t>Monitoring system (separate data logger)</t>
  </si>
  <si>
    <t>Measurement system (pyranometer)</t>
  </si>
  <si>
    <t>Surge arrester (DC SPD)</t>
  </si>
  <si>
    <t>Permitting &amp; administration (net-metering fee)</t>
  </si>
  <si>
    <t>Grid connection (meter deposit)</t>
  </si>
  <si>
    <t>Accessories &amp; fasteners (clamps, nuts, bolts)</t>
  </si>
  <si>
    <t>Wiring (4 mmÂ² DC cable, 100 m)</t>
  </si>
  <si>
    <t>Settings (commissioning)</t>
  </si>
  <si>
    <t>MONTHLY CONSUMPTION DATA FOR 2024-2025 SESSION</t>
  </si>
  <si>
    <t>DAILY CONSUMPTION DATA FOR MAY-JUNE 2025</t>
  </si>
  <si>
    <t>Component</t>
  </si>
  <si>
    <t>Manufacturer</t>
  </si>
  <si>
    <t>Model</t>
  </si>
  <si>
    <t>Qty</t>
  </si>
  <si>
    <t>Nominal Power</t>
  </si>
  <si>
    <t>Notes</t>
  </si>
  <si>
    <t>PV Module</t>
  </si>
  <si>
    <t>Waaree Energies</t>
  </si>
  <si>
    <t>WSMD-540</t>
  </si>
  <si>
    <t>540 Wp each (3 240 Wp total)</t>
  </si>
  <si>
    <t>Pmpp = 2 963 Wp, Vmp = 225 V, Imp = 13 A</t>
  </si>
  <si>
    <t>Inverter</t>
  </si>
  <si>
    <t>SG3.0RT-P2</t>
  </si>
  <si>
    <t>3.00 kW AC</t>
  </si>
  <si>
    <t>MPPT range 160–1 000 V, DC/AC = 1.08</t>
  </si>
  <si>
    <t>Orientation</t>
  </si>
  <si>
    <t>—</t>
  </si>
  <si>
    <t>Fixed plane</t>
  </si>
  <si>
    <t>Tilt 22°, Azimuth 0°</t>
  </si>
  <si>
    <t>Module Area</t>
  </si>
  <si>
    <t>15.4 m² total</t>
  </si>
  <si>
    <t>6 modules × 2.57 m² each</t>
  </si>
  <si>
    <t>Sungrow</t>
  </si>
  <si>
    <t>Metric</t>
  </si>
  <si>
    <t>Value</t>
  </si>
  <si>
    <t>Unit</t>
  </si>
  <si>
    <t>Produced Energy</t>
  </si>
  <si>
    <t>kWh / year</t>
  </si>
  <si>
    <t>Specific Production</t>
  </si>
  <si>
    <t>kWh / kWp / year</t>
  </si>
  <si>
    <t>Performance Ratio (PR)</t>
  </si>
  <si>
    <t>Solar Fraction (SF)</t>
  </si>
  <si>
    <t>ENERGY YIELD MATRICS</t>
  </si>
  <si>
    <t>COMPONENTS LIST OF THE SOLAR POWER SYSTEM</t>
  </si>
  <si>
    <t>CAPEX</t>
  </si>
  <si>
    <t>Annual Cost (INR)</t>
  </si>
  <si>
    <t>Operation &amp; Maintenance (O&amp;M) contract</t>
  </si>
  <si>
    <t>Module cleaning</t>
  </si>
  <si>
    <t>Spares &amp; consumables</t>
  </si>
  <si>
    <t>OPEX</t>
  </si>
  <si>
    <t>PM SGY SUBSIDY</t>
  </si>
  <si>
    <t>ASSAM STATE SUBSIDY</t>
  </si>
  <si>
    <t>NET CAPITAL INVESTMENT</t>
  </si>
  <si>
    <t>Total Investment</t>
  </si>
  <si>
    <t>No</t>
  </si>
  <si>
    <t>Net Grid Supply</t>
  </si>
  <si>
    <t xml:space="preserve">Solar Yield ( kwh) </t>
  </si>
  <si>
    <t>Slab No.</t>
  </si>
  <si>
    <t>Consumption Range (kWh/month)</t>
  </si>
  <si>
    <t>Base Energy Charge (₹/kWh)</t>
  </si>
  <si>
    <t>FPPPA Charge (₹/kWh)</t>
  </si>
  <si>
    <t>Effective Energy Rate (₹/kWh)</t>
  </si>
  <si>
    <t>Fixed Charge (₹/kW-month)</t>
  </si>
  <si>
    <t>Electricity Duty (%)</t>
  </si>
  <si>
    <t>Govt. Subsidy (₹/kWh)</t>
  </si>
  <si>
    <t>Avg Monthly unit</t>
  </si>
  <si>
    <t>Bill without Solar</t>
  </si>
  <si>
    <t>Bill After Solar</t>
  </si>
  <si>
    <t>Solar Yield</t>
  </si>
  <si>
    <t>Consumption</t>
  </si>
  <si>
    <t>Values</t>
  </si>
  <si>
    <t>Bill without solar</t>
  </si>
  <si>
    <t>Bill with solar</t>
  </si>
  <si>
    <t>Intial Value</t>
  </si>
  <si>
    <t>yearly values</t>
  </si>
  <si>
    <t>as per Pvsyst Report</t>
  </si>
  <si>
    <t>As per Consumption History</t>
  </si>
  <si>
    <t>As per APDCL Slab rates and subsidies</t>
  </si>
  <si>
    <t>will get 3rs per unit, if it is negative, bill paid as per apdcl</t>
  </si>
  <si>
    <t>If unit lapses in a yea, that is positive net supply to grid,</t>
  </si>
  <si>
    <t>Degrade 0.8% per year</t>
  </si>
  <si>
    <t>A new house will be built, that will increase the consumption by 0.8 times</t>
  </si>
  <si>
    <t>Inflation Factor</t>
  </si>
  <si>
    <t>Tarrif Rise</t>
  </si>
  <si>
    <t>Consumption increase per year</t>
  </si>
  <si>
    <t>`</t>
  </si>
  <si>
    <t>Increase by 2% each year| On year 2028,</t>
  </si>
  <si>
    <t>Operational cost</t>
  </si>
  <si>
    <t>Total</t>
  </si>
  <si>
    <t>Net saving in Bill</t>
  </si>
  <si>
    <t xml:space="preserve"> Net bill saved`-Total capex and opex</t>
  </si>
  <si>
    <t>Cumulative capex opex</t>
  </si>
  <si>
    <t>Cumulative saving</t>
  </si>
  <si>
    <t>Net saving</t>
  </si>
  <si>
    <t>Cost Each Year</t>
  </si>
  <si>
    <t xml:space="preserve">Capital+Opx cost </t>
  </si>
  <si>
    <t>Opx cost+inverter replacement in every 10 year</t>
  </si>
  <si>
    <t>IRR</t>
  </si>
  <si>
    <t>Cumulative PV saving</t>
  </si>
  <si>
    <t>MODEL INPUTS</t>
  </si>
  <si>
    <t>Total Cost</t>
  </si>
  <si>
    <t>PM SGY Subsidy</t>
  </si>
  <si>
    <t>State Subsidy</t>
  </si>
  <si>
    <t>Maintance Cost per year</t>
  </si>
  <si>
    <t>Slab 1</t>
  </si>
  <si>
    <t>Slab 2</t>
  </si>
  <si>
    <t>Slab 3</t>
  </si>
  <si>
    <t>Tarrif Rise Rate</t>
  </si>
  <si>
    <t>Inflation</t>
  </si>
  <si>
    <t>Fixed Charge</t>
  </si>
  <si>
    <t>Avg yearly consumption</t>
  </si>
  <si>
    <t>Consumption increase rate</t>
  </si>
  <si>
    <t>Avg Monthly Consumption</t>
  </si>
  <si>
    <t>Panel output degradation</t>
  </si>
  <si>
    <t>Inverter Replacement Cycle</t>
  </si>
  <si>
    <t>NPV</t>
  </si>
  <si>
    <t>Residental Solar Dashboard</t>
  </si>
  <si>
    <t>Yearly Unit Produced per KW</t>
  </si>
  <si>
    <t>PAYBACK PERIOD</t>
  </si>
  <si>
    <t>ROI</t>
  </si>
  <si>
    <t>Capital Investment</t>
  </si>
  <si>
    <t>Lifetime savings</t>
  </si>
  <si>
    <t>YEARS</t>
  </si>
  <si>
    <t>LIFETIME SAVINGS</t>
  </si>
  <si>
    <t xml:space="preserve">System  Load KW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</si>
</sst>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#,###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4" applyNumberFormat="0" applyAlignment="0" applyProtection="0"/>
    <xf numFmtId="0" fontId="11" fillId="9" borderId="5" applyNumberFormat="0" applyAlignment="0" applyProtection="0"/>
    <xf numFmtId="0" fontId="12" fillId="9" borderId="4" applyNumberFormat="0" applyAlignment="0" applyProtection="0"/>
    <xf numFmtId="0" fontId="13" fillId="0" borderId="6" applyNumberFormat="0" applyFill="0" applyAlignment="0" applyProtection="0"/>
    <xf numFmtId="0" fontId="14" fillId="10" borderId="7" applyNumberFormat="0" applyAlignment="0" applyProtection="0"/>
    <xf numFmtId="0" fontId="15" fillId="0" borderId="0" applyNumberFormat="0" applyFill="0" applyBorder="0" applyAlignment="0" applyProtection="0"/>
    <xf numFmtId="0" fontId="2" fillId="11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</cellStyleXfs>
  <cellXfs count="50">
    <xf numFmtId="0" fontId="0" fillId="0" borderId="0" xfId="0"/>
    <xf numFmtId="0" fontId="0" fillId="3" borderId="0" xfId="0" applyFill="1"/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0" fillId="36" borderId="0" xfId="0" applyFill="1"/>
    <xf numFmtId="2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36" borderId="0" xfId="0" applyFont="1" applyFill="1"/>
    <xf numFmtId="0" fontId="0" fillId="0" borderId="0" xfId="0"/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2" fontId="1" fillId="4" borderId="0" xfId="0" applyNumberFormat="1" applyFont="1" applyFill="1"/>
    <xf numFmtId="0" fontId="1" fillId="37" borderId="0" xfId="0" applyFont="1" applyFill="1"/>
    <xf numFmtId="2" fontId="0" fillId="36" borderId="0" xfId="0" applyNumberFormat="1" applyFill="1"/>
    <xf numFmtId="2" fontId="0" fillId="37" borderId="0" xfId="0" applyNumberFormat="1" applyFill="1"/>
    <xf numFmtId="0" fontId="0" fillId="0" borderId="0" xfId="0"/>
    <xf numFmtId="0" fontId="0" fillId="4" borderId="0" xfId="0" applyFill="1"/>
    <xf numFmtId="0" fontId="0" fillId="38" borderId="10" xfId="0" applyFont="1" applyFill="1" applyBorder="1" applyAlignment="1">
      <alignment horizontal="center" vertical="center" wrapText="1"/>
    </xf>
    <xf numFmtId="0" fontId="0" fillId="38" borderId="11" xfId="0" applyFont="1" applyFill="1" applyBorder="1" applyAlignment="1">
      <alignment horizontal="center" vertical="center" wrapText="1"/>
    </xf>
    <xf numFmtId="0" fontId="0" fillId="38" borderId="11" xfId="0" applyFont="1" applyFill="1" applyBorder="1" applyAlignment="1">
      <alignment horizontal="right" vertical="center" wrapText="1"/>
    </xf>
    <xf numFmtId="0" fontId="1" fillId="38" borderId="11" xfId="0" applyFont="1" applyFill="1" applyBorder="1" applyAlignment="1">
      <alignment horizontal="right" vertical="center" wrapText="1"/>
    </xf>
    <xf numFmtId="0" fontId="0" fillId="38" borderId="12" xfId="0" applyFont="1" applyFill="1" applyBorder="1" applyAlignment="1">
      <alignment horizontal="right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right" vertical="center" wrapText="1"/>
    </xf>
    <xf numFmtId="0" fontId="1" fillId="4" borderId="11" xfId="0" applyFont="1" applyFill="1" applyBorder="1" applyAlignment="1">
      <alignment horizontal="right" vertical="center" wrapText="1"/>
    </xf>
    <xf numFmtId="0" fontId="0" fillId="4" borderId="12" xfId="0" applyFont="1" applyFill="1" applyBorder="1" applyAlignment="1">
      <alignment horizontal="right" vertical="center" wrapText="1"/>
    </xf>
    <xf numFmtId="0" fontId="14" fillId="39" borderId="13" xfId="0" applyFont="1" applyFill="1" applyBorder="1"/>
    <xf numFmtId="164" fontId="0" fillId="0" borderId="0" xfId="0" applyNumberFormat="1"/>
    <xf numFmtId="164" fontId="0" fillId="38" borderId="11" xfId="0" applyNumberFormat="1" applyFont="1" applyFill="1" applyBorder="1" applyAlignment="1">
      <alignment horizontal="center" vertical="center" wrapText="1"/>
    </xf>
    <xf numFmtId="0" fontId="0" fillId="40" borderId="0" xfId="0" applyFill="1"/>
    <xf numFmtId="2" fontId="0" fillId="40" borderId="0" xfId="0" applyNumberFormat="1" applyFill="1"/>
    <xf numFmtId="9" fontId="0" fillId="0" borderId="0" xfId="0" applyNumberFormat="1"/>
    <xf numFmtId="10" fontId="0" fillId="4" borderId="11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10" fontId="0" fillId="4" borderId="0" xfId="0" applyNumberFormat="1" applyFill="1"/>
    <xf numFmtId="2" fontId="0" fillId="4" borderId="0" xfId="0" applyNumberFormat="1" applyFill="1"/>
    <xf numFmtId="0" fontId="19" fillId="0" borderId="0" xfId="0" applyFont="1"/>
    <xf numFmtId="4" fontId="0" fillId="0" borderId="0" xfId="0" applyNumberFormat="1"/>
    <xf numFmtId="1" fontId="0" fillId="0" borderId="0" xfId="0" applyNumberFormat="1"/>
    <xf numFmtId="0" fontId="21" fillId="0" borderId="0" xfId="0" applyFont="1"/>
    <xf numFmtId="0" fontId="20" fillId="0" borderId="0" xfId="0" applyFont="1"/>
    <xf numFmtId="4" fontId="20" fillId="0" borderId="0" xfId="0" applyNumberFormat="1" applyFont="1"/>
    <xf numFmtId="0" fontId="22" fillId="0" borderId="0" xfId="0" applyFont="1"/>
    <xf numFmtId="0" fontId="22" fillId="0" borderId="0" xfId="0" applyFont="1" applyAlignment="1">
      <alignment horizontal="left"/>
    </xf>
    <xf numFmtId="165" fontId="20" fillId="0" borderId="0" xfId="0" applyNumberFormat="1" applyFont="1" applyAlignment="1">
      <alignment horizontal="center"/>
    </xf>
    <xf numFmtId="10" fontId="18" fillId="0" borderId="0" xfId="0" applyNumberFormat="1" applyFont="1" applyAlignment="1">
      <alignment horizontal="right"/>
    </xf>
    <xf numFmtId="2" fontId="18" fillId="0" borderId="0" xfId="0" applyNumberFormat="1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13" formatCode="0%"/>
    </dxf>
    <dxf>
      <numFmt numFmtId="13" formatCode="0%"/>
    </dxf>
    <dxf>
      <fill>
        <patternFill patternType="solid">
          <fgColor indexed="64"/>
          <bgColor rgb="FF92D050"/>
        </patternFill>
      </fill>
    </dxf>
    <dxf>
      <alignment horizontal="general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A9F6C"/>
      <color rgb="FFFB2E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Solar Yield Vs Consumption</a:t>
            </a:r>
          </a:p>
        </c:rich>
      </c:tx>
      <c:layout>
        <c:manualLayout>
          <c:xMode val="edge"/>
          <c:yMode val="edge"/>
          <c:x val="0.3632915573053369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1046821934356"/>
          <c:y val="0.19086375566690528"/>
          <c:w val="0.84589129483814518"/>
          <c:h val="0.6714577865266842"/>
        </c:manualLayout>
      </c:layout>
      <c:lineChart>
        <c:grouping val="standard"/>
        <c:varyColors val="0"/>
        <c:ser>
          <c:idx val="1"/>
          <c:order val="1"/>
          <c:tx>
            <c:strRef>
              <c:f>'Energy - Money Matrics'!$E$3</c:f>
              <c:strCache>
                <c:ptCount val="1"/>
                <c:pt idx="0">
                  <c:v>Consumption (kWh)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'Energy - Money Matrics'!$E$4:$E$34</c:f>
              <c:numCache>
                <c:formatCode>General</c:formatCode>
                <c:ptCount val="31"/>
                <c:pt idx="0">
                  <c:v>1598</c:v>
                </c:pt>
                <c:pt idx="1">
                  <c:v>1645.94</c:v>
                </c:pt>
                <c:pt idx="2">
                  <c:v>1695.3182000000002</c:v>
                </c:pt>
                <c:pt idx="3">
                  <c:v>2542.9773000000005</c:v>
                </c:pt>
                <c:pt idx="4">
                  <c:v>2606.5517325000005</c:v>
                </c:pt>
                <c:pt idx="5">
                  <c:v>2671.7155258125003</c:v>
                </c:pt>
                <c:pt idx="6">
                  <c:v>2738.508413957813</c:v>
                </c:pt>
                <c:pt idx="7">
                  <c:v>2806.9711243067582</c:v>
                </c:pt>
                <c:pt idx="8">
                  <c:v>2877.1454024144273</c:v>
                </c:pt>
                <c:pt idx="9">
                  <c:v>2949.0740374747879</c:v>
                </c:pt>
                <c:pt idx="10">
                  <c:v>3022.8008884116575</c:v>
                </c:pt>
                <c:pt idx="11">
                  <c:v>3098.370910621949</c:v>
                </c:pt>
                <c:pt idx="12">
                  <c:v>3175.8301833874975</c:v>
                </c:pt>
                <c:pt idx="13">
                  <c:v>3255.225937972185</c:v>
                </c:pt>
                <c:pt idx="14">
                  <c:v>3336.6065864214897</c:v>
                </c:pt>
                <c:pt idx="15">
                  <c:v>3420.0217510820271</c:v>
                </c:pt>
                <c:pt idx="16">
                  <c:v>3505.5222948590776</c:v>
                </c:pt>
                <c:pt idx="17">
                  <c:v>3593.1603522305545</c:v>
                </c:pt>
                <c:pt idx="18">
                  <c:v>3682.9893610363183</c:v>
                </c:pt>
                <c:pt idx="19">
                  <c:v>3775.0640950622264</c:v>
                </c:pt>
                <c:pt idx="20">
                  <c:v>3869.4406974387821</c:v>
                </c:pt>
                <c:pt idx="21">
                  <c:v>3966.1767148747517</c:v>
                </c:pt>
                <c:pt idx="22">
                  <c:v>4065.3311327466204</c:v>
                </c:pt>
                <c:pt idx="23">
                  <c:v>4166.9644110652862</c:v>
                </c:pt>
                <c:pt idx="24">
                  <c:v>4271.138521341918</c:v>
                </c:pt>
                <c:pt idx="25">
                  <c:v>4377.9169843754662</c:v>
                </c:pt>
                <c:pt idx="26">
                  <c:v>4487.3649089848532</c:v>
                </c:pt>
                <c:pt idx="27">
                  <c:v>4599.5490317094745</c:v>
                </c:pt>
                <c:pt idx="28">
                  <c:v>4714.5377575022112</c:v>
                </c:pt>
                <c:pt idx="29">
                  <c:v>4832.4012014397667</c:v>
                </c:pt>
                <c:pt idx="30">
                  <c:v>4953.2112314757605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7-4CC6-8FE4-AD6243600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9107935"/>
        <c:axId val="737514831"/>
      </c:lineChart>
      <c:scatterChart>
        <c:scatterStyle val="smoothMarker"/>
        <c:varyColors val="0"/>
        <c:ser>
          <c:idx val="0"/>
          <c:order val="0"/>
          <c:tx>
            <c:strRef>
              <c:f>'Energy - Money Matrics'!$D$3</c:f>
              <c:strCache>
                <c:ptCount val="1"/>
                <c:pt idx="0">
                  <c:v>Solar Yield ( kwh)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'Energy - Money Matrics'!$D$4:$D$34</c:f>
              <c:numCache>
                <c:formatCode>General</c:formatCode>
                <c:ptCount val="31"/>
                <c:pt idx="0" formatCode="0.00">
                  <c:v>3990</c:v>
                </c:pt>
                <c:pt idx="1">
                  <c:v>3958.08</c:v>
                </c:pt>
                <c:pt idx="2">
                  <c:v>3926.41536</c:v>
                </c:pt>
                <c:pt idx="3">
                  <c:v>3895.0040371199998</c:v>
                </c:pt>
                <c:pt idx="4">
                  <c:v>3863.84400482304</c:v>
                </c:pt>
                <c:pt idx="5">
                  <c:v>3832.9332527844558</c:v>
                </c:pt>
                <c:pt idx="6">
                  <c:v>3802.26978676218</c:v>
                </c:pt>
                <c:pt idx="7">
                  <c:v>3771.8516284680827</c:v>
                </c:pt>
                <c:pt idx="8">
                  <c:v>3741.676815440338</c:v>
                </c:pt>
                <c:pt idx="9">
                  <c:v>3711.7434009168155</c:v>
                </c:pt>
                <c:pt idx="10">
                  <c:v>3682.049453709481</c:v>
                </c:pt>
                <c:pt idx="11">
                  <c:v>3652.5930580798054</c:v>
                </c:pt>
                <c:pt idx="12">
                  <c:v>3623.3723136151671</c:v>
                </c:pt>
                <c:pt idx="13">
                  <c:v>3594.3853351062457</c:v>
                </c:pt>
                <c:pt idx="14">
                  <c:v>3565.6302524253956</c:v>
                </c:pt>
                <c:pt idx="15">
                  <c:v>3537.1052104059922</c:v>
                </c:pt>
                <c:pt idx="16">
                  <c:v>3508.8083687227445</c:v>
                </c:pt>
                <c:pt idx="17">
                  <c:v>3480.7379017729627</c:v>
                </c:pt>
                <c:pt idx="18">
                  <c:v>3452.8919985587791</c:v>
                </c:pt>
                <c:pt idx="19">
                  <c:v>3425.268862570309</c:v>
                </c:pt>
                <c:pt idx="20">
                  <c:v>3397.8667116697466</c:v>
                </c:pt>
                <c:pt idx="21">
                  <c:v>3370.6837779763887</c:v>
                </c:pt>
                <c:pt idx="22">
                  <c:v>3343.7183077525774</c:v>
                </c:pt>
                <c:pt idx="23">
                  <c:v>3316.9685612905569</c:v>
                </c:pt>
                <c:pt idx="24">
                  <c:v>3290.4328128002326</c:v>
                </c:pt>
                <c:pt idx="25">
                  <c:v>3264.1093502978306</c:v>
                </c:pt>
                <c:pt idx="26">
                  <c:v>3237.9964754954481</c:v>
                </c:pt>
                <c:pt idx="27">
                  <c:v>3212.0925036914846</c:v>
                </c:pt>
                <c:pt idx="28">
                  <c:v>3186.3957636619525</c:v>
                </c:pt>
                <c:pt idx="29">
                  <c:v>3160.9045975526569</c:v>
                </c:pt>
                <c:pt idx="30">
                  <c:v>3135.6173607722358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77-4CC6-8FE4-AD6243600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107935"/>
        <c:axId val="737514831"/>
      </c:scatterChart>
      <c:catAx>
        <c:axId val="809107935"/>
        <c:scaling>
          <c:orientation val="minMax"/>
        </c:scaling>
        <c:delete val="1"/>
        <c:axPos val="b"/>
        <c:majorTickMark val="none"/>
        <c:minorTickMark val="none"/>
        <c:tickLblPos val="nextTo"/>
        <c:crossAx val="737514831"/>
        <c:crosses val="autoZero"/>
        <c:auto val="1"/>
        <c:lblAlgn val="ctr"/>
        <c:lblOffset val="100"/>
        <c:noMultiLvlLbl val="0"/>
      </c:catAx>
      <c:valAx>
        <c:axId val="73751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10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994504747879522"/>
          <c:y val="0.89772655690765923"/>
          <c:w val="0.44808360598636693"/>
          <c:h val="8.7121814194277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Cumulative</a:t>
            </a:r>
            <a:r>
              <a:rPr lang="en-IN" baseline="0"/>
              <a:t> Cashflow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00692586394988E-2"/>
          <c:y val="0.13782836630793083"/>
          <c:w val="0.88599827801255737"/>
          <c:h val="0.724858192787530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'Energy - Money Matrics'!$C$3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'Energy - Money Matrics'!$C$4:$C$34</c:f>
              <c:numCache>
                <c:formatCode>General</c:formatCode>
                <c:ptCount val="3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  <c:pt idx="16">
                  <c:v>2041</c:v>
                </c:pt>
                <c:pt idx="17">
                  <c:v>2042</c:v>
                </c:pt>
                <c:pt idx="18">
                  <c:v>2043</c:v>
                </c:pt>
                <c:pt idx="19">
                  <c:v>2044</c:v>
                </c:pt>
                <c:pt idx="20">
                  <c:v>2045</c:v>
                </c:pt>
                <c:pt idx="21">
                  <c:v>2046</c:v>
                </c:pt>
                <c:pt idx="22">
                  <c:v>2047</c:v>
                </c:pt>
                <c:pt idx="23">
                  <c:v>2048</c:v>
                </c:pt>
                <c:pt idx="24">
                  <c:v>2049</c:v>
                </c:pt>
                <c:pt idx="25">
                  <c:v>2050</c:v>
                </c:pt>
                <c:pt idx="26">
                  <c:v>2051</c:v>
                </c:pt>
                <c:pt idx="27">
                  <c:v>2052</c:v>
                </c:pt>
                <c:pt idx="28">
                  <c:v>2053</c:v>
                </c:pt>
                <c:pt idx="29">
                  <c:v>2054</c:v>
                </c:pt>
                <c:pt idx="30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9-4AF3-9A91-93C58E888D8D}"/>
            </c:ext>
          </c:extLst>
        </c:ser>
        <c:ser>
          <c:idx val="1"/>
          <c:order val="1"/>
          <c:tx>
            <c:strRef>
              <c:f>'Energy - Money Matrics'!$O$3</c:f>
              <c:strCache>
                <c:ptCount val="1"/>
                <c:pt idx="0">
                  <c:v>Cumulative saving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'Energy - Money Matrics'!$O$4:$O$34</c:f>
              <c:numCache>
                <c:formatCode>General</c:formatCode>
                <c:ptCount val="31"/>
                <c:pt idx="0">
                  <c:v>-139936.709</c:v>
                </c:pt>
                <c:pt idx="1">
                  <c:v>-125466.8438381</c:v>
                </c:pt>
                <c:pt idx="2">
                  <c:v>-110642.10031464029</c:v>
                </c:pt>
                <c:pt idx="3">
                  <c:v>-91152.697440535034</c:v>
                </c:pt>
                <c:pt idx="4">
                  <c:v>-70972.228873209213</c:v>
                </c:pt>
                <c:pt idx="5">
                  <c:v>-50048.394996590956</c:v>
                </c:pt>
                <c:pt idx="6">
                  <c:v>-28325.8031201126</c:v>
                </c:pt>
                <c:pt idx="7">
                  <c:v>-5745.7876416773979</c:v>
                </c:pt>
                <c:pt idx="8">
                  <c:v>17753.780054334402</c:v>
                </c:pt>
                <c:pt idx="9">
                  <c:v>42323.861570064095</c:v>
                </c:pt>
                <c:pt idx="10">
                  <c:v>37135.068349003566</c:v>
                </c:pt>
                <c:pt idx="11">
                  <c:v>64089.429378129942</c:v>
                </c:pt>
                <c:pt idx="12">
                  <c:v>92363.615864801599</c:v>
                </c:pt>
                <c:pt idx="13">
                  <c:v>122049.53122172745</c:v>
                </c:pt>
                <c:pt idx="14">
                  <c:v>153244.53358468242</c:v>
                </c:pt>
                <c:pt idx="15">
                  <c:v>186051.75212741215</c:v>
                </c:pt>
                <c:pt idx="16">
                  <c:v>220580.4214153536</c:v>
                </c:pt>
                <c:pt idx="17">
                  <c:v>256369.19702144989</c:v>
                </c:pt>
                <c:pt idx="18">
                  <c:v>293217.25949400757</c:v>
                </c:pt>
                <c:pt idx="19">
                  <c:v>331162.71788490668</c:v>
                </c:pt>
                <c:pt idx="20">
                  <c:v>328704.87910470919</c:v>
                </c:pt>
                <c:pt idx="21">
                  <c:v>368966.5751493008</c:v>
                </c:pt>
                <c:pt idx="22">
                  <c:v>410450.91164786846</c:v>
                </c:pt>
                <c:pt idx="23">
                  <c:v>453203.60598482186</c:v>
                </c:pt>
                <c:pt idx="24">
                  <c:v>497272.53935695556</c:v>
                </c:pt>
                <c:pt idx="25">
                  <c:v>542707.87349105277</c:v>
                </c:pt>
                <c:pt idx="26">
                  <c:v>589562.17398499954</c:v>
                </c:pt>
                <c:pt idx="27">
                  <c:v>637890.54065364844</c:v>
                </c:pt>
                <c:pt idx="28">
                  <c:v>687750.74528263987</c:v>
                </c:pt>
                <c:pt idx="29">
                  <c:v>739203.37721661769</c:v>
                </c:pt>
                <c:pt idx="30">
                  <c:v>797996.03694472415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9-4AF3-9A91-93C58E888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0935039"/>
        <c:axId val="1067980527"/>
      </c:barChart>
      <c:catAx>
        <c:axId val="810935039"/>
        <c:scaling>
          <c:orientation val="minMax"/>
        </c:scaling>
        <c:delete val="1"/>
        <c:axPos val="b"/>
        <c:majorTickMark val="none"/>
        <c:minorTickMark val="none"/>
        <c:tickLblPos val="nextTo"/>
        <c:crossAx val="1067980527"/>
        <c:crosses val="autoZero"/>
        <c:auto val="1"/>
        <c:lblAlgn val="ctr"/>
        <c:lblOffset val="100"/>
        <c:noMultiLvlLbl val="0"/>
      </c:catAx>
      <c:valAx>
        <c:axId val="10679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3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1226782</xdr:colOff>
      <xdr:row>0</xdr:row>
      <xdr:rowOff>117231</xdr:rowOff>
    </xdr:from>
    <xdr:to>
      <xdr:col>14</xdr:col>
      <xdr:colOff>298175</xdr:colOff>
      <xdr:row>25</xdr:row>
      <xdr:rowOff>73268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E02871F0-6E53-47A7-A7DF-1029D9005B19}"/>
            </a:ext>
          </a:extLst>
        </xdr:cNvPr>
        <xdr:cNvSpPr/>
      </xdr:nvSpPr>
      <xdr:spPr>
        <a:xfrm>
          <a:off x="1226782" y="117231"/>
          <a:ext cx="12853654" cy="5447407"/>
        </a:xfrm>
        <a:prstGeom prst="roundRect">
          <a:avLst>
            <a:gd name="adj" fmla="val 2226"/>
          </a:avLst>
        </a:prstGeom>
        <a:noFill/>
        <a:ln w="6350">
          <a:solidFill>
            <a:schemeClr val="tx1"/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588065</xdr:colOff>
      <xdr:row>1</xdr:row>
      <xdr:rowOff>36443</xdr:rowOff>
    </xdr:from>
    <xdr:to>
      <xdr:col>10</xdr:col>
      <xdr:colOff>198782</xdr:colOff>
      <xdr:row>12</xdr:row>
      <xdr:rowOff>99390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D4003CB-42F7-4406-AD70-79AB3A2A5289}"/>
            </a:ext>
          </a:extLst>
        </xdr:cNvPr>
        <xdr:cNvSpPr/>
      </xdr:nvSpPr>
      <xdr:spPr>
        <a:xfrm>
          <a:off x="4480891" y="226943"/>
          <a:ext cx="6601239" cy="2597425"/>
        </a:xfrm>
        <a:prstGeom prst="roundRect">
          <a:avLst>
            <a:gd name="adj" fmla="val 4488"/>
          </a:avLst>
        </a:prstGeom>
        <a:noFill/>
        <a:ln w="952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579783</xdr:colOff>
      <xdr:row>12</xdr:row>
      <xdr:rowOff>165653</xdr:rowOff>
    </xdr:from>
    <xdr:to>
      <xdr:col>10</xdr:col>
      <xdr:colOff>190500</xdr:colOff>
      <xdr:row>25</xdr:row>
      <xdr:rowOff>6627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C307BF66-1B7A-4B46-AC62-C0C696239483}"/>
            </a:ext>
          </a:extLst>
        </xdr:cNvPr>
        <xdr:cNvSpPr/>
      </xdr:nvSpPr>
      <xdr:spPr>
        <a:xfrm>
          <a:off x="4472609" y="2890631"/>
          <a:ext cx="6601239" cy="2681909"/>
        </a:xfrm>
        <a:prstGeom prst="roundRect">
          <a:avLst>
            <a:gd name="adj" fmla="val 4548"/>
          </a:avLst>
        </a:prstGeom>
        <a:noFill/>
        <a:ln w="952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745434</xdr:colOff>
      <xdr:row>13</xdr:row>
      <xdr:rowOff>82827</xdr:rowOff>
    </xdr:from>
    <xdr:to>
      <xdr:col>10</xdr:col>
      <xdr:colOff>91109</xdr:colOff>
      <xdr:row>24</xdr:row>
      <xdr:rowOff>82827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DC71EC-E3CE-4E70-BADA-FC041140B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1336813</xdr:colOff>
      <xdr:row>5</xdr:row>
      <xdr:rowOff>82825</xdr:rowOff>
    </xdr:from>
    <xdr:to>
      <xdr:col>3</xdr:col>
      <xdr:colOff>248478</xdr:colOff>
      <xdr:row>24</xdr:row>
      <xdr:rowOff>173934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2B2F904-A8D6-4AF0-B2CD-EB0E9E0DAAC4}"/>
            </a:ext>
          </a:extLst>
        </xdr:cNvPr>
        <xdr:cNvSpPr/>
      </xdr:nvSpPr>
      <xdr:spPr>
        <a:xfrm>
          <a:off x="1336813" y="1035325"/>
          <a:ext cx="2804491" cy="3710609"/>
        </a:xfrm>
        <a:prstGeom prst="roundRect">
          <a:avLst>
            <a:gd name="adj" fmla="val 2857"/>
          </a:avLst>
        </a:prstGeom>
        <a:noFill/>
        <a:ln w="952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0</xdr:col>
      <xdr:colOff>1336813</xdr:colOff>
      <xdr:row>1</xdr:row>
      <xdr:rowOff>41414</xdr:rowOff>
    </xdr:from>
    <xdr:to>
      <xdr:col>3</xdr:col>
      <xdr:colOff>265044</xdr:colOff>
      <xdr:row>5</xdr:row>
      <xdr:rowOff>16566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E4CFBEB7-D680-4E55-8E9E-907C98B40508}"/>
            </a:ext>
          </a:extLst>
        </xdr:cNvPr>
        <xdr:cNvSpPr/>
      </xdr:nvSpPr>
      <xdr:spPr>
        <a:xfrm>
          <a:off x="1336813" y="231914"/>
          <a:ext cx="2821057" cy="737152"/>
        </a:xfrm>
        <a:prstGeom prst="roundRect">
          <a:avLst>
            <a:gd name="adj" fmla="val 6401"/>
          </a:avLst>
        </a:prstGeom>
        <a:noFill/>
        <a:ln w="952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646042</xdr:colOff>
      <xdr:row>1</xdr:row>
      <xdr:rowOff>107674</xdr:rowOff>
    </xdr:from>
    <xdr:to>
      <xdr:col>10</xdr:col>
      <xdr:colOff>91107</xdr:colOff>
      <xdr:row>12</xdr:row>
      <xdr:rowOff>49696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C30EF18-FEF9-4224-83D8-617293B7A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422413</xdr:colOff>
      <xdr:row>13</xdr:row>
      <xdr:rowOff>8282</xdr:rowOff>
    </xdr:from>
    <xdr:to>
      <xdr:col>14</xdr:col>
      <xdr:colOff>66260</xdr:colOff>
      <xdr:row>18</xdr:row>
      <xdr:rowOff>180561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604AE8B0-2B82-4AF4-9277-A1D30390914A}"/>
            </a:ext>
          </a:extLst>
        </xdr:cNvPr>
        <xdr:cNvSpPr/>
      </xdr:nvSpPr>
      <xdr:spPr>
        <a:xfrm>
          <a:off x="11305761" y="2816086"/>
          <a:ext cx="2261151" cy="1124779"/>
        </a:xfrm>
        <a:prstGeom prst="roundRect">
          <a:avLst>
            <a:gd name="adj" fmla="val 6401"/>
          </a:avLst>
        </a:prstGeom>
        <a:noFill/>
        <a:ln w="952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424070</xdr:colOff>
      <xdr:row>19</xdr:row>
      <xdr:rowOff>66261</xdr:rowOff>
    </xdr:from>
    <xdr:to>
      <xdr:col>14</xdr:col>
      <xdr:colOff>74544</xdr:colOff>
      <xdr:row>24</xdr:row>
      <xdr:rowOff>167309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CB42B229-26E6-4220-850C-945A044D536D}"/>
            </a:ext>
          </a:extLst>
        </xdr:cNvPr>
        <xdr:cNvSpPr/>
      </xdr:nvSpPr>
      <xdr:spPr>
        <a:xfrm>
          <a:off x="11307418" y="4306957"/>
          <a:ext cx="2549387" cy="1235765"/>
        </a:xfrm>
        <a:prstGeom prst="roundRect">
          <a:avLst>
            <a:gd name="adj" fmla="val 6401"/>
          </a:avLst>
        </a:prstGeom>
        <a:noFill/>
        <a:ln w="952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457199</xdr:colOff>
      <xdr:row>1</xdr:row>
      <xdr:rowOff>77855</xdr:rowOff>
    </xdr:from>
    <xdr:to>
      <xdr:col>14</xdr:col>
      <xdr:colOff>77856</xdr:colOff>
      <xdr:row>6</xdr:row>
      <xdr:rowOff>34786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F27044EC-F1B3-45E2-8691-389FAAE4BBC5}"/>
            </a:ext>
          </a:extLst>
        </xdr:cNvPr>
        <xdr:cNvSpPr/>
      </xdr:nvSpPr>
      <xdr:spPr>
        <a:xfrm>
          <a:off x="11340547" y="268355"/>
          <a:ext cx="2237961" cy="1133061"/>
        </a:xfrm>
        <a:prstGeom prst="roundRect">
          <a:avLst>
            <a:gd name="adj" fmla="val 6401"/>
          </a:avLst>
        </a:prstGeom>
        <a:noFill/>
        <a:ln w="952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435666</xdr:colOff>
      <xdr:row>6</xdr:row>
      <xdr:rowOff>102703</xdr:rowOff>
    </xdr:from>
    <xdr:to>
      <xdr:col>14</xdr:col>
      <xdr:colOff>86140</xdr:colOff>
      <xdr:row>12</xdr:row>
      <xdr:rowOff>74542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8D24FA7D-1CFE-4BB0-BB7C-9A6EB6C1C096}"/>
            </a:ext>
          </a:extLst>
        </xdr:cNvPr>
        <xdr:cNvSpPr/>
      </xdr:nvSpPr>
      <xdr:spPr>
        <a:xfrm>
          <a:off x="11319014" y="1469333"/>
          <a:ext cx="2267778" cy="1222513"/>
        </a:xfrm>
        <a:prstGeom prst="roundRect">
          <a:avLst>
            <a:gd name="adj" fmla="val 6401"/>
          </a:avLst>
        </a:prstGeom>
        <a:noFill/>
        <a:ln w="9525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43C4C0-7413-4B1C-ACDF-A408377EBFF1}" name="Table1" displayName="Table1" ref="B5:D21" totalsRowShown="0">
  <autoFilter ref="B5:D21" xr:uid="{BB169046-C4E3-4C30-974B-911C0A20C99E}"/>
  <tableColumns count="3">
    <tableColumn id="1" xr3:uid="{B000BC7A-BAAE-4F02-8D0A-21DE8C672F4B}" name="MONTHLY"/>
    <tableColumn id="2" xr3:uid="{1981C821-CFC3-45B9-8FF5-02159BA27757}" name="Column1"/>
    <tableColumn id="3" xr3:uid="{550A4A8F-0EB8-45C2-8622-ED60B52FB9F5}" name="Column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332FDB-C990-4ACF-B2AF-D4104C488973}" name="Table2" displayName="Table2" ref="F5:H39" totalsRowShown="0">
  <autoFilter ref="F5:H39" xr:uid="{5280E900-E25E-4D0C-906F-75DF61F7F6CA}"/>
  <tableColumns count="3">
    <tableColumn id="1" xr3:uid="{771D16B5-D986-4DE6-912B-2D6F6AEB9A7B}" name="DAILY"/>
    <tableColumn id="2" xr3:uid="{EB4A0678-E475-4EC8-BD49-F7F01C53CE1B}" name="Column1"/>
    <tableColumn id="3" xr3:uid="{8A9A8920-942F-4461-B735-E561DFCD5524}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7953C6-1E14-4CC3-93CA-9CFFCD1363C2}" name="Table4" displayName="Table4" ref="B4:G8" totalsRowShown="0" headerRowDxfId="13" dataDxfId="12">
  <autoFilter ref="B4:G8" xr:uid="{D74252F7-0564-4D2F-BD6F-2C067FEDDE68}"/>
  <tableColumns count="6">
    <tableColumn id="1" xr3:uid="{52161DF6-6FF0-4012-9F0D-C90290F01CFC}" name="Component" dataDxfId="11"/>
    <tableColumn id="2" xr3:uid="{64AFB5FA-33A1-47D6-AE75-1230BF4B6C7A}" name="Manufacturer" dataDxfId="10"/>
    <tableColumn id="3" xr3:uid="{29189BFE-67FE-4107-A726-2002EEE01593}" name="Model" dataDxfId="9"/>
    <tableColumn id="4" xr3:uid="{D49405B4-12E6-48F3-B95A-DCB4284819DD}" name="Qty" dataDxfId="8"/>
    <tableColumn id="5" xr3:uid="{755FC5EE-EC3A-4945-B31C-D761C00D7A14}" name="Nominal Power" dataDxfId="7"/>
    <tableColumn id="6" xr3:uid="{28661F45-A64F-43FA-8BE9-CA354AC02FC3}" name="Notes" dataDxf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EE0D88-11F2-4006-9A09-4BD08750E154}" name="Table5" displayName="Table5" ref="B12:D16" totalsRowShown="0">
  <autoFilter ref="B12:D16" xr:uid="{ACF8AB7C-E2F9-4B90-851B-2676FBAADB7F}"/>
  <tableColumns count="3">
    <tableColumn id="1" xr3:uid="{88E64989-6769-4F8C-932D-21D65A030EBD}" name="Metric" dataDxfId="5"/>
    <tableColumn id="2" xr3:uid="{E97E5B8B-4214-423F-A809-A21B216A8FE6}" name="Value" dataDxfId="4"/>
    <tableColumn id="3" xr3:uid="{CF4AD42E-AEF7-4C41-82EF-B18C41F949F5}" name="Unit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EE36F0-34C8-453D-BE24-F551E34E8DBA}" name="Table3" displayName="Table3" ref="B4:E27" totalsRowShown="0" headerRowDxfId="2">
  <autoFilter ref="B4:E27" xr:uid="{A420914F-1163-4322-9F37-C0BCFDDCB6F7}"/>
  <tableColumns count="4">
    <tableColumn id="1" xr3:uid="{57E6ADAB-9503-419C-B72F-73BB9A7FECFC}" name="Description"/>
    <tableColumn id="2" xr3:uid="{9A8540EB-413E-4414-9B33-F0D451306D3C}" name="Quantity"/>
    <tableColumn id="3" xr3:uid="{84708DDC-0A43-4C8D-B997-19FC8B3613B4}" name="Unit Price (INR)"/>
    <tableColumn id="4" xr3:uid="{9E48C260-D9DA-4AD0-A3E4-8730F9C33B41}" name="Total (INR)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6112C2-C6A6-4B6A-AF30-A2DDBA0C5357}" name="Table6" displayName="Table6" ref="G4:H8" totalsRowShown="0">
  <autoFilter ref="G4:H8" xr:uid="{C21673EF-8C54-4EBD-A624-0607A4192D7E}"/>
  <tableColumns count="2">
    <tableColumn id="1" xr3:uid="{C92B34DF-CBC6-461B-BA3D-A172DD2CD01C}" name="Description"/>
    <tableColumn id="3" xr3:uid="{FF1A14F2-4156-4A94-BB9A-A5A38E701842}" name="Annual Cost (INR)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F06358D-A249-4D74-843D-3B2E07706425}" name="Table7" displayName="Table7" ref="B3:P35" totalsRowCount="1">
  <autoFilter ref="B3:P34" xr:uid="{B5825F05-01B1-4FA7-A86C-ED54C972ECC5}"/>
  <tableColumns count="15">
    <tableColumn id="1" xr3:uid="{E0C46782-EDA6-4BAA-9588-229D83D037DE}" name="No">
      <calculatedColumnFormula>B3+1</calculatedColumnFormula>
    </tableColumn>
    <tableColumn id="2" xr3:uid="{3DF0230A-35A0-4B77-B5FB-A9ED435490EB}" name="Year">
      <calculatedColumnFormula>C3+1</calculatedColumnFormula>
    </tableColumn>
    <tableColumn id="3" xr3:uid="{FC998FAA-4F5A-4585-BAC2-13DB5FB88C16}" name="Solar Yield ( kwh) ">
      <calculatedColumnFormula>D3-D3*0.008</calculatedColumnFormula>
    </tableColumn>
    <tableColumn id="4" xr3:uid="{A4F0DBC5-8363-4E96-BD29-255FBE4D2B57}" name="Consumption (kWh)">
      <calculatedColumnFormula>E3+E3*0.02</calculatedColumnFormula>
    </tableColumn>
    <tableColumn id="5" xr3:uid="{60B82EE5-1A82-41E3-A262-16570C9FC7BF}" name="Net Grid Supply">
      <calculatedColumnFormula>D4-E4</calculatedColumnFormula>
    </tableColumn>
    <tableColumn id="6" xr3:uid="{68C525EE-4980-4A01-B758-B33EA7BFEA82}" name="Avg Monthly unit">
      <calculatedColumnFormula>E4/12</calculatedColumnFormula>
    </tableColumn>
    <tableColumn id="9" xr3:uid="{BC8AC8B3-832B-424C-8988-828701EBC83B}" name="Inflation Factor"/>
    <tableColumn id="7" xr3:uid="{DB7C34DB-BCB3-4859-87BC-C7F386E4061D}" name="Bill without Solar">
      <calculatedColumnFormula>(((IF(G4&lt;=$AA$4,G4*$AD$4*H4,IF(AND(G4&gt;$AA$4,G4&lt;=$AA$5),$AA$4*$AD$4*H4+(G4-$AA$4)*$AD$5*H4,$AA$4*$AD$4*H4+($AA$5-$AA$4)*$AD$5*H4+(G4-$AA$5)*$AD$6*H4)))-$AA$4*$AG$4)+((IF(G4&lt;=$AA$4,G4*$AD$4*H4,IF(AND(G4&gt;$AA$4,G4&lt;=$AA$5),$AA$4*$AD$4*H4+(G4-$AA$4)*$AD$5*H4,$AA$4*$AD$4*H4+($AA$5-$AA$4)*$AD$5*H4+(G4-$AA$5)*$AD$6*H4)))-$AA$4*$AG$4)*$AF$4*0.01+$AE$4*H4)*12</calculatedColumnFormula>
    </tableColumn>
    <tableColumn id="8" xr3:uid="{26C01735-7F7C-49D2-9837-74294304140D}" name="Bill After Solar">
      <calculatedColumnFormula>(IF(F4&gt;0,F4*3,(((IF(F4/12&lt;=$AA$4,F4/12*$AD$4*H4,IF(AND(F4/12&gt;$AA$4,F4/12&lt;=$AA$5),$AA$4*$AD$4*H4+(F4/12-$AA$4)*$AD$5*H4,$AA$4*$AD$4*H4+($AA$5-$AA$4)*$AD$5*H4+(F4/12-$AA$5)*$AD$6*H4)))-$AA$4*$AG$4)+((IF(F4/12&lt;=$AA$4,F4/12*$AD$4*H4,IF(AND(F4/12&gt;$AA$4,F4/12&lt;=$AA$5),$AA$4*$AD$4*H4+(F4/12-$AA$4)*$AD$5*H4,$AA$4*$AD$4*H4+($AA$5-$AA$4)*$AD$5*H4+(F4/12-$AA$5)*$AD$6*H4)))-$AA$4*$AG$4)*$AF$4*0.01+$AE$4*H4)*12))</calculatedColumnFormula>
    </tableColumn>
    <tableColumn id="12" xr3:uid="{D19ED9CB-A9E1-46D0-B8C3-2F4CA4C759C0}" name="Net saving in Bill">
      <calculatedColumnFormula>Table7[[#This Row],[Bill without Solar]]+Table7[[#This Row],[Bill After Solar]]</calculatedColumnFormula>
    </tableColumn>
    <tableColumn id="10" xr3:uid="{244BAA3F-DC71-42C2-A06C-655A0A6676C9}" name="Operational cost"/>
    <tableColumn id="13" xr3:uid="{38BAA8C9-E5F3-4ADA-8CA2-A11A5654149E}" name="Cost Each Year">
      <calculatedColumnFormula>'Capex-Opex'!$E$27+Table7[[#This Row],[Operational cost]]</calculatedColumnFormula>
    </tableColumn>
    <tableColumn id="11" xr3:uid="{500CC8EA-60F0-4AB7-866D-419963FF3A3B}" name="Net saving" totalsRowDxfId="1">
      <calculatedColumnFormula>Table7[[#This Row],[Net saving in Bill]]-Table7[[#This Row],[Cost Each Year]]</calculatedColumnFormula>
    </tableColumn>
    <tableColumn id="14" xr3:uid="{E527FAA0-F013-4C07-A9C9-C331D359895C}" name="Cumulative saving" totalsRowDxfId="0"/>
    <tableColumn id="15" xr3:uid="{79BBF7BA-CFEA-4DEB-9B4B-8B807033469E}" name="Cumulative PV saving">
      <calculatedColumnFormula>Table7[[#This Row],[Cumulative saving]]/(1+$AA$10)^Table7[[#This Row],[No]]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7D375-B7EA-4325-8294-6DB956CF2FA0}">
  <dimension ref="B2:H39"/>
  <sheetViews>
    <sheetView showGridLines="0" topLeftCell="A16" zoomScale="190" zoomScaleNormal="190" workbookViewId="0">
      <selection activeCell="F8" sqref="F8"/>
    </sheetView>
  </sheetViews>
  <sheetFormatPr defaultRowHeight="15" x14ac:dyDescent="0.25"/>
  <cols>
    <col min="1" max="1" width="17.28515625" bestFit="1" customWidth="1"/>
    <col min="2" max="2" width="20.7109375" bestFit="1" customWidth="1"/>
    <col min="3" max="3" width="20.140625" bestFit="1" customWidth="1"/>
    <col min="4" max="4" width="11.140625" bestFit="1" customWidth="1"/>
    <col min="5" max="5" width="18" bestFit="1" customWidth="1"/>
    <col min="6" max="6" width="21.42578125" customWidth="1"/>
    <col min="7" max="7" width="20" customWidth="1"/>
  </cols>
  <sheetData>
    <row r="2" spans="2:8" ht="15.75" customHeight="1" x14ac:dyDescent="0.25">
      <c r="B2" s="9" t="s">
        <v>47</v>
      </c>
      <c r="C2" s="9"/>
      <c r="D2" s="9"/>
      <c r="F2" s="9" t="s">
        <v>48</v>
      </c>
      <c r="G2" s="6"/>
      <c r="H2" s="6"/>
    </row>
    <row r="5" spans="2:8" x14ac:dyDescent="0.25">
      <c r="B5" s="1" t="s">
        <v>14</v>
      </c>
      <c r="C5" t="s">
        <v>22</v>
      </c>
      <c r="D5" t="s">
        <v>23</v>
      </c>
      <c r="F5" s="1" t="s">
        <v>15</v>
      </c>
      <c r="G5" t="s">
        <v>22</v>
      </c>
      <c r="H5" t="s">
        <v>23</v>
      </c>
    </row>
    <row r="6" spans="2:8" ht="45" x14ac:dyDescent="0.25">
      <c r="B6" s="4" t="s">
        <v>0</v>
      </c>
      <c r="C6" s="5" t="s">
        <v>17</v>
      </c>
      <c r="D6" s="5" t="s">
        <v>18</v>
      </c>
      <c r="F6" s="5" t="s">
        <v>16</v>
      </c>
      <c r="G6" s="5" t="s">
        <v>17</v>
      </c>
      <c r="H6" s="5" t="s">
        <v>18</v>
      </c>
    </row>
    <row r="7" spans="2:8" x14ac:dyDescent="0.25">
      <c r="B7" t="s">
        <v>1</v>
      </c>
      <c r="C7">
        <v>207.45</v>
      </c>
      <c r="D7">
        <v>1399.56</v>
      </c>
      <c r="F7" s="2">
        <v>45797</v>
      </c>
      <c r="G7" s="3">
        <v>3.09</v>
      </c>
      <c r="H7" s="3">
        <v>16.47</v>
      </c>
    </row>
    <row r="8" spans="2:8" x14ac:dyDescent="0.25">
      <c r="B8" t="s">
        <v>2</v>
      </c>
      <c r="C8">
        <v>185.69</v>
      </c>
      <c r="D8">
        <v>1235.93</v>
      </c>
      <c r="F8" s="2">
        <v>45798</v>
      </c>
      <c r="G8" s="3">
        <v>3.72</v>
      </c>
      <c r="H8" s="3">
        <v>19.34</v>
      </c>
    </row>
    <row r="9" spans="2:8" x14ac:dyDescent="0.25">
      <c r="B9" t="s">
        <v>3</v>
      </c>
      <c r="C9">
        <v>190.51</v>
      </c>
      <c r="D9">
        <v>1278.9000000000001</v>
      </c>
      <c r="F9" s="2">
        <v>45799</v>
      </c>
      <c r="G9" s="3">
        <v>4.54</v>
      </c>
      <c r="H9" s="3">
        <v>23.06</v>
      </c>
    </row>
    <row r="10" spans="2:8" x14ac:dyDescent="0.25">
      <c r="B10" t="s">
        <v>4</v>
      </c>
      <c r="C10">
        <v>131.69</v>
      </c>
      <c r="D10">
        <v>822.02</v>
      </c>
      <c r="F10" s="2">
        <v>45800</v>
      </c>
      <c r="G10" s="3">
        <v>6.13</v>
      </c>
      <c r="H10" s="3">
        <v>30.3</v>
      </c>
    </row>
    <row r="11" spans="2:8" x14ac:dyDescent="0.25">
      <c r="B11" t="s">
        <v>5</v>
      </c>
      <c r="C11">
        <v>92.53</v>
      </c>
      <c r="D11">
        <v>585.97</v>
      </c>
      <c r="F11" s="2">
        <v>45801</v>
      </c>
      <c r="G11" s="3">
        <v>8.3699999999999992</v>
      </c>
      <c r="H11" s="3">
        <v>40.99</v>
      </c>
    </row>
    <row r="12" spans="2:8" x14ac:dyDescent="0.25">
      <c r="B12" t="s">
        <v>6</v>
      </c>
      <c r="C12">
        <v>80.13</v>
      </c>
      <c r="D12">
        <v>519.54999999999995</v>
      </c>
      <c r="F12" s="2">
        <v>45802</v>
      </c>
      <c r="G12" s="3">
        <v>8.9700000000000006</v>
      </c>
      <c r="H12" s="3">
        <v>43.22</v>
      </c>
    </row>
    <row r="13" spans="2:8" x14ac:dyDescent="0.25">
      <c r="B13" t="s">
        <v>7</v>
      </c>
      <c r="C13">
        <v>96.11</v>
      </c>
      <c r="D13">
        <v>608.27</v>
      </c>
      <c r="F13" s="2">
        <v>45803</v>
      </c>
      <c r="G13" s="3">
        <v>7.56</v>
      </c>
      <c r="H13" s="3">
        <v>51.09</v>
      </c>
    </row>
    <row r="14" spans="2:8" x14ac:dyDescent="0.25">
      <c r="B14" t="s">
        <v>8</v>
      </c>
      <c r="C14">
        <v>80.510000000000005</v>
      </c>
      <c r="D14">
        <v>514.41999999999996</v>
      </c>
      <c r="F14" s="2">
        <v>45804</v>
      </c>
      <c r="G14" s="3">
        <v>9.27</v>
      </c>
      <c r="H14" s="3">
        <v>64.19</v>
      </c>
    </row>
    <row r="15" spans="2:8" x14ac:dyDescent="0.25">
      <c r="B15" t="s">
        <v>9</v>
      </c>
      <c r="C15">
        <v>108.45</v>
      </c>
      <c r="D15">
        <v>676.8</v>
      </c>
      <c r="F15" s="2">
        <v>45805</v>
      </c>
      <c r="G15" s="3">
        <v>9.0399999999999991</v>
      </c>
      <c r="H15" s="3">
        <v>62.66</v>
      </c>
    </row>
    <row r="16" spans="2:8" x14ac:dyDescent="0.25">
      <c r="B16" t="s">
        <v>10</v>
      </c>
      <c r="C16">
        <v>112.77</v>
      </c>
      <c r="D16">
        <v>579.91</v>
      </c>
      <c r="F16" s="2">
        <v>45807</v>
      </c>
      <c r="G16" s="3">
        <v>10.35</v>
      </c>
      <c r="H16" s="3">
        <v>73.8</v>
      </c>
    </row>
    <row r="17" spans="2:8" x14ac:dyDescent="0.25">
      <c r="B17" t="s">
        <v>11</v>
      </c>
      <c r="C17">
        <v>159.41</v>
      </c>
      <c r="D17">
        <v>874.97</v>
      </c>
      <c r="F17" s="2">
        <v>45808</v>
      </c>
      <c r="G17" s="3">
        <v>5.0199999999999996</v>
      </c>
      <c r="H17" s="3">
        <v>25.26</v>
      </c>
    </row>
    <row r="18" spans="2:8" x14ac:dyDescent="0.25">
      <c r="B18" t="s">
        <v>12</v>
      </c>
      <c r="C18">
        <v>152.75</v>
      </c>
      <c r="D18">
        <v>812.52</v>
      </c>
      <c r="F18" s="2">
        <v>45809</v>
      </c>
      <c r="G18" s="3">
        <v>4.9800000000000004</v>
      </c>
      <c r="H18" s="3">
        <v>25.07</v>
      </c>
    </row>
    <row r="19" spans="2:8" x14ac:dyDescent="0.25">
      <c r="F19" s="2">
        <v>45810</v>
      </c>
      <c r="G19" s="3">
        <v>4.95</v>
      </c>
      <c r="H19" s="3">
        <v>24.94</v>
      </c>
    </row>
    <row r="20" spans="2:8" x14ac:dyDescent="0.25">
      <c r="B20" s="6" t="s">
        <v>13</v>
      </c>
      <c r="C20" s="6">
        <f>AVERAGE(C7:C18)</f>
        <v>133.16666666666666</v>
      </c>
      <c r="D20" s="6">
        <f>AVERAGE(D7:D18)</f>
        <v>825.73500000000013</v>
      </c>
      <c r="F20" s="2">
        <v>45811</v>
      </c>
      <c r="G20" s="3">
        <v>8.23</v>
      </c>
      <c r="H20" s="3">
        <v>39.86</v>
      </c>
    </row>
    <row r="21" spans="2:8" x14ac:dyDescent="0.25">
      <c r="B21" s="6" t="s">
        <v>21</v>
      </c>
      <c r="C21" s="6">
        <f>SUM(C7:C18)</f>
        <v>1598</v>
      </c>
      <c r="D21" s="6">
        <f>SUM(D7:D18)</f>
        <v>9908.8200000000015</v>
      </c>
      <c r="F21" s="2">
        <v>45812</v>
      </c>
      <c r="G21" s="3">
        <v>5.81</v>
      </c>
      <c r="H21" s="3">
        <v>28.84</v>
      </c>
    </row>
    <row r="22" spans="2:8" x14ac:dyDescent="0.25">
      <c r="F22" s="2">
        <v>45813</v>
      </c>
      <c r="G22" s="3">
        <v>6.46</v>
      </c>
      <c r="H22" s="3">
        <v>31.81</v>
      </c>
    </row>
    <row r="23" spans="2:8" x14ac:dyDescent="0.25">
      <c r="F23" s="2">
        <v>45814</v>
      </c>
      <c r="G23" s="3">
        <v>7.29</v>
      </c>
      <c r="H23" s="3">
        <v>35.58</v>
      </c>
    </row>
    <row r="24" spans="2:8" x14ac:dyDescent="0.25">
      <c r="F24" s="2">
        <v>45815</v>
      </c>
      <c r="G24" s="3">
        <v>8.1999999999999993</v>
      </c>
      <c r="H24" s="3">
        <v>39.72</v>
      </c>
    </row>
    <row r="25" spans="2:8" x14ac:dyDescent="0.25">
      <c r="F25" s="2">
        <v>45816</v>
      </c>
      <c r="G25" s="3">
        <v>6.7</v>
      </c>
      <c r="H25" s="3">
        <v>32.89</v>
      </c>
    </row>
    <row r="26" spans="2:8" x14ac:dyDescent="0.25">
      <c r="F26" s="2">
        <v>45817</v>
      </c>
      <c r="G26" s="3">
        <v>6.67</v>
      </c>
      <c r="H26" s="3">
        <v>32.76</v>
      </c>
    </row>
    <row r="27" spans="2:8" x14ac:dyDescent="0.25">
      <c r="F27" s="2">
        <v>45818</v>
      </c>
      <c r="G27" s="3">
        <v>8.83</v>
      </c>
      <c r="H27" s="3">
        <v>42.59</v>
      </c>
    </row>
    <row r="28" spans="2:8" x14ac:dyDescent="0.25">
      <c r="F28" s="2">
        <v>45819</v>
      </c>
      <c r="G28" s="3">
        <v>9.58</v>
      </c>
      <c r="H28" s="3">
        <v>45.99</v>
      </c>
    </row>
    <row r="29" spans="2:8" x14ac:dyDescent="0.25">
      <c r="F29" s="2">
        <v>45820</v>
      </c>
      <c r="G29" s="3">
        <v>8.59</v>
      </c>
      <c r="H29" s="3">
        <v>41.5</v>
      </c>
    </row>
    <row r="30" spans="2:8" x14ac:dyDescent="0.25">
      <c r="F30" s="2">
        <v>45821</v>
      </c>
      <c r="G30" s="3">
        <v>9.42</v>
      </c>
      <c r="H30" s="3">
        <v>45.28</v>
      </c>
    </row>
    <row r="31" spans="2:8" x14ac:dyDescent="0.25">
      <c r="F31" s="2">
        <v>45822</v>
      </c>
      <c r="G31" s="3">
        <v>9.4499999999999993</v>
      </c>
      <c r="H31" s="3">
        <v>45.41</v>
      </c>
    </row>
    <row r="32" spans="2:8" x14ac:dyDescent="0.25">
      <c r="F32" s="2">
        <v>45823</v>
      </c>
      <c r="G32" s="3">
        <v>9.24</v>
      </c>
      <c r="H32" s="3">
        <v>44.45</v>
      </c>
    </row>
    <row r="33" spans="6:8" x14ac:dyDescent="0.25">
      <c r="F33" s="2">
        <v>45824</v>
      </c>
      <c r="G33" s="3">
        <v>9.4</v>
      </c>
      <c r="H33" s="3">
        <v>63.84</v>
      </c>
    </row>
    <row r="34" spans="6:8" x14ac:dyDescent="0.25">
      <c r="F34" s="2">
        <v>45825</v>
      </c>
      <c r="G34" s="3">
        <v>6.72</v>
      </c>
      <c r="H34" s="3">
        <v>47.2</v>
      </c>
    </row>
    <row r="35" spans="6:8" x14ac:dyDescent="0.25">
      <c r="F35" s="2">
        <v>45826</v>
      </c>
      <c r="G35" s="3">
        <v>8.0399999999999991</v>
      </c>
      <c r="H35" s="3">
        <v>56</v>
      </c>
    </row>
    <row r="36" spans="6:8" x14ac:dyDescent="0.25">
      <c r="F36" s="2">
        <v>45827</v>
      </c>
      <c r="G36" s="3">
        <v>9.17</v>
      </c>
      <c r="H36" s="3">
        <v>63.53</v>
      </c>
    </row>
    <row r="38" spans="6:8" x14ac:dyDescent="0.25">
      <c r="F38" s="6" t="s">
        <v>13</v>
      </c>
      <c r="G38" s="6">
        <f>AVERAGE(G7:G36)</f>
        <v>7.4596666666666662</v>
      </c>
      <c r="H38" s="6">
        <f>AVERAGE(H7:H36)</f>
        <v>41.254666666666665</v>
      </c>
    </row>
    <row r="39" spans="6:8" x14ac:dyDescent="0.25">
      <c r="F39" s="6" t="s">
        <v>21</v>
      </c>
      <c r="G39" s="6">
        <f>SUM(G7:G36)</f>
        <v>223.79</v>
      </c>
      <c r="H39" s="6">
        <f>SUM(H7:H36)</f>
        <v>1237.6399999999999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6C7C3-F8EF-4942-8B9F-3E3AADF0328C}">
  <dimension ref="A1"/>
  <sheetViews>
    <sheetView showGridLines="0" topLeftCell="A17" zoomScale="160" zoomScaleNormal="160"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017A0-EC8A-4194-92AA-E81091AF5379}">
  <dimension ref="B2:G16"/>
  <sheetViews>
    <sheetView showGridLines="0" topLeftCell="B2" zoomScale="175" zoomScaleNormal="175" workbookViewId="0">
      <selection activeCell="C14" sqref="C14"/>
    </sheetView>
  </sheetViews>
  <sheetFormatPr defaultRowHeight="15" x14ac:dyDescent="0.25"/>
  <cols>
    <col min="1" max="1" width="15.140625" customWidth="1"/>
    <col min="2" max="2" width="16" bestFit="1" customWidth="1"/>
    <col min="3" max="3" width="17.85546875" bestFit="1" customWidth="1"/>
    <col min="4" max="4" width="12" bestFit="1" customWidth="1"/>
    <col min="5" max="5" width="8.7109375" bestFit="1" customWidth="1"/>
    <col min="6" max="7" width="38.5703125" bestFit="1" customWidth="1"/>
  </cols>
  <sheetData>
    <row r="2" spans="2:7" ht="18.75" customHeight="1" x14ac:dyDescent="0.25">
      <c r="B2" s="9" t="s">
        <v>82</v>
      </c>
      <c r="C2" s="9"/>
      <c r="D2" s="9"/>
    </row>
    <row r="4" spans="2:7" x14ac:dyDescent="0.25">
      <c r="B4" s="8" t="s">
        <v>49</v>
      </c>
      <c r="C4" s="8" t="s">
        <v>50</v>
      </c>
      <c r="D4" s="8" t="s">
        <v>51</v>
      </c>
      <c r="E4" s="8" t="s">
        <v>52</v>
      </c>
      <c r="F4" s="8" t="s">
        <v>53</v>
      </c>
      <c r="G4" s="8" t="s">
        <v>54</v>
      </c>
    </row>
    <row r="5" spans="2:7" x14ac:dyDescent="0.25">
      <c r="B5" s="3" t="s">
        <v>55</v>
      </c>
      <c r="C5" s="3" t="s">
        <v>56</v>
      </c>
      <c r="D5" s="3" t="s">
        <v>57</v>
      </c>
      <c r="E5" s="3">
        <v>6</v>
      </c>
      <c r="F5" s="3" t="s">
        <v>58</v>
      </c>
      <c r="G5" s="3" t="s">
        <v>59</v>
      </c>
    </row>
    <row r="6" spans="2:7" ht="19.5" customHeight="1" x14ac:dyDescent="0.25">
      <c r="B6" s="3" t="s">
        <v>60</v>
      </c>
      <c r="C6" s="3" t="s">
        <v>71</v>
      </c>
      <c r="D6" s="3" t="s">
        <v>61</v>
      </c>
      <c r="E6" s="3">
        <v>1</v>
      </c>
      <c r="F6" s="3" t="s">
        <v>62</v>
      </c>
      <c r="G6" s="3" t="s">
        <v>63</v>
      </c>
    </row>
    <row r="7" spans="2:7" x14ac:dyDescent="0.25">
      <c r="B7" s="3" t="s">
        <v>64</v>
      </c>
      <c r="C7" s="3" t="s">
        <v>65</v>
      </c>
      <c r="D7" s="3" t="s">
        <v>66</v>
      </c>
      <c r="E7" s="3" t="s">
        <v>65</v>
      </c>
      <c r="F7" s="3" t="s">
        <v>67</v>
      </c>
      <c r="G7" s="3" t="s">
        <v>65</v>
      </c>
    </row>
    <row r="8" spans="2:7" x14ac:dyDescent="0.25">
      <c r="B8" s="3" t="s">
        <v>68</v>
      </c>
      <c r="C8" s="3" t="s">
        <v>65</v>
      </c>
      <c r="D8" s="3" t="s">
        <v>65</v>
      </c>
      <c r="E8" s="3" t="s">
        <v>65</v>
      </c>
      <c r="F8" s="3" t="s">
        <v>69</v>
      </c>
      <c r="G8" s="3" t="s">
        <v>70</v>
      </c>
    </row>
    <row r="10" spans="2:7" x14ac:dyDescent="0.25">
      <c r="B10" s="9" t="s">
        <v>81</v>
      </c>
      <c r="C10" s="9"/>
    </row>
    <row r="12" spans="2:7" x14ac:dyDescent="0.25">
      <c r="B12" s="8" t="s">
        <v>72</v>
      </c>
      <c r="C12" s="12" t="s">
        <v>73</v>
      </c>
      <c r="D12" s="8" t="s">
        <v>74</v>
      </c>
    </row>
    <row r="13" spans="2:7" x14ac:dyDescent="0.25">
      <c r="B13" s="3" t="s">
        <v>75</v>
      </c>
      <c r="C13" s="11">
        <v>3992</v>
      </c>
      <c r="D13" s="3" t="s">
        <v>76</v>
      </c>
    </row>
    <row r="14" spans="2:7" ht="30" x14ac:dyDescent="0.25">
      <c r="B14" s="3" t="s">
        <v>77</v>
      </c>
      <c r="C14" s="11">
        <v>1232</v>
      </c>
      <c r="D14" s="3" t="s">
        <v>78</v>
      </c>
    </row>
    <row r="15" spans="2:7" ht="30" x14ac:dyDescent="0.25">
      <c r="B15" s="3" t="s">
        <v>79</v>
      </c>
      <c r="C15" s="11">
        <v>79.069999999999993</v>
      </c>
      <c r="D15" s="3" t="s">
        <v>19</v>
      </c>
    </row>
    <row r="16" spans="2:7" ht="30" x14ac:dyDescent="0.25">
      <c r="B16" s="3" t="s">
        <v>80</v>
      </c>
      <c r="C16" s="11">
        <v>53.43</v>
      </c>
      <c r="D16" s="3" t="s">
        <v>19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B7C1-F464-4930-B829-AE02B3E83CB7}">
  <dimension ref="B2:H27"/>
  <sheetViews>
    <sheetView showGridLines="0" topLeftCell="E2" zoomScale="175" zoomScaleNormal="175" workbookViewId="0">
      <selection activeCell="G27" sqref="G27"/>
    </sheetView>
  </sheetViews>
  <sheetFormatPr defaultRowHeight="15" x14ac:dyDescent="0.25"/>
  <cols>
    <col min="1" max="1" width="14.140625" customWidth="1"/>
    <col min="2" max="2" width="44" bestFit="1" customWidth="1"/>
    <col min="3" max="3" width="15.140625" style="7" customWidth="1"/>
    <col min="4" max="4" width="17.140625" style="7" bestFit="1" customWidth="1"/>
    <col min="5" max="5" width="12.7109375" bestFit="1" customWidth="1"/>
    <col min="7" max="7" width="38.85546875" bestFit="1" customWidth="1"/>
    <col min="8" max="8" width="17.42578125" customWidth="1"/>
  </cols>
  <sheetData>
    <row r="2" spans="2:8" x14ac:dyDescent="0.25">
      <c r="C2" s="13"/>
    </row>
    <row r="3" spans="2:8" x14ac:dyDescent="0.25">
      <c r="B3" s="14" t="s">
        <v>83</v>
      </c>
      <c r="G3" s="14" t="s">
        <v>88</v>
      </c>
    </row>
    <row r="4" spans="2:8" x14ac:dyDescent="0.25">
      <c r="B4" s="6" t="s">
        <v>24</v>
      </c>
      <c r="C4" s="6" t="s">
        <v>25</v>
      </c>
      <c r="D4" s="6" t="s">
        <v>26</v>
      </c>
      <c r="E4" s="6" t="s">
        <v>27</v>
      </c>
      <c r="G4" s="17" t="s">
        <v>24</v>
      </c>
      <c r="H4" s="17" t="s">
        <v>84</v>
      </c>
    </row>
    <row r="5" spans="2:8" x14ac:dyDescent="0.25">
      <c r="B5" s="10" t="s">
        <v>34</v>
      </c>
      <c r="C5" s="10">
        <v>6</v>
      </c>
      <c r="D5" s="10">
        <v>13000</v>
      </c>
      <c r="E5" s="10">
        <v>78000</v>
      </c>
      <c r="G5" s="17" t="s">
        <v>85</v>
      </c>
      <c r="H5" s="17">
        <v>1000</v>
      </c>
    </row>
    <row r="6" spans="2:8" x14ac:dyDescent="0.25">
      <c r="B6" s="10" t="s">
        <v>35</v>
      </c>
      <c r="C6" s="10">
        <v>6</v>
      </c>
      <c r="D6" s="10">
        <v>5000</v>
      </c>
      <c r="E6" s="10">
        <v>30000</v>
      </c>
      <c r="G6" s="17" t="s">
        <v>86</v>
      </c>
      <c r="H6" s="17">
        <v>1000</v>
      </c>
    </row>
    <row r="7" spans="2:8" x14ac:dyDescent="0.25">
      <c r="B7" s="10" t="s">
        <v>36</v>
      </c>
      <c r="C7" s="10">
        <v>1</v>
      </c>
      <c r="D7" s="10">
        <v>23000</v>
      </c>
      <c r="E7" s="10">
        <v>23000</v>
      </c>
      <c r="G7" s="17" t="s">
        <v>87</v>
      </c>
      <c r="H7" s="17">
        <v>1000</v>
      </c>
    </row>
    <row r="8" spans="2:8" x14ac:dyDescent="0.25">
      <c r="B8" s="10" t="s">
        <v>44</v>
      </c>
      <c r="C8" s="10">
        <v>6</v>
      </c>
      <c r="D8" s="10">
        <v>524</v>
      </c>
      <c r="E8" s="10">
        <v>3144</v>
      </c>
      <c r="G8" s="17" t="s">
        <v>127</v>
      </c>
      <c r="H8" s="17">
        <f>SUM(H5:H7)</f>
        <v>3000</v>
      </c>
    </row>
    <row r="9" spans="2:8" x14ac:dyDescent="0.25">
      <c r="B9" s="10" t="s">
        <v>45</v>
      </c>
      <c r="C9" s="10" t="s">
        <v>37</v>
      </c>
      <c r="D9" s="10">
        <v>100</v>
      </c>
      <c r="E9" s="10">
        <v>10000</v>
      </c>
      <c r="G9" s="17"/>
      <c r="H9" s="17"/>
    </row>
    <row r="10" spans="2:8" x14ac:dyDescent="0.25">
      <c r="B10" s="10" t="s">
        <v>38</v>
      </c>
      <c r="C10" s="10">
        <v>1</v>
      </c>
      <c r="D10" s="10">
        <v>32741</v>
      </c>
      <c r="E10" s="10">
        <v>32741</v>
      </c>
    </row>
    <row r="11" spans="2:8" x14ac:dyDescent="0.25">
      <c r="B11" s="10" t="s">
        <v>39</v>
      </c>
      <c r="C11" s="10">
        <v>1</v>
      </c>
      <c r="D11" s="10">
        <v>15000</v>
      </c>
      <c r="E11" s="10">
        <v>15000</v>
      </c>
    </row>
    <row r="12" spans="2:8" x14ac:dyDescent="0.25">
      <c r="B12" s="10" t="s">
        <v>40</v>
      </c>
      <c r="C12" s="10">
        <v>1</v>
      </c>
      <c r="D12" s="10">
        <v>8800</v>
      </c>
      <c r="E12" s="10">
        <v>8800</v>
      </c>
    </row>
    <row r="13" spans="2:8" x14ac:dyDescent="0.25">
      <c r="B13" s="10" t="s">
        <v>41</v>
      </c>
      <c r="C13" s="10">
        <v>1</v>
      </c>
      <c r="D13" s="10">
        <v>700</v>
      </c>
      <c r="E13" s="10">
        <v>700</v>
      </c>
    </row>
    <row r="14" spans="2:8" x14ac:dyDescent="0.25">
      <c r="B14" s="10" t="s">
        <v>28</v>
      </c>
      <c r="C14" s="10">
        <v>1</v>
      </c>
      <c r="D14" s="10">
        <v>15000</v>
      </c>
      <c r="E14" s="10">
        <v>15000</v>
      </c>
    </row>
    <row r="15" spans="2:8" x14ac:dyDescent="0.25">
      <c r="B15" s="10" t="s">
        <v>42</v>
      </c>
      <c r="C15" s="10">
        <v>1</v>
      </c>
      <c r="D15" s="10">
        <v>2500</v>
      </c>
      <c r="E15" s="10">
        <v>2500</v>
      </c>
    </row>
    <row r="16" spans="2:8" x14ac:dyDescent="0.25">
      <c r="B16" s="10" t="s">
        <v>29</v>
      </c>
      <c r="C16" s="10">
        <v>1</v>
      </c>
      <c r="D16" s="10">
        <v>0</v>
      </c>
      <c r="E16" s="10">
        <v>0</v>
      </c>
    </row>
    <row r="17" spans="2:5" x14ac:dyDescent="0.25">
      <c r="B17" s="10" t="s">
        <v>30</v>
      </c>
      <c r="C17" s="10">
        <v>1</v>
      </c>
      <c r="D17" s="10">
        <v>0</v>
      </c>
      <c r="E17" s="10">
        <v>0</v>
      </c>
    </row>
    <row r="18" spans="2:5" x14ac:dyDescent="0.25">
      <c r="B18" s="10" t="s">
        <v>31</v>
      </c>
      <c r="C18" s="10">
        <v>6</v>
      </c>
      <c r="D18" s="10">
        <v>5000</v>
      </c>
      <c r="E18" s="10">
        <v>30000</v>
      </c>
    </row>
    <row r="19" spans="2:5" x14ac:dyDescent="0.25">
      <c r="B19" s="10" t="s">
        <v>32</v>
      </c>
      <c r="C19" s="10">
        <v>1</v>
      </c>
      <c r="D19" s="10">
        <v>10000</v>
      </c>
      <c r="E19" s="10">
        <v>10000</v>
      </c>
    </row>
    <row r="20" spans="2:5" x14ac:dyDescent="0.25">
      <c r="B20" s="10" t="s">
        <v>33</v>
      </c>
      <c r="C20" s="10">
        <v>1</v>
      </c>
      <c r="D20" s="10">
        <v>4200</v>
      </c>
      <c r="E20" s="10">
        <v>4200</v>
      </c>
    </row>
    <row r="21" spans="2:5" x14ac:dyDescent="0.25">
      <c r="B21" s="10" t="s">
        <v>46</v>
      </c>
      <c r="C21" s="10">
        <v>1</v>
      </c>
      <c r="D21" s="10">
        <v>12500</v>
      </c>
      <c r="E21" s="10">
        <v>12500</v>
      </c>
    </row>
    <row r="22" spans="2:5" x14ac:dyDescent="0.25">
      <c r="B22" s="10" t="s">
        <v>43</v>
      </c>
      <c r="C22" s="10">
        <v>1</v>
      </c>
      <c r="D22" s="10">
        <v>1500</v>
      </c>
      <c r="E22" s="10">
        <v>1500</v>
      </c>
    </row>
    <row r="23" spans="2:5" x14ac:dyDescent="0.25">
      <c r="C23"/>
      <c r="E23" s="7"/>
    </row>
    <row r="24" spans="2:5" x14ac:dyDescent="0.25">
      <c r="B24" t="s">
        <v>92</v>
      </c>
      <c r="C24"/>
      <c r="E24" s="16">
        <f>SUM(E5:E22)</f>
        <v>277085</v>
      </c>
    </row>
    <row r="25" spans="2:5" x14ac:dyDescent="0.25">
      <c r="B25" s="6" t="s">
        <v>89</v>
      </c>
      <c r="C25" s="15"/>
      <c r="D25" s="15"/>
      <c r="E25" s="6">
        <v>-78000</v>
      </c>
    </row>
    <row r="26" spans="2:5" x14ac:dyDescent="0.25">
      <c r="B26" s="6" t="s">
        <v>90</v>
      </c>
      <c r="C26" s="15"/>
      <c r="D26" s="15"/>
      <c r="E26" s="6">
        <v>-45000</v>
      </c>
    </row>
    <row r="27" spans="2:5" x14ac:dyDescent="0.25">
      <c r="B27" t="s">
        <v>91</v>
      </c>
      <c r="E27" s="16">
        <f>SUM(E24:E26)</f>
        <v>154085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E61D-A74E-40FA-964A-712C153C2498}">
  <dimension ref="B3:AH35"/>
  <sheetViews>
    <sheetView showGridLines="0" zoomScale="130" zoomScaleNormal="130" workbookViewId="0">
      <selection activeCell="D6" sqref="D6"/>
    </sheetView>
  </sheetViews>
  <sheetFormatPr defaultRowHeight="15" x14ac:dyDescent="0.25"/>
  <cols>
    <col min="4" max="4" width="17.140625" customWidth="1"/>
    <col min="5" max="5" width="19" customWidth="1"/>
    <col min="6" max="6" width="15.42578125" customWidth="1"/>
    <col min="7" max="8" width="16.7109375" style="17" customWidth="1"/>
    <col min="9" max="9" width="18.5703125" customWidth="1"/>
    <col min="10" max="10" width="17.5703125" customWidth="1"/>
    <col min="11" max="11" width="17.5703125" style="17" customWidth="1"/>
    <col min="12" max="12" width="18" customWidth="1"/>
    <col min="13" max="13" width="14.85546875" style="17" customWidth="1"/>
    <col min="14" max="14" width="12.5703125" customWidth="1"/>
    <col min="15" max="15" width="19.7109375" bestFit="1" customWidth="1"/>
    <col min="16" max="16" width="22.5703125" style="17" bestFit="1" customWidth="1"/>
    <col min="17" max="17" width="19.28515625" customWidth="1"/>
    <col min="18" max="18" width="16.42578125" style="17" customWidth="1"/>
    <col min="19" max="20" width="21.140625" style="17" customWidth="1"/>
    <col min="21" max="21" width="52.42578125" bestFit="1" customWidth="1"/>
    <col min="22" max="23" width="68" bestFit="1" customWidth="1"/>
    <col min="24" max="24" width="9.140625" customWidth="1"/>
    <col min="30" max="30" width="28.140625" bestFit="1" customWidth="1"/>
    <col min="31" max="31" width="24" customWidth="1"/>
    <col min="32" max="32" width="18" bestFit="1" customWidth="1"/>
    <col min="33" max="33" width="21.140625" bestFit="1" customWidth="1"/>
  </cols>
  <sheetData>
    <row r="3" spans="2:34" x14ac:dyDescent="0.25">
      <c r="B3" t="s">
        <v>93</v>
      </c>
      <c r="C3" t="s">
        <v>20</v>
      </c>
      <c r="D3" t="s">
        <v>95</v>
      </c>
      <c r="E3" t="s">
        <v>17</v>
      </c>
      <c r="F3" t="s">
        <v>94</v>
      </c>
      <c r="G3" s="17" t="s">
        <v>104</v>
      </c>
      <c r="H3" s="17" t="s">
        <v>121</v>
      </c>
      <c r="I3" t="s">
        <v>105</v>
      </c>
      <c r="J3" t="s">
        <v>106</v>
      </c>
      <c r="K3" s="17" t="s">
        <v>128</v>
      </c>
      <c r="L3" t="s">
        <v>126</v>
      </c>
      <c r="M3" s="17" t="s">
        <v>133</v>
      </c>
      <c r="N3" t="s">
        <v>132</v>
      </c>
      <c r="O3" t="s">
        <v>131</v>
      </c>
      <c r="P3" s="17" t="s">
        <v>137</v>
      </c>
      <c r="R3" s="17" t="s">
        <v>159</v>
      </c>
      <c r="S3" s="17">
        <f>'Calculation Dashboard'!C8-'Calculation Dashboard'!C9-'Calculation Dashboard'!C10</f>
        <v>154085</v>
      </c>
      <c r="U3" s="6" t="s">
        <v>109</v>
      </c>
      <c r="V3" s="6" t="s">
        <v>112</v>
      </c>
      <c r="W3" s="6" t="s">
        <v>113</v>
      </c>
      <c r="Z3" s="18" t="s">
        <v>96</v>
      </c>
      <c r="AA3" s="18" t="s">
        <v>97</v>
      </c>
      <c r="AB3" s="18" t="s">
        <v>98</v>
      </c>
      <c r="AC3" s="18" t="s">
        <v>99</v>
      </c>
      <c r="AD3" s="18" t="s">
        <v>100</v>
      </c>
      <c r="AE3" s="18" t="s">
        <v>101</v>
      </c>
      <c r="AF3" s="18" t="s">
        <v>102</v>
      </c>
      <c r="AG3" s="18" t="s">
        <v>103</v>
      </c>
      <c r="AH3" s="18"/>
    </row>
    <row r="4" spans="2:34" x14ac:dyDescent="0.25">
      <c r="B4">
        <v>0</v>
      </c>
      <c r="C4">
        <v>2025</v>
      </c>
      <c r="D4" s="7">
        <f>'Calculation Dashboard'!C21*'Calculation Dashboard'!C22</f>
        <v>3990</v>
      </c>
      <c r="E4">
        <f>'Calculation Dashboard'!C18</f>
        <v>1598</v>
      </c>
      <c r="F4">
        <f>D4-E4</f>
        <v>2392</v>
      </c>
      <c r="G4" s="17">
        <f t="shared" ref="G4:G34" si="0">E4/12</f>
        <v>133.16666666666666</v>
      </c>
      <c r="H4" s="17">
        <v>1</v>
      </c>
      <c r="I4">
        <f>(((IF(G4&lt;=$AA$4,G4*$AD$4*H4,IF(AND(G4&gt;$AA$4,G4&lt;=$AA$5),$AA$4*$AD$4*H4+(G4-$AA$4)*$AD$5*H4,$AA$4*$AD$4*H4+($AA$5-$AA$4)*$AD$5*H4+(G4-$AA$5)*$AD$6*H4)))-$AA$4*$AG$4)+((IF(G4&lt;=$AA$4,G4*$AD$4*H4,IF(AND(G4&gt;$AA$4,G4&lt;=$AA$5),$AA$4*$AD$4*H4+(G4-$AA$4)*$AD$5*H4,$AA$4*$AD$4*H4+($AA$5-$AA$4)*$AD$5*H4+(G4-$AA$5)*$AD$6*H4)))-$AA$4*$AG$4)*$AF$4*0.01+$AE$4*H4)*12</f>
        <v>9972.2909999999993</v>
      </c>
      <c r="J4">
        <f>(IF(F4&gt;0,F4*3,(((IF(F4/12&lt;=$AA$4,F4/12*$AD$4*H4,IF(AND(F4/12&gt;$AA$4,F4/12&lt;=$AA$5),$AA$4*$AD$4*H4+(F4/12-$AA$4)*$AD$5*H4,$AA$4*$AD$4*H4+($AA$5-$AA$4)*$AD$5*H4+(F4/12-$AA$5)*$AD$6*H4)))-$AA$4*$AG$4)+((IF(F4/12&lt;=$AA$4,F4/12*$AD$4*H4,IF(AND(F4/12&gt;$AA$4,F4/12&lt;=$AA$5),$AA$4*$AD$4*H4+(F4/12-$AA$4)*$AD$5*H4,$AA$4*$AD$4*H4+($AA$5-$AA$4)*$AD$5*H4+(F4/12-$AA$5)*$AD$6*H4)))-$AA$4*$AG$4)*$AF$4*0.01+$AE$4*H4)*12))</f>
        <v>7176</v>
      </c>
      <c r="K4" s="17">
        <f>Table7[[#This Row],[Bill without Solar]]+Table7[[#This Row],[Bill After Solar]]</f>
        <v>17148.290999999997</v>
      </c>
      <c r="L4">
        <f>'Calculation Dashboard'!C11</f>
        <v>3000</v>
      </c>
      <c r="M4" s="7">
        <f>'Calculation Dashboard'!C8-'Calculation Dashboard'!C9-'Calculation Dashboard'!C10+Table7[[#This Row],[Operational cost]]</f>
        <v>157085</v>
      </c>
      <c r="N4" s="7">
        <f>Table7[[#This Row],[Net saving in Bill]]-Table7[[#This Row],[Cost Each Year]]</f>
        <v>-139936.709</v>
      </c>
      <c r="O4">
        <f>Table7[[#This Row],[Net saving]]</f>
        <v>-139936.709</v>
      </c>
      <c r="P4" s="17">
        <f>Table7[[#This Row],[Cumulative saving]]/(1+$AA$10)^Table7[[#This Row],[No]]</f>
        <v>-139936.709</v>
      </c>
      <c r="R4" s="17" t="s">
        <v>160</v>
      </c>
      <c r="S4" s="41">
        <f>SUM(Table7[Net saving])</f>
        <v>797996.03694472415</v>
      </c>
      <c r="U4" t="s">
        <v>107</v>
      </c>
      <c r="V4" t="s">
        <v>114</v>
      </c>
      <c r="W4" t="s">
        <v>119</v>
      </c>
      <c r="Z4" s="19">
        <v>1</v>
      </c>
      <c r="AA4" s="20">
        <v>120</v>
      </c>
      <c r="AB4" s="21">
        <v>4.25</v>
      </c>
      <c r="AC4" s="21">
        <v>1.74</v>
      </c>
      <c r="AD4" s="22">
        <f>'Calculation Dashboard'!C13</f>
        <v>5.99</v>
      </c>
      <c r="AE4" s="22">
        <f>'Calculation Dashboard'!C16</f>
        <v>70</v>
      </c>
      <c r="AF4" s="21">
        <v>5</v>
      </c>
      <c r="AG4" s="23">
        <v>0.75</v>
      </c>
      <c r="AH4" s="18"/>
    </row>
    <row r="5" spans="2:34" x14ac:dyDescent="0.25">
      <c r="B5">
        <f>B4+1</f>
        <v>1</v>
      </c>
      <c r="C5">
        <f>C4+1</f>
        <v>2026</v>
      </c>
      <c r="D5">
        <f>D4-D4*'Calculation Dashboard'!$C$23</f>
        <v>3958.08</v>
      </c>
      <c r="E5">
        <f>E4+E4*0.03</f>
        <v>1645.94</v>
      </c>
      <c r="F5" s="17">
        <f t="shared" ref="F5:F34" si="1">D5-E5</f>
        <v>2312.14</v>
      </c>
      <c r="G5" s="17">
        <f t="shared" si="0"/>
        <v>137.16166666666666</v>
      </c>
      <c r="H5" s="17">
        <f>H4+H4*'Calculation Dashboard'!$C$17</f>
        <v>1.03</v>
      </c>
      <c r="I5" s="17">
        <f t="shared" ref="I5:I34" si="2">(((IF(G5&lt;=$AA$4,G5*$AD$4*H5,IF(AND(G5&gt;$AA$4,G5&lt;=$AA$5),$AA$4*$AD$4*H5+(G5-$AA$4)*$AD$5*H5,$AA$4*$AD$4*H5+($AA$5-$AA$4)*$AD$5*H5+(G5-$AA$5)*$AD$6*H5)))-$AA$4*$AG$4)+((IF(G5&lt;=$AA$4,G5*$AD$4*H5,IF(AND(G5&gt;$AA$4,G5&lt;=$AA$5),$AA$4*$AD$4*H5+(G5-$AA$4)*$AD$5*H5,$AA$4*$AD$4*H5+($AA$5-$AA$4)*$AD$5*H5+(G5-$AA$5)*$AD$6*H5)))-$AA$4*$AG$4)*$AF$4*0.01+$AE$4*H5)*12</f>
        <v>10683.445161900001</v>
      </c>
      <c r="J5" s="17">
        <f t="shared" ref="J5:J34" si="3">(IF(F5&gt;0,F5*3,(((IF(F5/12&lt;=$AA$4,F5/12*$AD$4*H5,IF(AND(F5/12&gt;$AA$4,F5/12&lt;=$AA$5),$AA$4*$AD$4*H5+(F5/12-$AA$4)*$AD$5*H5,$AA$4*$AD$4*H5+($AA$5-$AA$4)*$AD$5*H5+(F5/12-$AA$5)*$AD$6*H5)))-$AA$4*$AG$4)+((IF(F5/12&lt;=$AA$4,F5/12*$AD$4*H5,IF(AND(F5/12&gt;$AA$4,F5/12&lt;=$AA$5),$AA$4*$AD$4*H5+(F5/12-$AA$4)*$AD$5*H5,$AA$4*$AD$4*H5+($AA$5-$AA$4)*$AD$5*H5+(F5/12-$AA$5)*$AD$6*H5)))-$AA$4*$AG$4)*$AF$4*0.01+$AE$4*H5)*12))</f>
        <v>6936.42</v>
      </c>
      <c r="K5" s="17">
        <f>Table7[[#This Row],[Bill without Solar]]+Table7[[#This Row],[Bill After Solar]]</f>
        <v>17619.865161900001</v>
      </c>
      <c r="L5">
        <f>L4+L4*'Calculation Dashboard'!$C$12</f>
        <v>3150</v>
      </c>
      <c r="M5" s="7">
        <f>Table7[[#This Row],[Operational cost]]+IF(MOD(Table7[[#This Row],[No]],'Calculation Dashboard'!$C$24)=0,'Capex-Opex'!$E$7*Table7[[#This Row],[Inflation Factor]],0)</f>
        <v>3150</v>
      </c>
      <c r="N5" s="7">
        <f>Table7[[#This Row],[Net saving in Bill]]-Table7[[#This Row],[Cost Each Year]]</f>
        <v>14469.865161900001</v>
      </c>
      <c r="O5">
        <f>O4+Table7[[#This Row],[Net saving]]</f>
        <v>-125466.8438381</v>
      </c>
      <c r="P5" s="17">
        <f>Table7[[#This Row],[Cumulative saving]]/(1+$AA$10)^Table7[[#This Row],[No]]</f>
        <v>-119492.2322267619</v>
      </c>
      <c r="R5" s="17" t="s">
        <v>154</v>
      </c>
      <c r="S5" s="40">
        <f>NPV(8%, N4:N340) + C2</f>
        <v>127862.79853582731</v>
      </c>
      <c r="U5" t="s">
        <v>108</v>
      </c>
      <c r="V5" t="s">
        <v>115</v>
      </c>
      <c r="W5" t="s">
        <v>125</v>
      </c>
      <c r="Z5" s="24">
        <v>2</v>
      </c>
      <c r="AA5" s="25">
        <v>240</v>
      </c>
      <c r="AB5" s="26">
        <v>6.3</v>
      </c>
      <c r="AC5" s="26">
        <v>0.99</v>
      </c>
      <c r="AD5" s="27">
        <f>'Calculation Dashboard'!C14</f>
        <v>7.29</v>
      </c>
      <c r="AE5" s="26"/>
      <c r="AF5" s="26"/>
      <c r="AG5" s="28"/>
      <c r="AH5" s="18"/>
    </row>
    <row r="6" spans="2:34" x14ac:dyDescent="0.25">
      <c r="B6" s="17">
        <f t="shared" ref="B6:B34" si="4">B5+1</f>
        <v>2</v>
      </c>
      <c r="C6" s="17">
        <f t="shared" ref="C6:C34" si="5">C5+1</f>
        <v>2027</v>
      </c>
      <c r="D6" s="17">
        <f>D5-D5*'Calculation Dashboard'!$C$23</f>
        <v>3926.41536</v>
      </c>
      <c r="E6" s="17">
        <f>E5+E5*0.03</f>
        <v>1695.3182000000002</v>
      </c>
      <c r="F6" s="17">
        <f t="shared" si="1"/>
        <v>2231.0971599999998</v>
      </c>
      <c r="G6" s="17">
        <f t="shared" si="0"/>
        <v>141.27651666666668</v>
      </c>
      <c r="H6" s="17">
        <f>H5+H5*'Calculation Dashboard'!$C$17</f>
        <v>1.0609</v>
      </c>
      <c r="I6" s="17">
        <f t="shared" si="2"/>
        <v>11438.952043459711</v>
      </c>
      <c r="J6" s="17">
        <f t="shared" si="3"/>
        <v>6693.2914799999999</v>
      </c>
      <c r="K6" s="17">
        <f>Table7[[#This Row],[Bill without Solar]]+Table7[[#This Row],[Bill After Solar]]</f>
        <v>18132.243523459711</v>
      </c>
      <c r="L6" s="17">
        <f>L5+L5*'Calculation Dashboard'!$C$12</f>
        <v>3307.5</v>
      </c>
      <c r="M6" s="7">
        <f>Table7[[#This Row],[Operational cost]]+IF(MOD(Table7[[#This Row],[No]],'Calculation Dashboard'!$C$24)=0,'Capex-Opex'!$E$7*Table7[[#This Row],[Inflation Factor]],0)</f>
        <v>3307.5</v>
      </c>
      <c r="N6" s="7">
        <f>Table7[[#This Row],[Net saving in Bill]]-Table7[[#This Row],[Cost Each Year]]</f>
        <v>14824.743523459711</v>
      </c>
      <c r="O6" s="17">
        <f>O5+Table7[[#This Row],[Net saving]]</f>
        <v>-110642.10031464029</v>
      </c>
      <c r="P6" s="17">
        <f>Table7[[#This Row],[Cumulative saving]]/(1+$AA$10)^Table7[[#This Row],[No]]</f>
        <v>-100355.64654389142</v>
      </c>
      <c r="R6" s="17" t="s">
        <v>136</v>
      </c>
      <c r="S6" s="36">
        <f>IRR(Table7[Net saving])</f>
        <v>0.15049672876653175</v>
      </c>
      <c r="U6" t="s">
        <v>110</v>
      </c>
      <c r="V6" t="s">
        <v>116</v>
      </c>
      <c r="W6" t="s">
        <v>120</v>
      </c>
      <c r="Z6" s="19">
        <v>3</v>
      </c>
      <c r="AA6" s="20">
        <v>240</v>
      </c>
      <c r="AB6" s="21">
        <v>8.19</v>
      </c>
      <c r="AC6" s="21">
        <v>0</v>
      </c>
      <c r="AD6" s="22">
        <f>'Calculation Dashboard'!C15</f>
        <v>8.19</v>
      </c>
      <c r="AE6" s="21"/>
      <c r="AF6" s="21"/>
      <c r="AG6" s="23"/>
      <c r="AH6" s="18"/>
    </row>
    <row r="7" spans="2:34" x14ac:dyDescent="0.25">
      <c r="B7" s="17">
        <f t="shared" si="4"/>
        <v>3</v>
      </c>
      <c r="C7" s="17">
        <f t="shared" si="5"/>
        <v>2028</v>
      </c>
      <c r="D7" s="17">
        <f>D6-D6*'Calculation Dashboard'!$C$23</f>
        <v>3895.0040371199998</v>
      </c>
      <c r="E7">
        <f>E6*1.5</f>
        <v>2542.9773000000005</v>
      </c>
      <c r="F7" s="17">
        <f t="shared" si="1"/>
        <v>1352.0267371199993</v>
      </c>
      <c r="G7" s="17">
        <f t="shared" si="0"/>
        <v>211.91477500000005</v>
      </c>
      <c r="H7" s="17">
        <f>H6+H6*'Calculation Dashboard'!$C$17</f>
        <v>1.092727</v>
      </c>
      <c r="I7" s="17">
        <f t="shared" si="2"/>
        <v>18906.19766274526</v>
      </c>
      <c r="J7" s="17">
        <f t="shared" si="3"/>
        <v>4056.080211359998</v>
      </c>
      <c r="K7" s="17">
        <f>Table7[[#This Row],[Bill without Solar]]+Table7[[#This Row],[Bill After Solar]]</f>
        <v>22962.277874105257</v>
      </c>
      <c r="L7" s="17">
        <f>L6+L6*'Calculation Dashboard'!$C$12</f>
        <v>3472.875</v>
      </c>
      <c r="M7" s="7">
        <f>Table7[[#This Row],[Operational cost]]+IF(MOD(Table7[[#This Row],[No]],'Calculation Dashboard'!$C$24)=0,'Capex-Opex'!$E$7*Table7[[#This Row],[Inflation Factor]],0)</f>
        <v>3472.875</v>
      </c>
      <c r="N7" s="7">
        <f>Table7[[#This Row],[Net saving in Bill]]-Table7[[#This Row],[Cost Each Year]]</f>
        <v>19489.402874105257</v>
      </c>
      <c r="O7" s="17">
        <f>O6+Table7[[#This Row],[Net saving]]</f>
        <v>-91152.697440535034</v>
      </c>
      <c r="P7" s="17">
        <f>Table7[[#This Row],[Cumulative saving]]/(1+$AA$10)^Table7[[#This Row],[No]]</f>
        <v>-78741.127256698004</v>
      </c>
      <c r="R7" s="17" t="s">
        <v>157</v>
      </c>
      <c r="S7" s="7">
        <f>INDEX(B4:B34, MATCH(TRUE, INDEX(O4:O34&gt;0, 0), 0) - 1) + ABS(INDEX(O4:O34, MATCH(TRUE, INDEX(O4:O34&gt;0, 0), 0) - 1)) / (INDEX(O4:O34, MATCH(TRUE, INDEX(O4:O34&gt;0, 0), 0)) - INDEX(O4:O34, MATCH(TRUE, INDEX(O4:O34&gt;0, 0), 0) - 1))</f>
        <v>7.2445060996867845</v>
      </c>
      <c r="U7" t="s">
        <v>111</v>
      </c>
      <c r="V7" t="s">
        <v>118</v>
      </c>
    </row>
    <row r="8" spans="2:34" x14ac:dyDescent="0.25">
      <c r="B8" s="17">
        <f t="shared" si="4"/>
        <v>4</v>
      </c>
      <c r="C8" s="17">
        <f t="shared" si="5"/>
        <v>2029</v>
      </c>
      <c r="D8" s="17">
        <f>D7-D7*'Calculation Dashboard'!$C$23</f>
        <v>3863.84400482304</v>
      </c>
      <c r="E8">
        <f>E7+E7*'Calculation Dashboard'!$C$19</f>
        <v>2606.5517325000005</v>
      </c>
      <c r="F8" s="17">
        <f t="shared" si="1"/>
        <v>1257.2922723230395</v>
      </c>
      <c r="G8" s="17">
        <f t="shared" si="0"/>
        <v>217.21264437500005</v>
      </c>
      <c r="H8" s="17">
        <f>H7+H7*'Calculation Dashboard'!$C$17</f>
        <v>1.1255088099999999</v>
      </c>
      <c r="I8" s="17">
        <f t="shared" si="2"/>
        <v>20055.110500356703</v>
      </c>
      <c r="J8" s="17">
        <f t="shared" si="3"/>
        <v>3771.8768169691184</v>
      </c>
      <c r="K8" s="17">
        <f>Table7[[#This Row],[Bill without Solar]]+Table7[[#This Row],[Bill After Solar]]</f>
        <v>23826.98731732582</v>
      </c>
      <c r="L8" s="17">
        <f>L7+L7*'Calculation Dashboard'!$C$12</f>
        <v>3646.5187500000002</v>
      </c>
      <c r="M8" s="7">
        <f>Table7[[#This Row],[Operational cost]]+IF(MOD(Table7[[#This Row],[No]],'Calculation Dashboard'!$C$24)=0,'Capex-Opex'!$E$7*Table7[[#This Row],[Inflation Factor]],0)</f>
        <v>3646.5187500000002</v>
      </c>
      <c r="N8" s="7">
        <f>Table7[[#This Row],[Net saving in Bill]]-Table7[[#This Row],[Cost Each Year]]</f>
        <v>20180.468567325821</v>
      </c>
      <c r="O8" s="17">
        <f>O7+Table7[[#This Row],[Net saving]]</f>
        <v>-70972.228873209213</v>
      </c>
      <c r="P8" s="17">
        <f>Table7[[#This Row],[Cumulative saving]]/(1+$AA$10)^Table7[[#This Row],[No]]</f>
        <v>-58389.028335485084</v>
      </c>
      <c r="R8" s="17" t="s">
        <v>158</v>
      </c>
      <c r="S8" s="36">
        <f>(S4-S3)/S3</f>
        <v>4.1789339451907983</v>
      </c>
      <c r="V8" t="s">
        <v>117</v>
      </c>
      <c r="Z8" s="18"/>
      <c r="AA8" s="18"/>
      <c r="AB8" s="18"/>
      <c r="AC8" s="18"/>
      <c r="AD8" s="18"/>
      <c r="AE8" s="18"/>
      <c r="AF8" s="18"/>
      <c r="AG8" s="18"/>
      <c r="AH8" s="18"/>
    </row>
    <row r="9" spans="2:34" ht="21" customHeight="1" x14ac:dyDescent="0.25">
      <c r="B9" s="17">
        <f t="shared" si="4"/>
        <v>5</v>
      </c>
      <c r="C9" s="17">
        <f t="shared" si="5"/>
        <v>2030</v>
      </c>
      <c r="D9" s="17">
        <f>D8-D8*'Calculation Dashboard'!$C$23</f>
        <v>3832.9332527844558</v>
      </c>
      <c r="E9" s="17">
        <f>E8+E8*'Calculation Dashboard'!$C$19</f>
        <v>2671.7155258125003</v>
      </c>
      <c r="F9" s="17">
        <f t="shared" si="1"/>
        <v>1161.2177269719555</v>
      </c>
      <c r="G9" s="17">
        <f t="shared" si="0"/>
        <v>222.64296048437504</v>
      </c>
      <c r="H9" s="17">
        <f>H8+H8*'Calculation Dashboard'!$C$17</f>
        <v>1.1592740742999998</v>
      </c>
      <c r="I9" s="17">
        <f t="shared" si="2"/>
        <v>21269.025383202388</v>
      </c>
      <c r="J9" s="17">
        <f t="shared" si="3"/>
        <v>3483.6531809158664</v>
      </c>
      <c r="K9" s="17">
        <f>Table7[[#This Row],[Bill without Solar]]+Table7[[#This Row],[Bill After Solar]]</f>
        <v>24752.678564118254</v>
      </c>
      <c r="L9" s="17">
        <f>L8+L8*'Calculation Dashboard'!$C$12</f>
        <v>3828.8446875</v>
      </c>
      <c r="M9" s="7">
        <f>Table7[[#This Row],[Operational cost]]+IF(MOD(Table7[[#This Row],[No]],'Calculation Dashboard'!$C$24)=0,'Capex-Opex'!$E$7*Table7[[#This Row],[Inflation Factor]],0)</f>
        <v>3828.8446875</v>
      </c>
      <c r="N9" s="7">
        <f>Table7[[#This Row],[Net saving in Bill]]-Table7[[#This Row],[Cost Each Year]]</f>
        <v>20923.833876618253</v>
      </c>
      <c r="O9" s="17">
        <f>O8+Table7[[#This Row],[Net saving]]</f>
        <v>-50048.394996590956</v>
      </c>
      <c r="P9" s="17">
        <f>Table7[[#This Row],[Cumulative saving]]/(1+$AA$10)^Table7[[#This Row],[No]]</f>
        <v>-39214.227069578112</v>
      </c>
      <c r="U9" t="s">
        <v>123</v>
      </c>
      <c r="W9" s="30">
        <v>2.5000000000000001E-2</v>
      </c>
      <c r="Z9" s="19" t="s">
        <v>122</v>
      </c>
      <c r="AA9" s="31">
        <v>0.03</v>
      </c>
      <c r="AB9" s="21"/>
      <c r="AC9" s="21"/>
      <c r="AD9" s="22"/>
      <c r="AE9" s="21"/>
      <c r="AF9" s="21"/>
      <c r="AG9" s="23"/>
      <c r="AH9" s="18"/>
    </row>
    <row r="10" spans="2:34" x14ac:dyDescent="0.25">
      <c r="B10" s="17">
        <f t="shared" si="4"/>
        <v>6</v>
      </c>
      <c r="C10" s="17">
        <f t="shared" si="5"/>
        <v>2031</v>
      </c>
      <c r="D10" s="17">
        <f>D9-D9*'Calculation Dashboard'!$C$23</f>
        <v>3802.26978676218</v>
      </c>
      <c r="E10" s="17">
        <f>E9+E9*'Calculation Dashboard'!$C$19</f>
        <v>2738.508413957813</v>
      </c>
      <c r="F10" s="17">
        <f t="shared" si="1"/>
        <v>1063.7613728043671</v>
      </c>
      <c r="G10" s="17">
        <f t="shared" si="0"/>
        <v>228.20903449648441</v>
      </c>
      <c r="H10" s="17">
        <f>H9+H9*'Calculation Dashboard'!$C$17</f>
        <v>1.1940522965289999</v>
      </c>
      <c r="I10" s="17">
        <f t="shared" si="2"/>
        <v>22551.594679940252</v>
      </c>
      <c r="J10" s="17">
        <f t="shared" si="3"/>
        <v>3191.2841184131012</v>
      </c>
      <c r="K10" s="17">
        <f>Table7[[#This Row],[Bill without Solar]]+Table7[[#This Row],[Bill After Solar]]</f>
        <v>25742.878798353355</v>
      </c>
      <c r="L10" s="17">
        <f>L9+L9*'Calculation Dashboard'!$C$12</f>
        <v>4020.2869218750002</v>
      </c>
      <c r="M10" s="7">
        <f>Table7[[#This Row],[Operational cost]]+IF(MOD(Table7[[#This Row],[No]],'Calculation Dashboard'!$C$24)=0,'Capex-Opex'!$E$7*Table7[[#This Row],[Inflation Factor]],0)</f>
        <v>4020.2869218750002</v>
      </c>
      <c r="N10" s="7">
        <f>Table7[[#This Row],[Net saving in Bill]]-Table7[[#This Row],[Cost Each Year]]</f>
        <v>21722.591876478356</v>
      </c>
      <c r="O10" s="17">
        <f>O9+Table7[[#This Row],[Net saving]]</f>
        <v>-28325.8031201126</v>
      </c>
      <c r="P10" s="17">
        <f>Table7[[#This Row],[Cumulative saving]]/(1+$AA$10)^Table7[[#This Row],[No]]</f>
        <v>-21137.150410325848</v>
      </c>
      <c r="U10" s="29" t="s">
        <v>130</v>
      </c>
      <c r="V10" t="s">
        <v>129</v>
      </c>
      <c r="Z10" s="24"/>
      <c r="AA10" s="35">
        <v>0.05</v>
      </c>
      <c r="AB10" s="26"/>
      <c r="AC10" s="26"/>
      <c r="AD10" s="27"/>
      <c r="AE10" s="26"/>
      <c r="AF10" s="26"/>
      <c r="AG10" s="28"/>
      <c r="AH10" s="18"/>
    </row>
    <row r="11" spans="2:34" x14ac:dyDescent="0.25">
      <c r="B11" s="17">
        <f t="shared" si="4"/>
        <v>7</v>
      </c>
      <c r="C11" s="17">
        <f t="shared" si="5"/>
        <v>2032</v>
      </c>
      <c r="D11" s="17">
        <f>D10-D10*'Calculation Dashboard'!$C$23</f>
        <v>3771.8516284680827</v>
      </c>
      <c r="E11" s="17">
        <f>E10+E10*'Calculation Dashboard'!$C$19</f>
        <v>2806.9711243067582</v>
      </c>
      <c r="F11" s="17">
        <f t="shared" si="1"/>
        <v>964.88050416132455</v>
      </c>
      <c r="G11" s="17">
        <f t="shared" si="0"/>
        <v>233.91426035889651</v>
      </c>
      <c r="H11" s="17">
        <f>H10+H10*'Calculation Dashboard'!$C$17</f>
        <v>1.22987386542487</v>
      </c>
      <c r="I11" s="17">
        <f t="shared" si="2"/>
        <v>23906.675233919977</v>
      </c>
      <c r="J11" s="17">
        <f t="shared" si="3"/>
        <v>2894.6415124839737</v>
      </c>
      <c r="K11" s="17">
        <f>Table7[[#This Row],[Bill without Solar]]+Table7[[#This Row],[Bill After Solar]]</f>
        <v>26801.316746403951</v>
      </c>
      <c r="L11" s="17">
        <f>L10+L10*'Calculation Dashboard'!$C$12</f>
        <v>4221.3012679687499</v>
      </c>
      <c r="M11" s="7">
        <f>Table7[[#This Row],[Operational cost]]+IF(MOD(Table7[[#This Row],[No]],'Calculation Dashboard'!$C$24)=0,'Capex-Opex'!$E$7*Table7[[#This Row],[Inflation Factor]],0)</f>
        <v>4221.3012679687499</v>
      </c>
      <c r="N11" s="7">
        <f>Table7[[#This Row],[Net saving in Bill]]-Table7[[#This Row],[Cost Each Year]]</f>
        <v>22580.015478435202</v>
      </c>
      <c r="O11" s="17">
        <f>O10+Table7[[#This Row],[Net saving]]</f>
        <v>-5745.7876416773979</v>
      </c>
      <c r="P11" s="17">
        <f>Table7[[#This Row],[Cumulative saving]]/(1+$AA$10)^Table7[[#This Row],[No]]</f>
        <v>-4083.424003832507</v>
      </c>
      <c r="U11" t="s">
        <v>133</v>
      </c>
      <c r="V11" t="s">
        <v>134</v>
      </c>
      <c r="W11" t="s">
        <v>135</v>
      </c>
      <c r="Z11" s="19"/>
      <c r="AA11" s="20"/>
      <c r="AB11" s="21"/>
      <c r="AC11" s="21"/>
      <c r="AD11" s="22"/>
      <c r="AE11" s="21"/>
      <c r="AF11" s="21"/>
      <c r="AG11" s="23"/>
      <c r="AH11" s="18"/>
    </row>
    <row r="12" spans="2:34" x14ac:dyDescent="0.25">
      <c r="B12" s="32">
        <f t="shared" si="4"/>
        <v>8</v>
      </c>
      <c r="C12" s="32">
        <f t="shared" si="5"/>
        <v>2033</v>
      </c>
      <c r="D12" s="17">
        <f>D11-D11*'Calculation Dashboard'!$C$23</f>
        <v>3741.676815440338</v>
      </c>
      <c r="E12" s="17">
        <f>E11+E11*'Calculation Dashboard'!$C$19</f>
        <v>2877.1454024144273</v>
      </c>
      <c r="F12" s="32">
        <f t="shared" si="1"/>
        <v>864.53141302591075</v>
      </c>
      <c r="G12" s="32">
        <f t="shared" si="0"/>
        <v>239.76211686786894</v>
      </c>
      <c r="H12" s="17">
        <f>H11+H11*'Calculation Dashboard'!$C$17</f>
        <v>1.2667700813876162</v>
      </c>
      <c r="I12" s="32">
        <f t="shared" si="2"/>
        <v>25338.339788301259</v>
      </c>
      <c r="J12" s="32">
        <f t="shared" si="3"/>
        <v>2593.5942390777323</v>
      </c>
      <c r="K12" s="32">
        <f>Table7[[#This Row],[Bill without Solar]]+Table7[[#This Row],[Bill After Solar]]</f>
        <v>27931.934027378989</v>
      </c>
      <c r="L12" s="17">
        <f>L11+L11*'Calculation Dashboard'!$C$12</f>
        <v>4432.3663313671877</v>
      </c>
      <c r="M12" s="7">
        <f>Table7[[#This Row],[Operational cost]]+IF(MOD(Table7[[#This Row],[No]],'Calculation Dashboard'!$C$24)=0,'Capex-Opex'!$E$7*Table7[[#This Row],[Inflation Factor]],0)</f>
        <v>4432.3663313671877</v>
      </c>
      <c r="N12" s="33">
        <f>Table7[[#This Row],[Net saving in Bill]]-Table7[[#This Row],[Cost Each Year]]</f>
        <v>23499.5676960118</v>
      </c>
      <c r="O12" s="32">
        <f>O11+Table7[[#This Row],[Net saving]]</f>
        <v>17753.780054334402</v>
      </c>
      <c r="P12" s="17">
        <f>Table7[[#This Row],[Cumulative saving]]/(1+$AA$10)^Table7[[#This Row],[No]]</f>
        <v>12016.457165573327</v>
      </c>
    </row>
    <row r="13" spans="2:34" x14ac:dyDescent="0.25">
      <c r="B13" s="17">
        <f t="shared" si="4"/>
        <v>9</v>
      </c>
      <c r="C13" s="17">
        <f t="shared" si="5"/>
        <v>2034</v>
      </c>
      <c r="D13" s="17">
        <f>D12-D12*'Calculation Dashboard'!$C$23</f>
        <v>3711.7434009168155</v>
      </c>
      <c r="E13" s="17">
        <f>E12+E12*'Calculation Dashboard'!$C$19</f>
        <v>2949.0740374747879</v>
      </c>
      <c r="F13" s="17">
        <f t="shared" si="1"/>
        <v>762.66936344202759</v>
      </c>
      <c r="G13" s="17">
        <f t="shared" si="0"/>
        <v>245.75616978956566</v>
      </c>
      <c r="H13" s="17">
        <f>H12+H12*'Calculation Dashboard'!$C$17</f>
        <v>1.3047731838292447</v>
      </c>
      <c r="I13" s="17">
        <f t="shared" si="2"/>
        <v>26936.058073339158</v>
      </c>
      <c r="J13" s="17">
        <f t="shared" si="3"/>
        <v>2288.0080903260828</v>
      </c>
      <c r="K13" s="17">
        <f>Table7[[#This Row],[Bill without Solar]]+Table7[[#This Row],[Bill After Solar]]</f>
        <v>29224.06616366524</v>
      </c>
      <c r="L13" s="17">
        <f>L12+L12*'Calculation Dashboard'!$C$12</f>
        <v>4653.9846479355474</v>
      </c>
      <c r="M13" s="7">
        <f>Table7[[#This Row],[Operational cost]]+IF(MOD(Table7[[#This Row],[No]],'Calculation Dashboard'!$C$24)=0,'Capex-Opex'!$E$7*Table7[[#This Row],[Inflation Factor]],0)</f>
        <v>4653.9846479355474</v>
      </c>
      <c r="N13" s="7">
        <f>Table7[[#This Row],[Net saving in Bill]]-Table7[[#This Row],[Cost Each Year]]</f>
        <v>24570.081515729693</v>
      </c>
      <c r="O13" s="17">
        <f>O12+Table7[[#This Row],[Net saving]]</f>
        <v>42323.861570064095</v>
      </c>
      <c r="P13" s="17">
        <f>Table7[[#This Row],[Cumulative saving]]/(1+$AA$10)^Table7[[#This Row],[No]]</f>
        <v>27282.338536831096</v>
      </c>
      <c r="U13" t="s">
        <v>124</v>
      </c>
    </row>
    <row r="14" spans="2:34" x14ac:dyDescent="0.25">
      <c r="B14" s="17">
        <f t="shared" si="4"/>
        <v>10</v>
      </c>
      <c r="C14" s="17">
        <f t="shared" si="5"/>
        <v>2035</v>
      </c>
      <c r="D14" s="17">
        <f>D13-D13*'Calculation Dashboard'!$C$23</f>
        <v>3682.049453709481</v>
      </c>
      <c r="E14" s="17">
        <f>E13+E13*'Calculation Dashboard'!$C$19</f>
        <v>3022.8008884116575</v>
      </c>
      <c r="F14" s="17">
        <f t="shared" si="1"/>
        <v>659.24856529782346</v>
      </c>
      <c r="G14" s="17">
        <f t="shared" si="0"/>
        <v>251.90007403430479</v>
      </c>
      <c r="H14" s="17">
        <f>H13+H13*'Calculation Dashboard'!$C$17</f>
        <v>1.343916379344122</v>
      </c>
      <c r="I14" s="17">
        <f t="shared" si="2"/>
        <v>28630.221688293132</v>
      </c>
      <c r="J14" s="17">
        <f t="shared" si="3"/>
        <v>1977.7456958934704</v>
      </c>
      <c r="K14" s="17">
        <f>Table7[[#This Row],[Bill without Solar]]+Table7[[#This Row],[Bill After Solar]]</f>
        <v>30607.967384186602</v>
      </c>
      <c r="L14" s="17">
        <f>L13+L13*'Calculation Dashboard'!$C$12</f>
        <v>4886.6838803323244</v>
      </c>
      <c r="M14" s="7">
        <f>Table7[[#This Row],[Operational cost]]+IF(MOD(Table7[[#This Row],[No]],'Calculation Dashboard'!$C$24)=0,'Capex-Opex'!$E$7*Table7[[#This Row],[Inflation Factor]],0)</f>
        <v>35796.760605247131</v>
      </c>
      <c r="N14" s="7">
        <f>Table7[[#This Row],[Net saving in Bill]]-Table7[[#This Row],[Cost Each Year]]</f>
        <v>-5188.7932210605286</v>
      </c>
      <c r="O14" s="17">
        <f>O13+Table7[[#This Row],[Net saving]]</f>
        <v>37135.068349003566</v>
      </c>
      <c r="P14" s="17">
        <f>Table7[[#This Row],[Cumulative saving]]/(1+$AA$10)^Table7[[#This Row],[No]]</f>
        <v>22797.710630595251</v>
      </c>
    </row>
    <row r="15" spans="2:34" x14ac:dyDescent="0.25">
      <c r="B15" s="17">
        <f t="shared" si="4"/>
        <v>11</v>
      </c>
      <c r="C15" s="17">
        <f t="shared" si="5"/>
        <v>2036</v>
      </c>
      <c r="D15" s="17">
        <f>D14-D14*'Calculation Dashboard'!$C$23</f>
        <v>3652.5930580798054</v>
      </c>
      <c r="E15" s="17">
        <f>E14+E14*'Calculation Dashboard'!$C$19</f>
        <v>3098.370910621949</v>
      </c>
      <c r="F15" s="17">
        <f t="shared" si="1"/>
        <v>554.22214745785641</v>
      </c>
      <c r="G15" s="17">
        <f t="shared" si="0"/>
        <v>258.19757588516239</v>
      </c>
      <c r="H15" s="17">
        <f>H14+H14*'Calculation Dashboard'!$C$17</f>
        <v>1.3842338707244457</v>
      </c>
      <c r="I15" s="17">
        <f t="shared" si="2"/>
        <v>30422.712661101745</v>
      </c>
      <c r="J15" s="17">
        <f t="shared" si="3"/>
        <v>1662.6664423735692</v>
      </c>
      <c r="K15" s="17">
        <f>Table7[[#This Row],[Bill without Solar]]+Table7[[#This Row],[Bill After Solar]]</f>
        <v>32085.379103475316</v>
      </c>
      <c r="L15" s="17">
        <f>L14+L14*'Calculation Dashboard'!$C$12</f>
        <v>5131.0180743489409</v>
      </c>
      <c r="M15" s="7">
        <f>Table7[[#This Row],[Operational cost]]+IF(MOD(Table7[[#This Row],[No]],'Calculation Dashboard'!$C$24)=0,'Capex-Opex'!$E$7*Table7[[#This Row],[Inflation Factor]],0)</f>
        <v>5131.0180743489409</v>
      </c>
      <c r="N15" s="7">
        <f>Table7[[#This Row],[Net saving in Bill]]-Table7[[#This Row],[Cost Each Year]]</f>
        <v>26954.361029126376</v>
      </c>
      <c r="O15" s="17">
        <f>O14+Table7[[#This Row],[Net saving]]</f>
        <v>64089.429378129942</v>
      </c>
      <c r="P15" s="17">
        <f>Table7[[#This Row],[Cumulative saving]]/(1+$AA$10)^Table7[[#This Row],[No]]</f>
        <v>37471.762006760451</v>
      </c>
      <c r="V15" s="34"/>
    </row>
    <row r="16" spans="2:34" x14ac:dyDescent="0.25">
      <c r="B16" s="17">
        <f t="shared" si="4"/>
        <v>12</v>
      </c>
      <c r="C16" s="17">
        <f t="shared" si="5"/>
        <v>2037</v>
      </c>
      <c r="D16" s="17">
        <f>D15-D15*'Calculation Dashboard'!$C$23</f>
        <v>3623.3723136151671</v>
      </c>
      <c r="E16" s="17">
        <f>E15+E15*'Calculation Dashboard'!$C$19</f>
        <v>3175.8301833874975</v>
      </c>
      <c r="F16" s="17">
        <f t="shared" si="1"/>
        <v>447.54213022766953</v>
      </c>
      <c r="G16" s="17">
        <f t="shared" si="0"/>
        <v>264.65251528229146</v>
      </c>
      <c r="H16" s="17">
        <f>H15+H15*'Calculation Dashboard'!$C$17</f>
        <v>1.4257608868461791</v>
      </c>
      <c r="I16" s="17">
        <f t="shared" si="2"/>
        <v>32319.129074055036</v>
      </c>
      <c r="J16" s="17">
        <f t="shared" si="3"/>
        <v>1342.6263906830086</v>
      </c>
      <c r="K16" s="17">
        <f>Table7[[#This Row],[Bill without Solar]]+Table7[[#This Row],[Bill After Solar]]</f>
        <v>33661.755464738046</v>
      </c>
      <c r="L16" s="17">
        <f>L15+L15*'Calculation Dashboard'!$C$12</f>
        <v>5387.5689780663879</v>
      </c>
      <c r="M16" s="7">
        <f>Table7[[#This Row],[Operational cost]]+IF(MOD(Table7[[#This Row],[No]],'Calculation Dashboard'!$C$24)=0,'Capex-Opex'!$E$7*Table7[[#This Row],[Inflation Factor]],0)</f>
        <v>5387.5689780663879</v>
      </c>
      <c r="N16" s="7">
        <f>Table7[[#This Row],[Net saving in Bill]]-Table7[[#This Row],[Cost Each Year]]</f>
        <v>28274.186486671657</v>
      </c>
      <c r="O16" s="17">
        <f>O15+Table7[[#This Row],[Net saving]]</f>
        <v>92363.615864801599</v>
      </c>
      <c r="P16" s="17">
        <f>Table7[[#This Row],[Cumulative saving]]/(1+$AA$10)^Table7[[#This Row],[No]]</f>
        <v>51431.517391699999</v>
      </c>
      <c r="V16" s="7"/>
    </row>
    <row r="17" spans="2:16" x14ac:dyDescent="0.25">
      <c r="B17" s="17">
        <f t="shared" si="4"/>
        <v>13</v>
      </c>
      <c r="C17" s="17">
        <f t="shared" si="5"/>
        <v>2038</v>
      </c>
      <c r="D17" s="17">
        <f>D16-D16*'Calculation Dashboard'!$C$23</f>
        <v>3594.3853351062457</v>
      </c>
      <c r="E17" s="17">
        <f>E16+E16*'Calculation Dashboard'!$C$19</f>
        <v>3255.225937972185</v>
      </c>
      <c r="F17" s="17">
        <f t="shared" si="1"/>
        <v>339.15939713406078</v>
      </c>
      <c r="G17" s="17">
        <f t="shared" si="0"/>
        <v>271.26882816434875</v>
      </c>
      <c r="H17" s="17">
        <f>H16+H16*'Calculation Dashboard'!$C$17</f>
        <v>1.4685337134515644</v>
      </c>
      <c r="I17" s="17">
        <f t="shared" si="2"/>
        <v>34325.384592493378</v>
      </c>
      <c r="J17" s="17">
        <f t="shared" si="3"/>
        <v>1017.4781914021823</v>
      </c>
      <c r="K17" s="17">
        <f>Table7[[#This Row],[Bill without Solar]]+Table7[[#This Row],[Bill After Solar]]</f>
        <v>35342.862783895558</v>
      </c>
      <c r="L17" s="17">
        <f>L16+L16*'Calculation Dashboard'!$C$12</f>
        <v>5656.9474269697075</v>
      </c>
      <c r="M17" s="7">
        <f>Table7[[#This Row],[Operational cost]]+IF(MOD(Table7[[#This Row],[No]],'Calculation Dashboard'!$C$24)=0,'Capex-Opex'!$E$7*Table7[[#This Row],[Inflation Factor]],0)</f>
        <v>5656.9474269697075</v>
      </c>
      <c r="N17" s="7">
        <f>Table7[[#This Row],[Net saving in Bill]]-Table7[[#This Row],[Cost Each Year]]</f>
        <v>29685.915356925849</v>
      </c>
      <c r="O17" s="17">
        <f>O16+Table7[[#This Row],[Net saving]]</f>
        <v>122049.53122172745</v>
      </c>
      <c r="P17" s="17">
        <f>Table7[[#This Row],[Cumulative saving]]/(1+$AA$10)^Table7[[#This Row],[No]]</f>
        <v>64725.47224313156</v>
      </c>
    </row>
    <row r="18" spans="2:16" x14ac:dyDescent="0.25">
      <c r="B18" s="17">
        <f t="shared" si="4"/>
        <v>14</v>
      </c>
      <c r="C18" s="17">
        <f t="shared" si="5"/>
        <v>2039</v>
      </c>
      <c r="D18" s="17">
        <f>D17-D17*'Calculation Dashboard'!$C$23</f>
        <v>3565.6302524253956</v>
      </c>
      <c r="E18" s="17">
        <f>E17+E17*'Calculation Dashboard'!$C$19</f>
        <v>3336.6065864214897</v>
      </c>
      <c r="F18" s="17">
        <f t="shared" si="1"/>
        <v>229.02366600390587</v>
      </c>
      <c r="G18" s="17">
        <f t="shared" si="0"/>
        <v>278.0505488684575</v>
      </c>
      <c r="H18" s="17">
        <f>H17+H17*'Calculation Dashboard'!$C$17</f>
        <v>1.5125897248551112</v>
      </c>
      <c r="I18" s="17">
        <f t="shared" si="2"/>
        <v>36447.726163261446</v>
      </c>
      <c r="J18" s="17">
        <f t="shared" si="3"/>
        <v>687.07099801171762</v>
      </c>
      <c r="K18" s="17">
        <f>Table7[[#This Row],[Bill without Solar]]+Table7[[#This Row],[Bill After Solar]]</f>
        <v>37134.797161273164</v>
      </c>
      <c r="L18" s="17">
        <f>L17+L17*'Calculation Dashboard'!$C$12</f>
        <v>5939.794798318193</v>
      </c>
      <c r="M18" s="7">
        <f>Table7[[#This Row],[Operational cost]]+IF(MOD(Table7[[#This Row],[No]],'Calculation Dashboard'!$C$24)=0,'Capex-Opex'!$E$7*Table7[[#This Row],[Inflation Factor]],0)</f>
        <v>5939.794798318193</v>
      </c>
      <c r="N18" s="7">
        <f>Table7[[#This Row],[Net saving in Bill]]-Table7[[#This Row],[Cost Each Year]]</f>
        <v>31195.002362954969</v>
      </c>
      <c r="O18" s="17">
        <f>O17+Table7[[#This Row],[Net saving]]</f>
        <v>153244.53358468242</v>
      </c>
      <c r="P18" s="17">
        <f>Table7[[#This Row],[Cumulative saving]]/(1+$AA$10)^Table7[[#This Row],[No]]</f>
        <v>77398.902885368589</v>
      </c>
    </row>
    <row r="19" spans="2:16" x14ac:dyDescent="0.25">
      <c r="B19" s="17">
        <f t="shared" si="4"/>
        <v>15</v>
      </c>
      <c r="C19" s="17">
        <f t="shared" si="5"/>
        <v>2040</v>
      </c>
      <c r="D19" s="17">
        <f>D18-D18*'Calculation Dashboard'!$C$23</f>
        <v>3537.1052104059922</v>
      </c>
      <c r="E19" s="17">
        <f>E18+E18*'Calculation Dashboard'!$C$19</f>
        <v>3420.0217510820271</v>
      </c>
      <c r="F19" s="17">
        <f t="shared" si="1"/>
        <v>117.08345932396514</v>
      </c>
      <c r="G19" s="17">
        <f t="shared" si="0"/>
        <v>285.00181259016892</v>
      </c>
      <c r="H19" s="17">
        <f>H18+H18*'Calculation Dashboard'!$C$17</f>
        <v>1.5579674166007647</v>
      </c>
      <c r="I19" s="17">
        <f t="shared" si="2"/>
        <v>38692.752702991944</v>
      </c>
      <c r="J19" s="17">
        <f t="shared" si="3"/>
        <v>351.25037797189543</v>
      </c>
      <c r="K19" s="17">
        <f>Table7[[#This Row],[Bill without Solar]]+Table7[[#This Row],[Bill After Solar]]</f>
        <v>39044.003080963841</v>
      </c>
      <c r="L19" s="17">
        <f>L18+L18*'Calculation Dashboard'!$C$12</f>
        <v>6236.7845382341029</v>
      </c>
      <c r="M19" s="7">
        <f>Table7[[#This Row],[Operational cost]]+IF(MOD(Table7[[#This Row],[No]],'Calculation Dashboard'!$C$24)=0,'Capex-Opex'!$E$7*Table7[[#This Row],[Inflation Factor]],0)</f>
        <v>6236.7845382341029</v>
      </c>
      <c r="N19" s="7">
        <f>Table7[[#This Row],[Net saving in Bill]]-Table7[[#This Row],[Cost Each Year]]</f>
        <v>32807.218542729737</v>
      </c>
      <c r="O19" s="17">
        <f>O18+Table7[[#This Row],[Net saving]]</f>
        <v>186051.75212741215</v>
      </c>
      <c r="P19" s="17">
        <f>Table7[[#This Row],[Cumulative saving]]/(1+$AA$10)^Table7[[#This Row],[No]]</f>
        <v>89494.073903068289</v>
      </c>
    </row>
    <row r="20" spans="2:16" x14ac:dyDescent="0.25">
      <c r="B20" s="17">
        <f t="shared" si="4"/>
        <v>16</v>
      </c>
      <c r="C20" s="17">
        <f t="shared" si="5"/>
        <v>2041</v>
      </c>
      <c r="D20" s="17">
        <f>D19-D19*'Calculation Dashboard'!$C$23</f>
        <v>3508.8083687227445</v>
      </c>
      <c r="E20" s="17">
        <f>E19+E19*'Calculation Dashboard'!$C$19</f>
        <v>3505.5222948590776</v>
      </c>
      <c r="F20" s="17">
        <f t="shared" si="1"/>
        <v>3.286073863666843</v>
      </c>
      <c r="G20" s="17">
        <f t="shared" si="0"/>
        <v>292.12685790492316</v>
      </c>
      <c r="H20" s="17">
        <f>H19+H19*'Calculation Dashboard'!$C$17</f>
        <v>1.6047064390987875</v>
      </c>
      <c r="I20" s="17">
        <f t="shared" si="2"/>
        <v>41067.434831496255</v>
      </c>
      <c r="J20" s="17">
        <f t="shared" si="3"/>
        <v>9.8582215910005289</v>
      </c>
      <c r="K20" s="17">
        <f>Table7[[#This Row],[Bill without Solar]]+Table7[[#This Row],[Bill After Solar]]</f>
        <v>41077.293053087255</v>
      </c>
      <c r="L20" s="17">
        <f>L19+L19*'Calculation Dashboard'!$C$12</f>
        <v>6548.6237651458077</v>
      </c>
      <c r="M20" s="7">
        <f>Table7[[#This Row],[Operational cost]]+IF(MOD(Table7[[#This Row],[No]],'Calculation Dashboard'!$C$24)=0,'Capex-Opex'!$E$7*Table7[[#This Row],[Inflation Factor]],0)</f>
        <v>6548.6237651458077</v>
      </c>
      <c r="N20" s="7">
        <f>Table7[[#This Row],[Net saving in Bill]]-Table7[[#This Row],[Cost Each Year]]</f>
        <v>34528.669287941448</v>
      </c>
      <c r="O20" s="17">
        <f>O19+Table7[[#This Row],[Net saving]]</f>
        <v>220580.4214153536</v>
      </c>
      <c r="P20" s="17">
        <f>Table7[[#This Row],[Cumulative saving]]/(1+$AA$10)^Table7[[#This Row],[No]]</f>
        <v>101050.43257609209</v>
      </c>
    </row>
    <row r="21" spans="2:16" x14ac:dyDescent="0.25">
      <c r="B21" s="17">
        <f t="shared" si="4"/>
        <v>17</v>
      </c>
      <c r="C21" s="17">
        <f t="shared" si="5"/>
        <v>2042</v>
      </c>
      <c r="D21" s="17">
        <f>D20-D20*'Calculation Dashboard'!$C$23</f>
        <v>3480.7379017729627</v>
      </c>
      <c r="E21" s="17">
        <f>E20+E20*'Calculation Dashboard'!$C$19</f>
        <v>3593.1603522305545</v>
      </c>
      <c r="F21" s="17">
        <f t="shared" si="1"/>
        <v>-112.42245045759182</v>
      </c>
      <c r="G21" s="17">
        <f t="shared" si="0"/>
        <v>299.43002935254623</v>
      </c>
      <c r="H21" s="17">
        <f>H20+H20*'Calculation Dashboard'!$C$17</f>
        <v>1.6528476322717511</v>
      </c>
      <c r="I21" s="17">
        <f t="shared" si="2"/>
        <v>43579.135708624075</v>
      </c>
      <c r="J21" s="17">
        <f t="shared" si="3"/>
        <v>-914.3051491246913</v>
      </c>
      <c r="K21" s="17">
        <f>Table7[[#This Row],[Bill without Solar]]+Table7[[#This Row],[Bill After Solar]]</f>
        <v>42664.830559499387</v>
      </c>
      <c r="L21" s="17">
        <f>L20+L20*'Calculation Dashboard'!$C$12</f>
        <v>6876.0549534030979</v>
      </c>
      <c r="M21" s="7">
        <f>Table7[[#This Row],[Operational cost]]+IF(MOD(Table7[[#This Row],[No]],'Calculation Dashboard'!$C$24)=0,'Capex-Opex'!$E$7*Table7[[#This Row],[Inflation Factor]],0)</f>
        <v>6876.0549534030979</v>
      </c>
      <c r="N21" s="7">
        <f>Table7[[#This Row],[Net saving in Bill]]-Table7[[#This Row],[Cost Each Year]]</f>
        <v>35788.775606096286</v>
      </c>
      <c r="O21" s="17">
        <f>O20+Table7[[#This Row],[Net saving]]</f>
        <v>256369.19702144989</v>
      </c>
      <c r="P21" s="17">
        <f>Table7[[#This Row],[Cumulative saving]]/(1+$AA$10)^Table7[[#This Row],[No]]</f>
        <v>111853.03146591385</v>
      </c>
    </row>
    <row r="22" spans="2:16" x14ac:dyDescent="0.25">
      <c r="B22" s="17">
        <f t="shared" si="4"/>
        <v>18</v>
      </c>
      <c r="C22" s="17">
        <f t="shared" si="5"/>
        <v>2043</v>
      </c>
      <c r="D22" s="17">
        <f>D21-D21*'Calculation Dashboard'!$C$23</f>
        <v>3452.8919985587791</v>
      </c>
      <c r="E22" s="17">
        <f>E21+E21*'Calculation Dashboard'!$C$19</f>
        <v>3682.9893610363183</v>
      </c>
      <c r="F22" s="17">
        <f t="shared" si="1"/>
        <v>-230.09736247753926</v>
      </c>
      <c r="G22" s="17">
        <f t="shared" si="0"/>
        <v>306.91578008635986</v>
      </c>
      <c r="H22" s="17">
        <f>H21+H21*'Calculation Dashboard'!$C$17</f>
        <v>1.7024330612399037</v>
      </c>
      <c r="I22" s="17">
        <f t="shared" si="2"/>
        <v>46235.633036209911</v>
      </c>
      <c r="J22" s="17">
        <f t="shared" si="3"/>
        <v>-2167.7128625789774</v>
      </c>
      <c r="K22" s="17">
        <f>Table7[[#This Row],[Bill without Solar]]+Table7[[#This Row],[Bill After Solar]]</f>
        <v>44067.920173630933</v>
      </c>
      <c r="L22" s="17">
        <f>L21+L21*'Calculation Dashboard'!$C$12</f>
        <v>7219.8577010732524</v>
      </c>
      <c r="M22" s="7">
        <f>Table7[[#This Row],[Operational cost]]+IF(MOD(Table7[[#This Row],[No]],'Calculation Dashboard'!$C$24)=0,'Capex-Opex'!$E$7*Table7[[#This Row],[Inflation Factor]],0)</f>
        <v>7219.8577010732524</v>
      </c>
      <c r="N22" s="7">
        <f>Table7[[#This Row],[Net saving in Bill]]-Table7[[#This Row],[Cost Each Year]]</f>
        <v>36848.062472557678</v>
      </c>
      <c r="O22" s="17">
        <f>O21+Table7[[#This Row],[Net saving]]</f>
        <v>293217.25949400757</v>
      </c>
      <c r="P22" s="17">
        <f>Table7[[#This Row],[Cumulative saving]]/(1+$AA$10)^Table7[[#This Row],[No]]</f>
        <v>121837.82768339876</v>
      </c>
    </row>
    <row r="23" spans="2:16" x14ac:dyDescent="0.25">
      <c r="B23" s="17">
        <f t="shared" si="4"/>
        <v>19</v>
      </c>
      <c r="C23" s="17">
        <f t="shared" si="5"/>
        <v>2044</v>
      </c>
      <c r="D23" s="17">
        <f>D22-D22*'Calculation Dashboard'!$C$23</f>
        <v>3425.268862570309</v>
      </c>
      <c r="E23" s="17">
        <f>E22+E22*'Calculation Dashboard'!$C$19</f>
        <v>3775.0640950622264</v>
      </c>
      <c r="F23" s="17">
        <f t="shared" si="1"/>
        <v>-349.79523249191743</v>
      </c>
      <c r="G23" s="17">
        <f t="shared" si="0"/>
        <v>314.58867458851887</v>
      </c>
      <c r="H23" s="17">
        <f>H22+H22*'Calculation Dashboard'!$C$17</f>
        <v>1.7535060530771007</v>
      </c>
      <c r="I23" s="17">
        <f t="shared" si="2"/>
        <v>49045.142290163581</v>
      </c>
      <c r="J23" s="17">
        <f t="shared" si="3"/>
        <v>-3518.8333131375184</v>
      </c>
      <c r="K23" s="17">
        <f>Table7[[#This Row],[Bill without Solar]]+Table7[[#This Row],[Bill After Solar]]</f>
        <v>45526.308977026063</v>
      </c>
      <c r="L23" s="17">
        <f>L22+L22*'Calculation Dashboard'!$C$12</f>
        <v>7580.850586126915</v>
      </c>
      <c r="M23" s="7">
        <f>Table7[[#This Row],[Operational cost]]+IF(MOD(Table7[[#This Row],[No]],'Calculation Dashboard'!$C$24)=0,'Capex-Opex'!$E$7*Table7[[#This Row],[Inflation Factor]],0)</f>
        <v>7580.850586126915</v>
      </c>
      <c r="N23" s="7">
        <f>Table7[[#This Row],[Net saving in Bill]]-Table7[[#This Row],[Cost Each Year]]</f>
        <v>37945.458390899148</v>
      </c>
      <c r="O23" s="17">
        <f>O22+Table7[[#This Row],[Net saving]]</f>
        <v>331162.71788490668</v>
      </c>
      <c r="P23" s="17">
        <f>Table7[[#This Row],[Cumulative saving]]/(1+$AA$10)^Table7[[#This Row],[No]]</f>
        <v>131052.33276498286</v>
      </c>
    </row>
    <row r="24" spans="2:16" x14ac:dyDescent="0.25">
      <c r="B24" s="17">
        <f t="shared" si="4"/>
        <v>20</v>
      </c>
      <c r="C24" s="17">
        <f t="shared" si="5"/>
        <v>2045</v>
      </c>
      <c r="D24" s="17">
        <f>D23-D23*'Calculation Dashboard'!$C$23</f>
        <v>3397.8667116697466</v>
      </c>
      <c r="E24" s="17">
        <f>E23+E23*'Calculation Dashboard'!$C$19</f>
        <v>3869.4406974387821</v>
      </c>
      <c r="F24" s="17">
        <f t="shared" si="1"/>
        <v>-471.57398576903552</v>
      </c>
      <c r="G24" s="17">
        <f t="shared" si="0"/>
        <v>322.45339145323186</v>
      </c>
      <c r="H24" s="17">
        <f>H23+H23*'Calculation Dashboard'!$C$17</f>
        <v>1.8061112346694137</v>
      </c>
      <c r="I24" s="17">
        <f t="shared" si="2"/>
        <v>52016.341251390702</v>
      </c>
      <c r="J24" s="17">
        <f t="shared" si="3"/>
        <v>-4973.7285187584248</v>
      </c>
      <c r="K24" s="17">
        <f>Table7[[#This Row],[Bill without Solar]]+Table7[[#This Row],[Bill After Solar]]</f>
        <v>47042.612732632275</v>
      </c>
      <c r="L24" s="17">
        <f>L23+L23*'Calculation Dashboard'!$C$12</f>
        <v>7959.8931154332604</v>
      </c>
      <c r="M24" s="7">
        <f>Table7[[#This Row],[Operational cost]]+IF(MOD(Table7[[#This Row],[No]],'Calculation Dashboard'!$C$24)=0,'Capex-Opex'!$E$7*Table7[[#This Row],[Inflation Factor]],0)</f>
        <v>49500.451512829779</v>
      </c>
      <c r="N24" s="7">
        <f>Table7[[#This Row],[Net saving in Bill]]-Table7[[#This Row],[Cost Each Year]]</f>
        <v>-2457.8387801975041</v>
      </c>
      <c r="O24" s="17">
        <f>O23+Table7[[#This Row],[Net saving]]</f>
        <v>328704.87910470919</v>
      </c>
      <c r="P24" s="17">
        <f>Table7[[#This Row],[Cumulative saving]]/(1+$AA$10)^Table7[[#This Row],[No]]</f>
        <v>123885.41190360603</v>
      </c>
    </row>
    <row r="25" spans="2:16" x14ac:dyDescent="0.25">
      <c r="B25" s="17">
        <f t="shared" si="4"/>
        <v>21</v>
      </c>
      <c r="C25" s="17">
        <f t="shared" si="5"/>
        <v>2046</v>
      </c>
      <c r="D25" s="17">
        <f>D24-D24*'Calculation Dashboard'!$C$23</f>
        <v>3370.6837779763887</v>
      </c>
      <c r="E25" s="17">
        <f>E24+E24*'Calculation Dashboard'!$C$19</f>
        <v>3966.1767148747517</v>
      </c>
      <c r="F25" s="17">
        <f t="shared" si="1"/>
        <v>-595.49293689836304</v>
      </c>
      <c r="G25" s="17">
        <f t="shared" si="0"/>
        <v>330.51472623956266</v>
      </c>
      <c r="H25" s="17">
        <f>H24+H24*'Calculation Dashboard'!$C$17</f>
        <v>1.8602945717094961</v>
      </c>
      <c r="I25" s="17">
        <f t="shared" si="2"/>
        <v>55158.395908062761</v>
      </c>
      <c r="J25" s="17">
        <f t="shared" si="3"/>
        <v>-6538.812092266222</v>
      </c>
      <c r="K25" s="17">
        <f>Table7[[#This Row],[Bill without Solar]]+Table7[[#This Row],[Bill After Solar]]</f>
        <v>48619.583815796541</v>
      </c>
      <c r="L25" s="17">
        <f>L24+L24*'Calculation Dashboard'!$C$12</f>
        <v>8357.8877712049234</v>
      </c>
      <c r="M25" s="7">
        <f>Table7[[#This Row],[Operational cost]]+IF(MOD(Table7[[#This Row],[No]],'Calculation Dashboard'!$C$24)=0,'Capex-Opex'!$E$7*Table7[[#This Row],[Inflation Factor]],0)</f>
        <v>8357.8877712049234</v>
      </c>
      <c r="N25" s="7">
        <f>Table7[[#This Row],[Net saving in Bill]]-Table7[[#This Row],[Cost Each Year]]</f>
        <v>40261.696044591619</v>
      </c>
      <c r="O25" s="17">
        <f>O24+Table7[[#This Row],[Net saving]]</f>
        <v>368966.5751493008</v>
      </c>
      <c r="P25" s="17">
        <f>Table7[[#This Row],[Cumulative saving]]/(1+$AA$10)^Table7[[#This Row],[No]]</f>
        <v>132437.73495756389</v>
      </c>
    </row>
    <row r="26" spans="2:16" x14ac:dyDescent="0.25">
      <c r="B26" s="17">
        <f t="shared" si="4"/>
        <v>22</v>
      </c>
      <c r="C26" s="17">
        <f t="shared" si="5"/>
        <v>2047</v>
      </c>
      <c r="D26" s="17">
        <f>D25-D25*'Calculation Dashboard'!$C$23</f>
        <v>3343.7183077525774</v>
      </c>
      <c r="E26" s="17">
        <f>E25+E25*'Calculation Dashboard'!$C$19</f>
        <v>4065.3311327466204</v>
      </c>
      <c r="F26" s="17">
        <f t="shared" si="1"/>
        <v>-721.61282499404297</v>
      </c>
      <c r="G26" s="17">
        <f t="shared" si="0"/>
        <v>338.77759439555172</v>
      </c>
      <c r="H26" s="17">
        <f>H25+H25*'Calculation Dashboard'!$C$17</f>
        <v>1.9161034088607809</v>
      </c>
      <c r="I26" s="17">
        <f t="shared" si="2"/>
        <v>58480.987805801473</v>
      </c>
      <c r="J26" s="17">
        <f t="shared" si="3"/>
        <v>-8220.8691474686166</v>
      </c>
      <c r="K26" s="17">
        <f>Table7[[#This Row],[Bill without Solar]]+Table7[[#This Row],[Bill After Solar]]</f>
        <v>50260.118658332853</v>
      </c>
      <c r="L26" s="17">
        <f>L25+L25*'Calculation Dashboard'!$C$12</f>
        <v>8775.7821597651691</v>
      </c>
      <c r="M26" s="7">
        <f>Table7[[#This Row],[Operational cost]]+IF(MOD(Table7[[#This Row],[No]],'Calculation Dashboard'!$C$24)=0,'Capex-Opex'!$E$7*Table7[[#This Row],[Inflation Factor]],0)</f>
        <v>8775.7821597651691</v>
      </c>
      <c r="N26" s="7">
        <f>Table7[[#This Row],[Net saving in Bill]]-Table7[[#This Row],[Cost Each Year]]</f>
        <v>41484.336498567682</v>
      </c>
      <c r="O26" s="17">
        <f>O25+Table7[[#This Row],[Net saving]]</f>
        <v>410450.91164786846</v>
      </c>
      <c r="P26" s="17">
        <f>Table7[[#This Row],[Cumulative saving]]/(1+$AA$10)^Table7[[#This Row],[No]]</f>
        <v>140312.59123421027</v>
      </c>
    </row>
    <row r="27" spans="2:16" x14ac:dyDescent="0.25">
      <c r="B27" s="17">
        <f t="shared" si="4"/>
        <v>23</v>
      </c>
      <c r="C27" s="17">
        <f t="shared" si="5"/>
        <v>2048</v>
      </c>
      <c r="D27" s="17">
        <f>D26-D26*'Calculation Dashboard'!$C$23</f>
        <v>3316.9685612905569</v>
      </c>
      <c r="E27" s="17">
        <f>E26+E26*'Calculation Dashboard'!$C$19</f>
        <v>4166.9644110652862</v>
      </c>
      <c r="F27" s="17">
        <f t="shared" si="1"/>
        <v>-849.99584977472932</v>
      </c>
      <c r="G27" s="17">
        <f t="shared" si="0"/>
        <v>347.2470342554405</v>
      </c>
      <c r="H27" s="17">
        <f>H26+H26*'Calculation Dashboard'!$C$17</f>
        <v>1.9735865111266042</v>
      </c>
      <c r="I27" s="17">
        <f t="shared" si="2"/>
        <v>61994.342926615063</v>
      </c>
      <c r="J27" s="17">
        <f t="shared" si="3"/>
        <v>-10027.077321908257</v>
      </c>
      <c r="K27" s="17">
        <f>Table7[[#This Row],[Bill without Solar]]+Table7[[#This Row],[Bill After Solar]]</f>
        <v>51967.265604706809</v>
      </c>
      <c r="L27" s="17">
        <f>L26+L26*'Calculation Dashboard'!$C$12</f>
        <v>9214.5712677534284</v>
      </c>
      <c r="M27" s="7">
        <f>Table7[[#This Row],[Operational cost]]+IF(MOD(Table7[[#This Row],[No]],'Calculation Dashboard'!$C$24)=0,'Capex-Opex'!$E$7*Table7[[#This Row],[Inflation Factor]],0)</f>
        <v>9214.5712677534284</v>
      </c>
      <c r="N27" s="7">
        <f>Table7[[#This Row],[Net saving in Bill]]-Table7[[#This Row],[Cost Each Year]]</f>
        <v>42752.694336953384</v>
      </c>
      <c r="O27" s="17">
        <f>O26+Table7[[#This Row],[Net saving]]</f>
        <v>453203.60598482186</v>
      </c>
      <c r="P27" s="17">
        <f>Table7[[#This Row],[Cumulative saving]]/(1+$AA$10)^Table7[[#This Row],[No]]</f>
        <v>147550.08979228904</v>
      </c>
    </row>
    <row r="28" spans="2:16" x14ac:dyDescent="0.25">
      <c r="B28" s="17">
        <f t="shared" si="4"/>
        <v>24</v>
      </c>
      <c r="C28" s="17">
        <f t="shared" si="5"/>
        <v>2049</v>
      </c>
      <c r="D28" s="17">
        <f>D27-D27*'Calculation Dashboard'!$C$23</f>
        <v>3290.4328128002326</v>
      </c>
      <c r="E28" s="17">
        <f>E27+E27*'Calculation Dashboard'!$C$19</f>
        <v>4271.138521341918</v>
      </c>
      <c r="F28" s="17">
        <f t="shared" si="1"/>
        <v>-980.70570854168545</v>
      </c>
      <c r="G28" s="17">
        <f t="shared" si="0"/>
        <v>355.9282101118265</v>
      </c>
      <c r="H28" s="17">
        <f>H27+H27*'Calculation Dashboard'!$C$17</f>
        <v>2.0327941064604023</v>
      </c>
      <c r="I28" s="17">
        <f t="shared" si="2"/>
        <v>65709.262181933213</v>
      </c>
      <c r="J28" s="17">
        <f t="shared" si="3"/>
        <v>-11965.028978658411</v>
      </c>
      <c r="K28" s="17">
        <f>Table7[[#This Row],[Bill without Solar]]+Table7[[#This Row],[Bill After Solar]]</f>
        <v>53744.233203274802</v>
      </c>
      <c r="L28" s="17">
        <f>L27+L27*'Calculation Dashboard'!$C$12</f>
        <v>9675.2998311410993</v>
      </c>
      <c r="M28" s="7">
        <f>Table7[[#This Row],[Operational cost]]+IF(MOD(Table7[[#This Row],[No]],'Calculation Dashboard'!$C$24)=0,'Capex-Opex'!$E$7*Table7[[#This Row],[Inflation Factor]],0)</f>
        <v>9675.2998311410993</v>
      </c>
      <c r="N28" s="7">
        <f>Table7[[#This Row],[Net saving in Bill]]-Table7[[#This Row],[Cost Each Year]]</f>
        <v>44068.933372133703</v>
      </c>
      <c r="O28" s="17">
        <f>O27+Table7[[#This Row],[Net saving]]</f>
        <v>497272.53935695556</v>
      </c>
      <c r="P28" s="17">
        <f>Table7[[#This Row],[Cumulative saving]]/(1+$AA$10)^Table7[[#This Row],[No]]</f>
        <v>154188.25711935814</v>
      </c>
    </row>
    <row r="29" spans="2:16" x14ac:dyDescent="0.25">
      <c r="B29" s="17">
        <f t="shared" si="4"/>
        <v>25</v>
      </c>
      <c r="C29" s="17">
        <f t="shared" si="5"/>
        <v>2050</v>
      </c>
      <c r="D29" s="17">
        <f>D28-D28*'Calculation Dashboard'!$C$23</f>
        <v>3264.1093502978306</v>
      </c>
      <c r="E29" s="17">
        <f>E28+E28*'Calculation Dashboard'!$C$19</f>
        <v>4377.9169843754662</v>
      </c>
      <c r="F29" s="17">
        <f t="shared" si="1"/>
        <v>-1113.8076340776356</v>
      </c>
      <c r="G29" s="17">
        <f t="shared" si="0"/>
        <v>364.82641536462216</v>
      </c>
      <c r="H29" s="17">
        <f>H28+H28*'Calculation Dashboard'!$C$17</f>
        <v>2.0937779296542143</v>
      </c>
      <c r="I29" s="17">
        <f t="shared" si="2"/>
        <v>69637.153609850124</v>
      </c>
      <c r="J29" s="17">
        <f t="shared" si="3"/>
        <v>-14042.754653054704</v>
      </c>
      <c r="K29" s="17">
        <f>Table7[[#This Row],[Bill without Solar]]+Table7[[#This Row],[Bill After Solar]]</f>
        <v>55594.39895679542</v>
      </c>
      <c r="L29" s="17">
        <f>L28+L28*'Calculation Dashboard'!$C$12</f>
        <v>10159.064822698154</v>
      </c>
      <c r="M29" s="7">
        <f>Table7[[#This Row],[Operational cost]]+IF(MOD(Table7[[#This Row],[No]],'Calculation Dashboard'!$C$24)=0,'Capex-Opex'!$E$7*Table7[[#This Row],[Inflation Factor]],0)</f>
        <v>10159.064822698154</v>
      </c>
      <c r="N29" s="7">
        <f>Table7[[#This Row],[Net saving in Bill]]-Table7[[#This Row],[Cost Each Year]]</f>
        <v>45435.334134097269</v>
      </c>
      <c r="O29" s="17">
        <f>O28+Table7[[#This Row],[Net saving]]</f>
        <v>542707.87349105277</v>
      </c>
      <c r="P29" s="17">
        <f>Table7[[#This Row],[Cumulative saving]]/(1+$AA$10)^Table7[[#This Row],[No]]</f>
        <v>160263.13926410631</v>
      </c>
    </row>
    <row r="30" spans="2:16" x14ac:dyDescent="0.25">
      <c r="B30" s="17">
        <f t="shared" si="4"/>
        <v>26</v>
      </c>
      <c r="C30" s="17">
        <f t="shared" si="5"/>
        <v>2051</v>
      </c>
      <c r="D30" s="17">
        <f>D29-D29*'Calculation Dashboard'!$C$23</f>
        <v>3237.9964754954481</v>
      </c>
      <c r="E30" s="17">
        <f>E29+E29*'Calculation Dashboard'!$C$19</f>
        <v>4487.3649089848532</v>
      </c>
      <c r="F30" s="17">
        <f t="shared" si="1"/>
        <v>-1249.3684334894051</v>
      </c>
      <c r="G30" s="17">
        <f t="shared" si="0"/>
        <v>373.94707574873775</v>
      </c>
      <c r="H30" s="17">
        <f>H29+H29*'Calculation Dashboard'!$C$17</f>
        <v>2.1565912675438406</v>
      </c>
      <c r="I30" s="17">
        <f t="shared" si="2"/>
        <v>73790.066371711626</v>
      </c>
      <c r="J30" s="17">
        <f t="shared" si="3"/>
        <v>-16268.747813931812</v>
      </c>
      <c r="K30" s="17">
        <f>Table7[[#This Row],[Bill without Solar]]+Table7[[#This Row],[Bill After Solar]]</f>
        <v>57521.318557779814</v>
      </c>
      <c r="L30" s="17">
        <f>L29+L29*'Calculation Dashboard'!$C$12</f>
        <v>10667.018063833062</v>
      </c>
      <c r="M30" s="7">
        <f>Table7[[#This Row],[Operational cost]]+IF(MOD(Table7[[#This Row],[No]],'Calculation Dashboard'!$C$24)=0,'Capex-Opex'!$E$7*Table7[[#This Row],[Inflation Factor]],0)</f>
        <v>10667.018063833062</v>
      </c>
      <c r="N30" s="7">
        <f>Table7[[#This Row],[Net saving in Bill]]-Table7[[#This Row],[Cost Each Year]]</f>
        <v>46854.30049394675</v>
      </c>
      <c r="O30" s="17">
        <f>O29+Table7[[#This Row],[Net saving]]</f>
        <v>589562.17398499954</v>
      </c>
      <c r="P30" s="17">
        <f>Table7[[#This Row],[Cumulative saving]]/(1+$AA$10)^Table7[[#This Row],[No]]</f>
        <v>165808.89911040821</v>
      </c>
    </row>
    <row r="31" spans="2:16" x14ac:dyDescent="0.25">
      <c r="B31" s="17">
        <f t="shared" si="4"/>
        <v>27</v>
      </c>
      <c r="C31" s="17">
        <f t="shared" si="5"/>
        <v>2052</v>
      </c>
      <c r="D31" s="17">
        <f>D30-D30*'Calculation Dashboard'!$C$23</f>
        <v>3212.0925036914846</v>
      </c>
      <c r="E31" s="17">
        <f>E30+E30*'Calculation Dashboard'!$C$19</f>
        <v>4599.5490317094745</v>
      </c>
      <c r="F31" s="17">
        <f t="shared" si="1"/>
        <v>-1387.45652801799</v>
      </c>
      <c r="G31" s="17">
        <f t="shared" si="0"/>
        <v>383.29575264245619</v>
      </c>
      <c r="H31" s="17">
        <f>H30+H30*'Calculation Dashboard'!$C$17</f>
        <v>2.221289005570156</v>
      </c>
      <c r="I31" s="17">
        <f t="shared" si="2"/>
        <v>78180.726648490308</v>
      </c>
      <c r="J31" s="17">
        <f t="shared" si="3"/>
        <v>-18651.991012816725</v>
      </c>
      <c r="K31" s="17">
        <f>Table7[[#This Row],[Bill without Solar]]+Table7[[#This Row],[Bill After Solar]]</f>
        <v>59528.735635673584</v>
      </c>
      <c r="L31" s="17">
        <f>L30+L30*'Calculation Dashboard'!$C$12</f>
        <v>11200.368967024715</v>
      </c>
      <c r="M31" s="7">
        <f>Table7[[#This Row],[Operational cost]]+IF(MOD(Table7[[#This Row],[No]],'Calculation Dashboard'!$C$24)=0,'Capex-Opex'!$E$7*Table7[[#This Row],[Inflation Factor]],0)</f>
        <v>11200.368967024715</v>
      </c>
      <c r="N31" s="7">
        <f>Table7[[#This Row],[Net saving in Bill]]-Table7[[#This Row],[Cost Each Year]]</f>
        <v>48328.366668648872</v>
      </c>
      <c r="O31" s="17">
        <f>O30+Table7[[#This Row],[Net saving]]</f>
        <v>637890.54065364844</v>
      </c>
      <c r="P31" s="17">
        <f>Table7[[#This Row],[Cumulative saving]]/(1+$AA$10)^Table7[[#This Row],[No]]</f>
        <v>170857.90902023253</v>
      </c>
    </row>
    <row r="32" spans="2:16" x14ac:dyDescent="0.25">
      <c r="B32" s="17">
        <f t="shared" si="4"/>
        <v>28</v>
      </c>
      <c r="C32" s="17">
        <f t="shared" si="5"/>
        <v>2053</v>
      </c>
      <c r="D32" s="17">
        <f>D31-D31*'Calculation Dashboard'!$C$23</f>
        <v>3186.3957636619525</v>
      </c>
      <c r="E32" s="17">
        <f>E31+E31*'Calculation Dashboard'!$C$19</f>
        <v>4714.5377575022112</v>
      </c>
      <c r="F32" s="17">
        <f t="shared" si="1"/>
        <v>-1528.1419938402587</v>
      </c>
      <c r="G32" s="17">
        <f t="shared" si="0"/>
        <v>392.87814645851762</v>
      </c>
      <c r="H32" s="17">
        <f>H31+H31*'Calculation Dashboard'!$C$17</f>
        <v>2.2879276757372606</v>
      </c>
      <c r="I32" s="17">
        <f t="shared" si="2"/>
        <v>82822.575542996041</v>
      </c>
      <c r="J32" s="17">
        <f t="shared" si="3"/>
        <v>-21201.983498628702</v>
      </c>
      <c r="K32" s="17">
        <f>Table7[[#This Row],[Bill without Solar]]+Table7[[#This Row],[Bill After Solar]]</f>
        <v>61620.592044367339</v>
      </c>
      <c r="L32" s="17">
        <f>L31+L31*'Calculation Dashboard'!$C$12</f>
        <v>11760.38741537595</v>
      </c>
      <c r="M32" s="7">
        <f>Table7[[#This Row],[Operational cost]]+IF(MOD(Table7[[#This Row],[No]],'Calculation Dashboard'!$C$24)=0,'Capex-Opex'!$E$7*Table7[[#This Row],[Inflation Factor]],0)</f>
        <v>11760.38741537595</v>
      </c>
      <c r="N32" s="7">
        <f>Table7[[#This Row],[Net saving in Bill]]-Table7[[#This Row],[Cost Each Year]]</f>
        <v>49860.204628991385</v>
      </c>
      <c r="O32" s="17">
        <f>O31+Table7[[#This Row],[Net saving]]</f>
        <v>687750.74528263987</v>
      </c>
      <c r="P32" s="17">
        <f>Table7[[#This Row],[Cumulative saving]]/(1+$AA$10)^Table7[[#This Row],[No]]</f>
        <v>175440.83906201503</v>
      </c>
    </row>
    <row r="33" spans="2:16" x14ac:dyDescent="0.25">
      <c r="B33" s="17">
        <f t="shared" si="4"/>
        <v>29</v>
      </c>
      <c r="C33" s="17">
        <f t="shared" si="5"/>
        <v>2054</v>
      </c>
      <c r="D33" s="17">
        <f>D32-D32*'Calculation Dashboard'!$C$23</f>
        <v>3160.9045975526569</v>
      </c>
      <c r="E33" s="17">
        <f>E32+E32*'Calculation Dashboard'!$C$19</f>
        <v>4832.4012014397667</v>
      </c>
      <c r="F33" s="17">
        <f t="shared" si="1"/>
        <v>-1671.4966038871098</v>
      </c>
      <c r="G33" s="17">
        <f t="shared" si="0"/>
        <v>402.70010011998056</v>
      </c>
      <c r="H33" s="17">
        <f>H32+H32*'Calculation Dashboard'!$C$17</f>
        <v>2.3565655060093786</v>
      </c>
      <c r="I33" s="17">
        <f t="shared" si="2"/>
        <v>87729.809099886072</v>
      </c>
      <c r="J33" s="17">
        <f t="shared" si="3"/>
        <v>-23928.7703797635</v>
      </c>
      <c r="K33" s="17">
        <f>Table7[[#This Row],[Bill without Solar]]+Table7[[#This Row],[Bill After Solar]]</f>
        <v>63801.038720122568</v>
      </c>
      <c r="L33" s="17">
        <f>L32+L32*'Calculation Dashboard'!$C$12</f>
        <v>12348.406786144747</v>
      </c>
      <c r="M33" s="7">
        <f>Table7[[#This Row],[Operational cost]]+IF(MOD(Table7[[#This Row],[No]],'Calculation Dashboard'!$C$24)=0,'Capex-Opex'!$E$7*Table7[[#This Row],[Inflation Factor]],0)</f>
        <v>12348.406786144747</v>
      </c>
      <c r="N33" s="7">
        <f>Table7[[#This Row],[Net saving in Bill]]-Table7[[#This Row],[Cost Each Year]]</f>
        <v>51452.63193397782</v>
      </c>
      <c r="O33" s="17">
        <f>O32+Table7[[#This Row],[Net saving]]</f>
        <v>739203.37721661769</v>
      </c>
      <c r="P33" s="17">
        <f>Table7[[#This Row],[Cumulative saving]]/(1+$AA$10)^Table7[[#This Row],[No]]</f>
        <v>179586.74103108357</v>
      </c>
    </row>
    <row r="34" spans="2:16" x14ac:dyDescent="0.25">
      <c r="B34" s="17">
        <f t="shared" si="4"/>
        <v>30</v>
      </c>
      <c r="C34" s="17">
        <f t="shared" si="5"/>
        <v>2055</v>
      </c>
      <c r="D34" s="17">
        <f>D33-D33*'Calculation Dashboard'!$C$23</f>
        <v>3135.6173607722358</v>
      </c>
      <c r="E34" s="17">
        <f>E33+E33*'Calculation Dashboard'!$C$19</f>
        <v>4953.2112314757605</v>
      </c>
      <c r="F34" s="17">
        <f t="shared" si="1"/>
        <v>-1817.5938707035248</v>
      </c>
      <c r="G34" s="17">
        <f t="shared" si="0"/>
        <v>412.76760262298006</v>
      </c>
      <c r="H34" s="17">
        <f>H33+H33*'Calculation Dashboard'!$C$17</f>
        <v>2.42726247118966</v>
      </c>
      <c r="I34" s="17">
        <f t="shared" si="2"/>
        <v>92917.420561683743</v>
      </c>
      <c r="J34" s="17">
        <f t="shared" si="3"/>
        <v>-26842.973420008348</v>
      </c>
      <c r="K34" s="17">
        <f>Table7[[#This Row],[Bill without Solar]]+Table7[[#This Row],[Bill After Solar]]</f>
        <v>66074.447141675395</v>
      </c>
      <c r="L34" s="17">
        <f>L33+L33*'Calculation Dashboard'!$C$12</f>
        <v>12965.827125451984</v>
      </c>
      <c r="M34" s="7">
        <f>3000*Table7[[#This Row],[Inflation Factor]]</f>
        <v>7281.7874135689799</v>
      </c>
      <c r="N34" s="7">
        <f>Table7[[#This Row],[Net saving in Bill]]-Table7[[#This Row],[Cost Each Year]]</f>
        <v>58792.659728106417</v>
      </c>
      <c r="O34" s="17">
        <f>O33+Table7[[#This Row],[Net saving]]</f>
        <v>797996.03694472415</v>
      </c>
      <c r="P34" s="17">
        <f>Table7[[#This Row],[Cumulative saving]]/(1+$AA$10)^Table7[[#This Row],[No]]</f>
        <v>184638.28706575619</v>
      </c>
    </row>
    <row r="35" spans="2:16" x14ac:dyDescent="0.25">
      <c r="N35" s="34"/>
      <c r="O35" s="34"/>
    </row>
  </sheetData>
  <scenarios current="0" show="0">
    <scenario name="Solar Production " locked="1" count="1" user="ASUS" comment="Created by ASUS on 6/27/2025">
      <inputCells r="D4" val="3992"/>
    </scenario>
  </scenarios>
  <pageMargins left="0.7" right="0.7" top="0.75" bottom="0.75" header="0.3" footer="0.3"/>
  <pageSetup orientation="portrait" r:id="rId1"/>
  <ignoredErrors>
    <ignoredError sqref="E6" calculatedColumn="1"/>
  </ignoredError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8D75-D698-4FA0-B05F-8A101AF21739}">
  <dimension ref="B3:M24"/>
  <sheetViews>
    <sheetView showGridLines="0" tabSelected="1" zoomScale="115" zoomScaleNormal="115" workbookViewId="0">
      <selection activeCell="C18" sqref="C18"/>
    </sheetView>
  </sheetViews>
  <sheetFormatPr defaultRowHeight="15" x14ac:dyDescent="0.25"/>
  <cols>
    <col min="1" max="1" width="20.42578125" bestFit="1" customWidth="1"/>
    <col min="2" max="2" width="26" bestFit="1" customWidth="1"/>
    <col min="3" max="3" width="12" customWidth="1"/>
    <col min="4" max="4" width="20.42578125" bestFit="1" customWidth="1"/>
    <col min="5" max="5" width="26" bestFit="1" customWidth="1"/>
    <col min="6" max="6" width="13.85546875" customWidth="1"/>
    <col min="8" max="8" width="14.5703125" bestFit="1" customWidth="1"/>
    <col min="9" max="9" width="11.7109375" bestFit="1" customWidth="1"/>
    <col min="12" max="12" width="20.7109375" bestFit="1" customWidth="1"/>
  </cols>
  <sheetData>
    <row r="3" spans="2:13" ht="23.25" x14ac:dyDescent="0.35">
      <c r="B3" s="39" t="s">
        <v>155</v>
      </c>
      <c r="D3" s="18"/>
      <c r="E3" s="18"/>
      <c r="F3" s="18"/>
      <c r="G3" s="18"/>
      <c r="H3" s="18"/>
      <c r="L3" s="46" t="s">
        <v>136</v>
      </c>
    </row>
    <row r="4" spans="2:13" ht="15.75" x14ac:dyDescent="0.25">
      <c r="B4" s="42"/>
      <c r="D4" s="18"/>
      <c r="E4" s="18"/>
      <c r="F4" s="18"/>
      <c r="G4" s="18"/>
      <c r="H4" s="18"/>
    </row>
    <row r="5" spans="2:13" ht="23.25" x14ac:dyDescent="0.35">
      <c r="D5" s="18"/>
      <c r="G5" s="18"/>
      <c r="H5" s="18"/>
      <c r="L5" s="48">
        <f>'Energy - Money Matrics'!S6</f>
        <v>0.15049672876653175</v>
      </c>
    </row>
    <row r="6" spans="2:13" x14ac:dyDescent="0.25">
      <c r="D6" s="18"/>
      <c r="G6" s="18"/>
      <c r="H6" s="18"/>
      <c r="I6" s="36"/>
    </row>
    <row r="7" spans="2:13" s="17" customFormat="1" x14ac:dyDescent="0.25">
      <c r="B7" s="18" t="s">
        <v>138</v>
      </c>
      <c r="C7" s="18"/>
      <c r="G7" s="18"/>
      <c r="H7" s="18"/>
      <c r="I7" s="7"/>
    </row>
    <row r="8" spans="2:13" ht="23.25" x14ac:dyDescent="0.35">
      <c r="B8" s="18" t="s">
        <v>139</v>
      </c>
      <c r="C8" s="18">
        <f>SUM('Capex-Opex'!E5:E22)</f>
        <v>277085</v>
      </c>
      <c r="G8" s="18"/>
      <c r="H8" s="18"/>
      <c r="L8" s="45" t="s">
        <v>157</v>
      </c>
    </row>
    <row r="9" spans="2:13" x14ac:dyDescent="0.25">
      <c r="B9" s="18" t="s">
        <v>140</v>
      </c>
      <c r="C9" s="18">
        <v>78000</v>
      </c>
      <c r="G9" s="18"/>
      <c r="H9" s="18"/>
    </row>
    <row r="10" spans="2:13" ht="23.25" x14ac:dyDescent="0.35">
      <c r="B10" s="18" t="s">
        <v>141</v>
      </c>
      <c r="C10" s="18">
        <v>45000</v>
      </c>
      <c r="G10" s="18"/>
      <c r="H10" s="18"/>
      <c r="L10" s="49">
        <f>'Energy - Money Matrics'!S7</f>
        <v>7.2445060996867845</v>
      </c>
      <c r="M10" s="43" t="s">
        <v>161</v>
      </c>
    </row>
    <row r="11" spans="2:13" s="17" customFormat="1" x14ac:dyDescent="0.25">
      <c r="B11" s="18" t="s">
        <v>142</v>
      </c>
      <c r="C11" s="18">
        <v>3000</v>
      </c>
      <c r="G11" s="18"/>
      <c r="H11" s="18"/>
    </row>
    <row r="12" spans="2:13" x14ac:dyDescent="0.25">
      <c r="B12" s="18" t="s">
        <v>147</v>
      </c>
      <c r="C12" s="37">
        <v>0.05</v>
      </c>
      <c r="G12" s="18"/>
      <c r="H12" s="18"/>
    </row>
    <row r="13" spans="2:13" x14ac:dyDescent="0.25">
      <c r="B13" s="18" t="s">
        <v>143</v>
      </c>
      <c r="C13" s="18">
        <v>5.99</v>
      </c>
      <c r="G13" s="18"/>
      <c r="H13" s="18"/>
    </row>
    <row r="14" spans="2:13" x14ac:dyDescent="0.25">
      <c r="B14" s="18" t="s">
        <v>144</v>
      </c>
      <c r="C14" s="18">
        <v>7.29</v>
      </c>
      <c r="G14" s="18"/>
      <c r="H14" s="18"/>
    </row>
    <row r="15" spans="2:13" ht="23.25" x14ac:dyDescent="0.35">
      <c r="B15" s="18" t="s">
        <v>145</v>
      </c>
      <c r="C15" s="18">
        <v>8.19</v>
      </c>
      <c r="G15" s="18"/>
      <c r="H15" s="18"/>
      <c r="L15" s="46" t="s">
        <v>154</v>
      </c>
    </row>
    <row r="16" spans="2:13" x14ac:dyDescent="0.25">
      <c r="B16" s="18" t="s">
        <v>148</v>
      </c>
      <c r="C16" s="18">
        <v>70</v>
      </c>
      <c r="G16" s="18"/>
      <c r="H16" s="18"/>
    </row>
    <row r="17" spans="2:12" ht="21" x14ac:dyDescent="0.35">
      <c r="B17" s="18" t="s">
        <v>146</v>
      </c>
      <c r="C17" s="37">
        <v>0.03</v>
      </c>
      <c r="G17" s="18"/>
      <c r="H17" s="18"/>
      <c r="L17" s="44">
        <f>'Energy - Money Matrics'!S5</f>
        <v>127862.79853582731</v>
      </c>
    </row>
    <row r="18" spans="2:12" x14ac:dyDescent="0.25">
      <c r="B18" s="18" t="s">
        <v>149</v>
      </c>
      <c r="C18" s="18">
        <v>1598</v>
      </c>
      <c r="G18" s="18"/>
      <c r="H18" s="18"/>
    </row>
    <row r="19" spans="2:12" x14ac:dyDescent="0.25">
      <c r="B19" s="18" t="s">
        <v>150</v>
      </c>
      <c r="C19" s="37">
        <v>2.5000000000000001E-2</v>
      </c>
      <c r="G19" s="18"/>
      <c r="H19" s="18"/>
    </row>
    <row r="20" spans="2:12" x14ac:dyDescent="0.25">
      <c r="B20" s="18" t="s">
        <v>151</v>
      </c>
      <c r="C20" s="18">
        <f>C18/12</f>
        <v>133.16666666666666</v>
      </c>
      <c r="G20" s="18"/>
      <c r="H20" s="18"/>
    </row>
    <row r="21" spans="2:12" ht="23.25" x14ac:dyDescent="0.35">
      <c r="B21" s="18" t="s">
        <v>156</v>
      </c>
      <c r="C21" s="38">
        <v>1330</v>
      </c>
      <c r="G21" s="18"/>
      <c r="H21" s="18"/>
      <c r="L21" s="46" t="s">
        <v>162</v>
      </c>
    </row>
    <row r="22" spans="2:12" x14ac:dyDescent="0.25">
      <c r="B22" s="18" t="s">
        <v>163</v>
      </c>
      <c r="C22">
        <v>3</v>
      </c>
      <c r="E22" s="18"/>
      <c r="F22" s="18"/>
      <c r="G22" s="18"/>
      <c r="H22" s="18"/>
    </row>
    <row r="23" spans="2:12" ht="21" x14ac:dyDescent="0.35">
      <c r="B23" s="18" t="s">
        <v>152</v>
      </c>
      <c r="C23" s="37">
        <v>8.0000000000000002E-3</v>
      </c>
      <c r="L23" s="47">
        <f>'Energy - Money Matrics'!S4</f>
        <v>797996.03694472415</v>
      </c>
    </row>
    <row r="24" spans="2:12" x14ac:dyDescent="0.25">
      <c r="B24" s="18" t="s">
        <v>153</v>
      </c>
      <c r="C24" s="38"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Consumption History</vt:lpstr>
      <vt:lpstr>PvSyst Report</vt:lpstr>
      <vt:lpstr>Solar Power matrics from report</vt:lpstr>
      <vt:lpstr>Capex-Opex</vt:lpstr>
      <vt:lpstr>Energy - Money Matrics</vt:lpstr>
      <vt:lpstr>Calculation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2025-06-20T11:57:56Z</dcterms:created>
  <dcterms:modified xsi:type="dcterms:W3CDTF">2025-06-29T06:24:46Z</dcterms:modified>
</cp:coreProperties>
</file>