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43" documentId="8_{964C585B-190F-46EC-9553-F8D486DF59FA}" xr6:coauthVersionLast="47" xr6:coauthVersionMax="47" xr10:uidLastSave="{3D4CBCF9-ECDC-42EA-89BF-4CAE3F9D8CC1}"/>
  <bookViews>
    <workbookView xWindow="-12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2" i="1" l="1"/>
  <c r="N138" i="1"/>
  <c r="O138" i="1" s="1"/>
  <c r="N139" i="1"/>
  <c r="O139" i="1" s="1"/>
  <c r="N140" i="1"/>
  <c r="O140" i="1" s="1"/>
  <c r="N141" i="1"/>
  <c r="O141" i="1" s="1"/>
  <c r="N142" i="1"/>
  <c r="N143" i="1"/>
  <c r="N144" i="1"/>
  <c r="N145" i="1"/>
  <c r="N146" i="1"/>
  <c r="N147" i="1"/>
  <c r="N148" i="1"/>
  <c r="N149" i="1"/>
  <c r="N150" i="1"/>
  <c r="N151" i="1"/>
  <c r="N152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J138" i="1"/>
  <c r="J142" i="1"/>
  <c r="J143" i="1"/>
  <c r="J148" i="1"/>
  <c r="J149" i="1"/>
  <c r="J150" i="1"/>
  <c r="J151" i="1"/>
  <c r="J152" i="1"/>
  <c r="J153" i="1"/>
  <c r="G153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F153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C138" i="1"/>
  <c r="C139" i="1"/>
  <c r="C140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O144" i="1"/>
  <c r="O145" i="1"/>
  <c r="O146" i="1"/>
  <c r="O147" i="1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D18" i="2" a="1"/>
  <c r="D18" i="2" s="1"/>
  <c r="B18" i="2" a="1"/>
  <c r="B18" i="2" s="1"/>
  <c r="B3" i="3" a="1"/>
  <c r="B3" i="3" s="1"/>
  <c r="D16" i="2" a="1"/>
  <c r="D16" i="2" s="1"/>
  <c r="D13" i="2" a="1"/>
  <c r="D13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40" i="1"/>
  <c r="J40" i="1" s="1"/>
  <c r="C40" i="1"/>
  <c r="F39" i="1"/>
  <c r="J39" i="1" s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O149" i="1" l="1"/>
  <c r="O150" i="1"/>
  <c r="O148" i="1"/>
  <c r="D15" i="2"/>
  <c r="D17" i="2" s="1"/>
  <c r="C24" i="2" a="1"/>
  <c r="C24" i="2" s="1"/>
  <c r="B15" i="2"/>
  <c r="B17" i="2" s="1"/>
  <c r="G39" i="1"/>
  <c r="K39" i="1" s="1"/>
  <c r="N39" i="1" s="1"/>
  <c r="O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20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21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9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118" i="1" l="1"/>
  <c r="K103" i="1"/>
  <c r="K120" i="1"/>
  <c r="N120" i="1" s="1"/>
  <c r="O120" i="1" s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N40" i="1"/>
  <c r="O40" i="1" s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1" i="1" l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<sst xmlns="http://schemas.openxmlformats.org/spreadsheetml/2006/main" count="2801" uniqueCount="628">
  <si>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</si>
  <si>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</si>
  <si>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</si>
  <si>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</si>
  <si>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</si>
  <si>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</si>
  <si>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</si>
  <si>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</si>
  <si>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</si>
  <si>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</si>
  <si>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</si>
  <si>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</si>
  <si>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</si>
  <si>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</si>
  <si>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</si>
  <si>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</si>
  <si>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</si>
  <si>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</si>
  <si>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</si>
  <si>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</si>
  <si>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</si>
  <si>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</si>
  <si>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</si>
  <si>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</si>
  <si>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</si>
  <si>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</si>
  <si>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</si>
  <si>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</si>
  <si>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</si>
  <si>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</si>
  <si>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</si>
  <si>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</si>
  <si>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</si>
  <si>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</si>
  <si>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</si>
  <si>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</si>
  <si>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</si>
  <si>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</si>
  <si>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</si>
  <si>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</si>
  <si>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</si>
  <si>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</si>
  <si>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</si>
  <si>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</si>
  <si>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</si>
  <si>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</si>
  <si>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</si>
  <si>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</si>
  <si>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</si>
  <si>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</si>
  <si>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</si>
  <si>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</si>
  <si>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</si>
  <si>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</si>
  <si>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</si>
  <si>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</si>
  <si>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</si>
  <si>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</si>
  <si>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</si>
  <si>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</si>
  <si>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</si>
  <si>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</si>
  <si>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</si>
  <si>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</si>
  <si>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</si>
  <si>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</si>
  <si>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</si>
  <si>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</si>
  <si>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</si>
  <si>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</si>
  <si>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</si>
  <si>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</si>
  <si>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</si>
  <si>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</si>
  <si>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</si>
  <si>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</si>
  <si>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</si>
  <si>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</si>
  <si>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</si>
  <si>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</si>
  <si>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</si>
  <si>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</si>
  <si>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</si>
  <si>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</si>
  <si>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</si>
  <si>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</si>
  <si>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</si>
  <si>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</si>
  <si>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</si>
  <si>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</si>
  <si>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</si>
  <si>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</si>
  <si>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</si>
  <si>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</si>
  <si>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</si>
  <si>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</si>
  <si>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</si>
  <si>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</si>
  <si>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</si>
  <si>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</si>
  <si>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</si>
  <si>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</si>
  <si>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</si>
  <si>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</si>
  <si>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</si>
  <si>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</si>
  <si>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</si>
  <si>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</si>
  <si>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</si>
  <si>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</si>
  <si>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</si>
  <si>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</si>
  <si>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</si>
  <si>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</si>
  <si>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</si>
  <si>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</si>
  <si>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</si>
  <si>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</si>
  <si>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</si>
  <si>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</si>
  <si>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</si>
  <si>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</si>
  <si>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</si>
  <si>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</si>
  <si>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</si>
  <si>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</si>
  <si>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</si>
  <si>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</si>
  <si>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</si>
  <si>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</si>
  <si>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</si>
  <si>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</si>
  <si>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</si>
  <si>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</si>
  <si>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</si>
  <si>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</si>
  <si>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</si>
  <si>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</si>
  <si>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</si>
  <si>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</si>
  <si>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</si>
  <si>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</si>
  <si>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</si>
  <si>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</si>
  <si>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</si>
  <si>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</si>
  <si>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</si>
  <si>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</si>
  <si>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</si>
  <si>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</si>
  <si>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</si>
  <si>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</si>
  <si>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</si>
  <si>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</si>
  <si>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</si>
  <si>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</si>
  <si>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</si>
  <si>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</si>
  <si>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</si>
  <si>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</si>
  <si>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</si>
  <si>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</si>
  <si>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</si>
  <si>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</si>
  <si>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</si>
  <si>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</si>
  <si>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</si>
  <si>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</si>
  <si>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</si>
  <si>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</si>
  <si>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</si>
  <si>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</si>
  <si>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</si>
  <si>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</si>
  <si>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</si>
  <si>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</si>
  <si>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</si>
  <si>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</si>
  <si>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</si>
  <si>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</si>
  <si>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</si>
  <si>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</si>
  <si>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</si>
  <si>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</si>
  <si>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</si>
  <si>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</si>
  <si>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</si>
  <si>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</si>
  <si>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</si>
  <si>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</si>
  <si>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</si>
  <si>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</si>
  <si>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</si>
  <si>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</si>
  <si>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</si>
  <si>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</si>
  <si>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</si>
  <si>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</si>
  <si>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</si>
  <si>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</si>
  <si>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</si>
  <si>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</si>
  <si>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</si>
  <si>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</si>
  <si>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</si>
  <si>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</si>
  <si>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</si>
  <si>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</si>
  <si>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</si>
  <si>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</si>
  <si>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</si>
  <si>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</si>
  <si>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</si>
  <si>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</si>
  <si>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</si>
  <si>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</si>
  <si>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</si>
  <si>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</si>
  <si>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</si>
  <si>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</si>
  <si>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</si>
  <si>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</si>
  <si>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</si>
  <si>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</si>
  <si>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</si>
  <si>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</si>
  <si>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</si>
  <si>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</si>
  <si>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</si>
  <si>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</si>
  <si>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</si>
  <si>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</si>
  <si>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</si>
  <si>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</si>
  <si>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</si>
  <si>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</si>
  <si>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</si>
  <si>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</si>
  <si>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</si>
  <si>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</si>
  <si>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</si>
  <si>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</si>
  <si>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</si>
  <si>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</si>
  <si>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</si>
  <si>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</si>
  <si>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</si>
  <si>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</si>
  <si>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</si>
  <si>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</si>
  <si>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</si>
  <si>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</si>
  <si>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</si>
  <si>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</si>
  <si>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</si>
  <si>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</si>
  <si>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</si>
  <si>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</si>
  <si>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</si>
  <si>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</si>
  <si>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</si>
  <si>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</si>
  <si>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</si>
  <si>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</si>
  <si>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</si>
  <si>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</si>
  <si>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</si>
  <si>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</si>
  <si>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</si>
  <si>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</si>
  <si>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</si>
  <si>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</si>
  <si>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</si>
  <si>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</si>
  <si>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</si>
  <si>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</si>
  <si>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</si>
  <si>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</si>
  <si>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</si>
  <si>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</si>
  <si>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</si>
  <si>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</si>
  <si>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</si>
  <si>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</si>
  <si>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</si>
  <si>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</si>
  <si>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</si>
  <si>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</si>
  <si>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</si>
  <si>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</si>
  <si>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</si>
  <si>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</si>
  <si>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</si>
  <si>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</si>
  <si>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</si>
  <si>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</si>
  <si>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</si>
  <si>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</si>
  <si>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</si>
  <si>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</si>
  <si>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</si>
  <si>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</si>
  <si>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</si>
  <si>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</si>
  <si>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</si>
  <si>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</si>
  <si>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</si>
  <si>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</si>
  <si>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</si>
  <si>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</si>
  <si>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</si>
  <si>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</si>
  <si>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</si>
  <si>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</si>
  <si>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</si>
  <si>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</si>
  <si>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</si>
  <si>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</si>
  <si>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</si>
  <si>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</si>
  <si>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</si>
  <si>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</si>
  <si>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</si>
  <si>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</si>
  <si>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</si>
  <si>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</si>
  <si>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</si>
  <si>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</si>
  <si>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</si>
  <si>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</si>
  <si>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</si>
  <si>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</si>
  <si>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</si>
  <si>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</si>
  <si>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</si>
  <si>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</si>
  <si>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</si>
  <si>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</si>
  <si>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</si>
  <si>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</si>
  <si>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</si>
  <si>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</si>
  <si>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</si>
  <si>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</si>
  <si>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</si>
  <si>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</si>
  <si>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</si>
  <si>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</si>
  <si>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</si>
  <si>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</si>
  <si>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</si>
  <si>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</si>
  <si>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</si>
  <si>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</si>
  <si>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</si>
  <si>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</si>
  <si>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</si>
  <si>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</si>
  <si>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</si>
  <si>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</si>
  <si>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</si>
  <si>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</si>
  <si>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</si>
  <si>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</si>
  <si>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</si>
  <si>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</si>
  <si>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</si>
  <si>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</si>
  <si>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</si>
  <si>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</si>
  <si>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</si>
  <si>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</si>
  <si>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</si>
  <si>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</si>
  <si>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</si>
  <si>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</si>
  <si>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</si>
  <si>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</si>
  <si>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</si>
  <si>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</si>
  <si>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</si>
  <si>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</si>
  <si>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</si>
  <si>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</si>
  <si>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</si>
  <si>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</si>
  <si>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</si>
  <si>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</si>
  <si>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</si>
  <si>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</si>
  <si>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</si>
  <si>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</si>
  <si>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</si>
  <si>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</si>
  <si>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</si>
  <si>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</si>
  <si>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</si>
  <si>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</si>
  <si>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</si>
  <si>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</si>
  <si>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</si>
  <si>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</si>
  <si>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</si>
  <si>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</si>
  <si>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</si>
  <si>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</si>
  <si>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</si>
  <si>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</si>
  <si>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</si>
  <si>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</si>
  <si>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</si>
  <si>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</si>
  <si>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</si>
  <si>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</si>
  <si>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</si>
  <si>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</si>
  <si>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</si>
  <si>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</si>
  <si>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</si>
  <si>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</si>
  <si>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</si>
  <si>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</si>
  <si>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</si>
  <si>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</si>
  <si>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</si>
  <si>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</si>
  <si>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</si>
  <si>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</si>
  <si>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</si>
  <si>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</si>
  <si>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</si>
  <si>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</si>
  <si>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</si>
  <si>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</si>
  <si>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</si>
  <si>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</si>
  <si>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</si>
  <si>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</si>
  <si>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</si>
  <si>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</si>
  <si>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</si>
  <si>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</si>
  <si>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</si>
  <si>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</si>
  <si>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</si>
  <si>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</si>
  <si>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</si>
  <si>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</si>
  <si>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</si>
  <si>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</si>
  <si>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</si>
  <si>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</si>
  <si>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</si>
  <si>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</si>
  <si>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</si>
  <si>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</si>
  <si>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</si>
  <si>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</si>
  <si>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</si>
  <si>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</si>
  <si>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</si>
  <si>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</si>
  <si>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</si>
  <si>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</si>
  <si>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</si>
  <si>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</si>
  <si>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</si>
  <si>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</si>
  <si>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</si>
  <si>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</si>
  <si>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</si>
  <si>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</si>
  <si>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</si>
  <si>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</si>
  <si>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</si>
  <si>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</si>
  <si>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</si>
  <si>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</si>
  <si>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</si>
  <si>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</si>
  <si>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</si>
  <si>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</si>
  <si>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</si>
  <si>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</si>
  <si>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</si>
  <si>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</si>
  <si>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</si>
  <si>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</si>
  <si>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</si>
  <si>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</si>
  <si>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</si>
  <si>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</si>
  <si>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</si>
  <si>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</si>
  <si>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</si>
  <si>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</si>
  <si>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</si>
  <si>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</si>
  <si>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</si>
  <si>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</si>
  <si>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</si>
  <si>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</si>
  <si>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</si>
  <si>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</si>
  <si>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</si>
  <si>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</si>
  <si>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</si>
  <si>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</si>
  <si>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</si>
  <si>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</si>
  <si>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</si>
  <si>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</si>
  <si>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</si>
  <si>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</si>
  <si>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</si>
  <si>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</si>
  <si>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</si>
  <si>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</si>
  <si>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</si>
  <si>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</si>
  <si>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</si>
  <si>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</si>
  <si>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</si>
  <si>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</si>
  <si>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</si>
  <si>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</si>
  <si>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</si>
  <si>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</si>
  <si>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</si>
  <si>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</si>
  <si>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</si>
  <si>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</si>
  <si>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</si>
  <si>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</si>
  <si>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</si>
  <si>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</si>
  <si>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</si>
  <si>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</si>
  <si>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</si>
  <si>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</si>
  <si>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</si>
  <si>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</si>
  <si>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</si>
  <si>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</si>
  <si>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</si>
  <si>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</si>
  <si>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</si>
  <si>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</si>
  <si>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</si>
  <si>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</si>
  <si>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</si>
  <si>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</si>
  <si>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</si>
  <si>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</si>
  <si>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</si>
  <si>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</si>
  <si>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</si>
  <si>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</si>
  <si>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</si>
  <si>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</si>
  <si>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</si>
  <si>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</si>
  <si>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</si>
  <si>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</si>
  <si>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</si>
  <si>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</si>
  <si>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</si>
  <si>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</si>
  <si>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</si>
  <si>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</si>
  <si>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</si>
  <si>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</si>
  <si>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</si>
  <si>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</si>
  <si>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</si>
  <si>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</si>
  <si>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</si>
  <si>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</si>
  <si>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</si>
  <si>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</si>
  <si>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</si>
  <si>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</si>
  <si>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</si>
  <si>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</si>
  <si>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</si>
  <si>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</si>
  <si>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</si>
  <si>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</si>
  <si>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</si>
  <si>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</si>
  <si>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</si>
  <si>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</si>
  <si>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</si>
  <si>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</si>
  <si>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</si>
  <si>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</si>
  <si>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</si>
  <si>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</si>
  <si>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</si>
  <si>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</si>
  <si>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</si>
  <si>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</si>
  <si>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</si>
  <si>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</si>
  <si>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</si>
  <si>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</si>
  <si>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</si>
  <si>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</si>
  <si>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</si>
  <si>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</si>
  <si>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</si>
  <si>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</si>
  <si>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</si>
  <si>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</si>
  <si>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</si>
  <si>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</si>
  <si>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</si>
  <si>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</si>
  <si>
    <t>Beltone RIE Digital Boost Max S 4 95-DWHC</t>
  </si>
  <si>
    <t>Beltone Boost Max S 4 95-DWHC Digital RIE</t>
  </si>
  <si>
    <t>Beltone RIE Digital Boost Max S 17 95-DWHC</t>
  </si>
  <si>
    <t>Beltone Boost Max S 17 95-DWHC Digital RIE</t>
  </si>
  <si>
    <t>Beltone RIE Digital Boost Max S 6 95-DWHC</t>
  </si>
  <si>
    <t>Beltone Boost Max S 6 95-DWHC Digital RIE</t>
  </si>
  <si>
    <t>Beltone RIE Digital Boost Max S 9 95-DWHC</t>
  </si>
  <si>
    <t>Beltone Boost Max S 9 95-DWHC Digital RIE</t>
  </si>
  <si>
    <t>Boost Max S Special</t>
  </si>
  <si>
    <t>Limited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</si>
</sst>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18">
    <xf numFmtId="0" fontId="0" fillId="0" borderId="0" xfId="0"/>
    <xf numFmtId="0" fontId="13" fillId="0" borderId="0" xfId="0" applyFont="1"/>
    <xf numFmtId="43" fontId="14" fillId="0" borderId="0" xfId="1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3" fillId="0" borderId="0" xfId="1" applyFont="1" applyFill="1" applyBorder="1"/>
    <xf numFmtId="43" fontId="0" fillId="0" borderId="0" xfId="1" applyFont="1" applyFill="1" applyBorder="1"/>
    <xf numFmtId="43" fontId="14" fillId="0" borderId="0" xfId="1" applyFont="1" applyFill="1"/>
    <xf numFmtId="0" fontId="0" fillId="0" borderId="0" xfId="0" applyAlignment="1">
      <alignment vertical="center"/>
    </xf>
    <xf numFmtId="49" fontId="14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5" fillId="0" borderId="0" xfId="0" applyFont="1" applyAlignment="1">
      <alignment horizontal="center"/>
    </xf>
    <xf numFmtId="1" fontId="13" fillId="0" borderId="0" xfId="0" applyNumberFormat="1" applyFont="1"/>
    <xf numFmtId="1" fontId="14" fillId="0" borderId="0" xfId="1" applyNumberFormat="1" applyFont="1" applyFill="1" applyBorder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" borderId="10" xfId="0" applyFont="1" applyFill="1" applyBorder="1"/>
    <xf numFmtId="0" fontId="16" fillId="3" borderId="11" xfId="0" applyFont="1" applyFill="1" applyBorder="1"/>
    <xf numFmtId="0" fontId="16" fillId="3" borderId="12" xfId="0" applyFont="1" applyFill="1" applyBorder="1"/>
    <xf numFmtId="43" fontId="0" fillId="0" borderId="0" xfId="0" applyNumberFormat="1"/>
    <xf numFmtId="43" fontId="14" fillId="0" borderId="0" xfId="1" applyFont="1"/>
    <xf numFmtId="1" fontId="14" fillId="0" borderId="0" xfId="1" applyNumberFormat="1" applyFont="1"/>
    <xf numFmtId="49" fontId="14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4" fillId="0" borderId="0" xfId="1" applyNumberFormat="1" applyFont="1" applyFill="1"/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43" fontId="10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9" fillId="0" borderId="0" xfId="0" applyFont="1"/>
    <xf numFmtId="0" fontId="8" fillId="0" borderId="0" xfId="0" applyFont="1"/>
    <xf numFmtId="43" fontId="8" fillId="0" borderId="0" xfId="1" applyFont="1" applyFill="1"/>
    <xf numFmtId="43" fontId="8" fillId="0" borderId="0" xfId="1" applyFont="1" applyFill="1" applyBorder="1"/>
    <xf numFmtId="1" fontId="8" fillId="0" borderId="0" xfId="1" applyNumberFormat="1" applyFont="1" applyFill="1" applyBorder="1"/>
    <xf numFmtId="49" fontId="8" fillId="0" borderId="0" xfId="1" applyNumberFormat="1" applyFont="1" applyFill="1"/>
    <xf numFmtId="49" fontId="8" fillId="0" borderId="0" xfId="1" applyNumberFormat="1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4" fillId="0" borderId="0" xfId="1" applyFont="1" applyFill="1"/>
    <xf numFmtId="43" fontId="4" fillId="0" borderId="0" xfId="1" applyFont="1" applyFill="1" applyBorder="1"/>
    <xf numFmtId="0" fontId="4" fillId="0" borderId="0" xfId="0" applyFont="1"/>
    <xf numFmtId="43" fontId="4" fillId="0" borderId="0" xfId="1" applyFont="1" applyFill="1" applyAlignment="1">
      <alignment horizontal="center"/>
    </xf>
    <xf numFmtId="49" fontId="4" fillId="0" borderId="0" xfId="1" applyNumberFormat="1" applyFont="1" applyFill="1"/>
    <xf numFmtId="43" fontId="5" fillId="0" borderId="0" xfId="0" applyNumberFormat="1" applyFont="1"/>
    <xf numFmtId="43" fontId="9" fillId="0" borderId="0" xfId="0" applyNumberFormat="1" applyFont="1"/>
    <xf numFmtId="43" fontId="6" fillId="0" borderId="0" xfId="0" applyNumberFormat="1" applyFont="1"/>
    <xf numFmtId="43" fontId="14" fillId="0" borderId="0" xfId="0" applyNumberFormat="1" applyFont="1"/>
    <xf numFmtId="43" fontId="14" fillId="0" borderId="0" xfId="0" applyNumberFormat="1" applyFont="1" applyAlignment="1">
      <alignment horizontal="center"/>
    </xf>
    <xf numFmtId="43" fontId="4" fillId="0" borderId="0" xfId="0" applyNumberFormat="1" applyFont="1"/>
    <xf numFmtId="1" fontId="4" fillId="0" borderId="0" xfId="1" applyNumberFormat="1" applyFont="1" applyFill="1"/>
    <xf numFmtId="43" fontId="3" fillId="0" borderId="0" xfId="1" applyFont="1" applyProtection="1"/>
    <xf numFmtId="43" fontId="18" fillId="0" borderId="0" xfId="1" applyFont="1" applyProtection="1"/>
    <xf numFmtId="0" fontId="3" fillId="2" borderId="3" xfId="0" applyFont="1" applyFill="1" applyBorder="1" applyAlignment="1" applyProtection="1">
      <alignment horizontal="right"/>
      <protection locked="0"/>
    </xf>
    <xf numFmtId="43" fontId="18" fillId="0" borderId="1" xfId="1" applyFont="1" applyBorder="1" applyProtection="1"/>
    <xf numFmtId="43" fontId="3" fillId="0" borderId="7" xfId="1" applyFont="1" applyBorder="1" applyProtection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14" fillId="0" borderId="13" xfId="1" applyFont="1" applyFill="1" applyBorder="1"/>
    <xf numFmtId="43" fontId="14" fillId="0" borderId="0" xfId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19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Continuous"/>
    </xf>
    <xf numFmtId="0" fontId="20" fillId="0" borderId="4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8" fillId="0" borderId="6" xfId="0" applyFont="1" applyBorder="1" applyAlignment="1">
      <alignment horizontal="right"/>
    </xf>
    <xf numFmtId="43" fontId="3" fillId="0" borderId="7" xfId="1" applyFont="1" applyBorder="1" applyAlignment="1" applyProtection="1">
      <alignment horizontal="left"/>
    </xf>
    <xf numFmtId="43" fontId="3" fillId="0" borderId="7" xfId="1" applyFont="1" applyBorder="1" applyAlignment="1" applyProtection="1">
      <alignment horizontal="right"/>
    </xf>
    <xf numFmtId="43" fontId="3" fillId="0" borderId="7" xfId="0" applyNumberFormat="1" applyFont="1" applyBorder="1"/>
    <xf numFmtId="0" fontId="18" fillId="0" borderId="8" xfId="0" applyFont="1" applyBorder="1" applyAlignment="1">
      <alignment horizontal="right"/>
    </xf>
    <xf numFmtId="43" fontId="3" fillId="0" borderId="9" xfId="1" applyFont="1" applyBorder="1" applyAlignment="1" applyProtection="1">
      <alignment horizontal="left"/>
    </xf>
    <xf numFmtId="43" fontId="3" fillId="0" borderId="9" xfId="0" applyNumberFormat="1" applyFont="1" applyBorder="1"/>
    <xf numFmtId="43" fontId="3" fillId="0" borderId="0" xfId="1" applyFont="1" applyAlignment="1" applyProtection="1">
      <alignment horizontal="left"/>
    </xf>
    <xf numFmtId="43" fontId="3" fillId="0" borderId="0" xfId="0" applyNumberFormat="1" applyFont="1"/>
    <xf numFmtId="43" fontId="3" fillId="0" borderId="0" xfId="1" applyFont="1" applyAlignment="1" applyProtection="1"/>
    <xf numFmtId="0" fontId="3" fillId="0" borderId="0" xfId="0" applyFont="1" applyAlignment="1">
      <alignment horizontal="left"/>
    </xf>
    <xf numFmtId="43" fontId="3" fillId="0" borderId="0" xfId="1" applyFont="1" applyAlignment="1" applyProtection="1">
      <alignment horizontal="right"/>
    </xf>
    <xf numFmtId="0" fontId="18" fillId="0" borderId="0" xfId="0" applyFont="1" applyAlignment="1">
      <alignment horizontal="right"/>
    </xf>
    <xf numFmtId="43" fontId="18" fillId="0" borderId="0" xfId="0" applyNumberFormat="1" applyFont="1"/>
    <xf numFmtId="0" fontId="19" fillId="0" borderId="0" xfId="0" applyFont="1" applyAlignment="1">
      <alignment horizontal="right"/>
    </xf>
    <xf numFmtId="0" fontId="3" fillId="2" borderId="2" xfId="0" applyFont="1" applyFill="1" applyBorder="1"/>
    <xf numFmtId="43" fontId="2" fillId="0" borderId="0" xfId="1" applyFont="1" applyFill="1" applyBorder="1"/>
    <xf numFmtId="0" fontId="2" fillId="0" borderId="15" xfId="0" applyFont="1" applyBorder="1"/>
    <xf numFmtId="0" fontId="2" fillId="5" borderId="13" xfId="0" applyFont="1" applyFill="1" applyBorder="1"/>
    <xf numFmtId="0" fontId="2" fillId="0" borderId="13" xfId="0" applyFont="1" applyBorder="1"/>
    <xf numFmtId="43" fontId="2" fillId="0" borderId="13" xfId="1" applyFont="1" applyFill="1" applyBorder="1"/>
    <xf numFmtId="43" fontId="2" fillId="0" borderId="13" xfId="1" applyFont="1" applyFill="1" applyBorder="1" applyAlignment="1">
      <alignment horizontal="center"/>
    </xf>
    <xf numFmtId="1" fontId="2" fillId="0" borderId="13" xfId="1" applyNumberFormat="1" applyFont="1" applyFill="1" applyBorder="1"/>
    <xf numFmtId="49" fontId="2" fillId="0" borderId="13" xfId="1" applyNumberFormat="1" applyFont="1" applyFill="1" applyBorder="1"/>
    <xf numFmtId="43" fontId="2" fillId="0" borderId="16" xfId="1" applyFont="1" applyFill="1" applyBorder="1"/>
    <xf numFmtId="0" fontId="2" fillId="0" borderId="17" xfId="0" applyFont="1" applyBorder="1"/>
    <xf numFmtId="0" fontId="2" fillId="0" borderId="14" xfId="0" applyFont="1" applyBorder="1"/>
    <xf numFmtId="43" fontId="2" fillId="0" borderId="14" xfId="1" applyFont="1" applyFill="1" applyBorder="1"/>
    <xf numFmtId="43" fontId="2" fillId="0" borderId="14" xfId="1" applyFont="1" applyFill="1" applyBorder="1" applyAlignment="1">
      <alignment horizontal="center"/>
    </xf>
    <xf numFmtId="1" fontId="2" fillId="0" borderId="14" xfId="1" applyNumberFormat="1" applyFont="1" applyFill="1" applyBorder="1"/>
    <xf numFmtId="49" fontId="2" fillId="0" borderId="14" xfId="1" applyNumberFormat="1" applyFont="1" applyFill="1" applyBorder="1"/>
    <xf numFmtId="43" fontId="2" fillId="0" borderId="18" xfId="1" applyFont="1" applyFill="1" applyBorder="1"/>
    <xf numFmtId="0" fontId="18" fillId="0" borderId="0" xfId="0" applyFont="1" applyAlignment="1">
      <alignment horizontal="right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43" fontId="1" fillId="0" borderId="0" xfId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53" totalsRowShown="0" headerRowDxfId="59" dataDxfId="58">
  <autoFilter ref="A1:V153" xr:uid="{0EDF487B-BC6A-43CC-A5E2-F07346E1A4ED}"/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35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workbookViewId="0">
      <selection activeCell="E9" sqref="E9"/>
    </sheetView>
  </sheetViews>
  <sheetFormatPr defaultColWidth="9.140625" defaultRowHeight="12.75"/>
  <cols>
    <col min="1" max="1" width="36.140625" style="73" customWidth="1"/>
    <col min="2" max="2" width="16.5703125" style="73" customWidth="1"/>
    <col min="3" max="3" width="22" style="73" customWidth="1"/>
    <col min="4" max="5" width="19.28515625" style="73" customWidth="1"/>
    <col min="6" max="6" width="38.28515625" style="73" bestFit="1" customWidth="1"/>
    <col min="7" max="7" width="18.140625" style="73" customWidth="1"/>
    <col min="8" max="16384" width="9.140625" style="73"/>
  </cols>
  <sheetData>
    <row r="2" spans="1:8" ht="13.5" thickBot="1"/>
    <row r="3" spans="1:8" ht="13.5" thickBot="1">
      <c r="A3" s="74" t="s">
        <v>587</v>
      </c>
      <c r="B3" s="115" t="s">
        <v>497</v>
      </c>
      <c r="C3" s="116"/>
    </row>
    <row r="4" spans="1:8" ht="13.5" thickBot="1">
      <c r="A4" s="74"/>
    </row>
    <row r="5" spans="1:8" ht="13.5" thickBot="1">
      <c r="A5" s="74" t="s">
        <v>0</v>
      </c>
      <c r="B5" s="115">
        <v>2</v>
      </c>
      <c r="C5" s="116"/>
    </row>
    <row r="6" spans="1:8" ht="13.5" thickBot="1">
      <c r="A6" s="74"/>
      <c r="G6" s="75"/>
      <c r="H6" s="76"/>
    </row>
    <row r="7" spans="1:8" ht="13.5" thickBot="1">
      <c r="A7" s="74" t="s">
        <v>61</v>
      </c>
      <c r="B7" s="115" t="s">
        <v>586</v>
      </c>
      <c r="C7" s="116"/>
    </row>
    <row r="8" spans="1:8">
      <c r="A8" s="74"/>
    </row>
    <row r="10" spans="1:8">
      <c r="A10" s="77" t="s">
        <v>2</v>
      </c>
      <c r="B10" s="78"/>
      <c r="C10" s="78"/>
      <c r="D10" s="78"/>
      <c r="E10" s="78"/>
      <c r="F10" s="78"/>
      <c r="G10" s="77"/>
    </row>
    <row r="11" spans="1:8" ht="13.5" thickBot="1">
      <c r="A11" s="78"/>
      <c r="B11" s="78"/>
      <c r="C11" s="78"/>
      <c r="D11" s="78"/>
      <c r="E11" s="78"/>
      <c r="F11" s="78"/>
      <c r="G11" s="77"/>
    </row>
    <row r="12" spans="1:8">
      <c r="A12" s="79" t="s">
        <v>594</v>
      </c>
      <c r="B12" s="80" t="s">
        <v>595</v>
      </c>
      <c r="C12" s="79" t="s">
        <v>596</v>
      </c>
      <c r="D12" s="80" t="s">
        <v>595</v>
      </c>
      <c r="F12" s="81"/>
    </row>
    <row r="13" spans="1:8" ht="18" customHeight="1">
      <c r="A13" s="82" t="s">
        <v>412</v>
      </c>
      <c r="B13" s="83" t="e" cm="1">
        <f t="array" ref="B13">IF($B$3="","",_xlfn.XLOOKUP($B$3&amp;$B$7,haList!A:A&amp;haList!I:I,haList!D:D))</f>
        <v>#N/A</v>
      </c>
      <c r="C13" s="82" t="s">
        <v>412</v>
      </c>
      <c r="D13" s="84" t="e" cm="1">
        <f t="array" ref="D13">IF($B$5=1,"",_xlfn.XLOOKUP($B$3&amp;$B$7,haList!A:A&amp;haList!I:I,haList!D:D))</f>
        <v>#N/A</v>
      </c>
      <c r="F13" s="64"/>
    </row>
    <row r="14" spans="1:8" ht="18" customHeight="1">
      <c r="A14" s="82" t="s">
        <v>538</v>
      </c>
      <c r="B14" s="68" cm="1">
        <f t="array" ref="B14">_xlfn.XLOOKUP($B$3,haList!$A:$A,-haList!$F:$F)</f>
        <v>-479</v>
      </c>
      <c r="C14" s="82" t="s">
        <v>538</v>
      </c>
      <c r="D14" s="68" cm="1">
        <f t="array" ref="D14">IF(B5=1,"",_xlfn.XLOOKUP($B$3,haList!$A:$A,-haList!$F:$F))</f>
        <v>-479</v>
      </c>
      <c r="E14" s="64"/>
      <c r="F14" s="64"/>
    </row>
    <row r="15" spans="1:8" ht="18" customHeight="1">
      <c r="A15" s="82" t="s">
        <v>588</v>
      </c>
      <c r="B15" s="83" t="e">
        <f>B13+B14</f>
        <v>#N/A</v>
      </c>
      <c r="C15" s="82" t="s">
        <v>588</v>
      </c>
      <c r="D15" s="85" t="e">
        <f>IF(B5=1,"",D13+D14)</f>
        <v>#N/A</v>
      </c>
      <c r="E15" s="64"/>
      <c r="F15" s="64"/>
    </row>
    <row r="16" spans="1:8" ht="18" customHeight="1">
      <c r="A16" s="82" t="s">
        <v>589</v>
      </c>
      <c r="B16" s="83" t="e" cm="1">
        <f t="array" ref="B16">_xlfn.XLOOKUP($B$3&amp;$B$7,haList!$A:$A&amp;haList!$I:$I,-haList!$J:$J)</f>
        <v>#N/A</v>
      </c>
      <c r="C16" s="82" t="s">
        <v>589</v>
      </c>
      <c r="D16" s="83" t="e" cm="1">
        <f t="array" ref="D16">IF(B5=1,"",_xlfn.XLOOKUP($B$3&amp;$B$7,haList!$A:$A&amp;haList!$I:$I,-haList!$J:$J))</f>
        <v>#N/A</v>
      </c>
      <c r="E16" s="64"/>
      <c r="F16" s="64"/>
    </row>
    <row r="17" spans="1:9" ht="18" customHeight="1">
      <c r="A17" s="82" t="s">
        <v>590</v>
      </c>
      <c r="B17" s="83" t="e">
        <f>B15+B16</f>
        <v>#N/A</v>
      </c>
      <c r="C17" s="82" t="s">
        <v>590</v>
      </c>
      <c r="D17" s="85" t="e">
        <f>IF(B5=1,"",D15+D16)</f>
        <v>#N/A</v>
      </c>
      <c r="E17" s="64"/>
      <c r="F17" s="64"/>
    </row>
    <row r="18" spans="1:9" ht="18" customHeight="1">
      <c r="A18" s="82" t="s">
        <v>591</v>
      </c>
      <c r="B18" s="83" cm="1">
        <f t="array" ref="B18">IF($B$7="Open House Special",_xlfn.XLOOKUP($B$3&amp;"Marketing Offer",haList!$A:$A&amp;haList!$M:$M,-haList!$N:$N),0)</f>
        <v>0</v>
      </c>
      <c r="C18" s="82" t="s">
        <v>591</v>
      </c>
      <c r="D18" s="83" cm="1">
        <f t="array" ref="D18">IF(B5=1,"",IF($B$7="Open House Special",_xlfn.XLOOKUP($B$3&amp;"Marketing Offer",haList!$A:$A&amp;haList!$M:$M,-haList!$N:$N),0))</f>
        <v>0</v>
      </c>
      <c r="E18" s="64"/>
      <c r="F18" s="64"/>
    </row>
    <row r="19" spans="1:9" ht="18" customHeight="1" thickBot="1">
      <c r="A19" s="86" t="s">
        <v>592</v>
      </c>
      <c r="B19" s="87" t="e">
        <f>B17+B18</f>
        <v>#N/A</v>
      </c>
      <c r="C19" s="86" t="s">
        <v>592</v>
      </c>
      <c r="D19" s="88" t="e">
        <f>IF(B5=1,"",D17+D18)</f>
        <v>#N/A</v>
      </c>
      <c r="E19" s="64"/>
      <c r="F19" s="64"/>
    </row>
    <row r="20" spans="1:9" ht="18" customHeight="1">
      <c r="D20" s="89"/>
      <c r="E20" s="64"/>
      <c r="F20" s="64"/>
    </row>
    <row r="21" spans="1:9" ht="18" customHeight="1">
      <c r="D21" s="89"/>
      <c r="E21" s="64"/>
      <c r="F21" s="64"/>
    </row>
    <row r="22" spans="1:9" ht="18" customHeight="1">
      <c r="B22" s="74" t="s">
        <v>593</v>
      </c>
      <c r="C22" s="90" t="e">
        <f>B19</f>
        <v>#N/A</v>
      </c>
      <c r="D22" s="89"/>
      <c r="E22" s="64"/>
      <c r="F22" s="64"/>
    </row>
    <row r="23" spans="1:9" ht="18" customHeight="1">
      <c r="B23" s="74" t="str">
        <f>IF($B$5=1,"",B22)</f>
        <v>Hearing Aid 1</v>
      </c>
      <c r="C23" s="91" t="e">
        <f>IF(B5=2,D19,0)</f>
        <v>#N/A</v>
      </c>
      <c r="D23" s="89"/>
      <c r="E23" s="64"/>
      <c r="F23" s="64"/>
    </row>
    <row r="24" spans="1:9" ht="18" customHeight="1">
      <c r="B24" s="74" t="e" cm="1">
        <f t="array" ref="B24">IF($B$3="","",_xlfn.XLOOKUP($B$3&amp;$B$7,haList!$A:$A&amp;haList!$I:$I,haList!$R:$R))</f>
        <v>#N/A</v>
      </c>
      <c r="C24" s="64" t="e" cm="1">
        <f t="array" ref="C24">IF($B$24="","",_xlfn.XLOOKUP($B$3&amp;$B$7,haList!$A:$A&amp;haList!$I:$I,haList!$S:$S))</f>
        <v>#N/A</v>
      </c>
      <c r="E24" s="64"/>
      <c r="F24" s="64"/>
      <c r="I24" s="90"/>
    </row>
    <row r="25" spans="1:9" ht="18" customHeight="1">
      <c r="B25" s="74" t="e" cm="1">
        <f t="array" ref="B25">IF($B$3="","",_xlfn.XLOOKUP($B$3&amp;$B$7,haList!$A:$A&amp;haList!$I:$I,haList!$T:$T))</f>
        <v>#N/A</v>
      </c>
      <c r="C25" s="64" t="e" cm="1">
        <f t="array" ref="C25">IF($B$24="","",_xlfn.XLOOKUP($B$3&amp;$B$7,haList!$A:$A&amp;haList!$I:$I,haList!$U:$U))</f>
        <v>#N/A</v>
      </c>
      <c r="D25" s="92"/>
      <c r="F25" s="64"/>
      <c r="I25" s="90"/>
    </row>
    <row r="26" spans="1:9" ht="18" customHeight="1">
      <c r="B26" s="74" t="e">
        <f>IF($B$5=1,"",B25)</f>
        <v>#N/A</v>
      </c>
      <c r="C26" s="64" t="e">
        <f>IF(B5=2,C25,0)</f>
        <v>#N/A</v>
      </c>
      <c r="D26" s="92"/>
      <c r="F26" s="64"/>
    </row>
    <row r="27" spans="1:9" ht="18" customHeight="1">
      <c r="B27" s="74" t="s">
        <v>4</v>
      </c>
      <c r="C27" s="90" t="e">
        <f>C22+C23+C24+C25+C26</f>
        <v>#N/A</v>
      </c>
      <c r="D27" s="74"/>
      <c r="E27" s="74"/>
      <c r="F27" s="64"/>
    </row>
    <row r="28" spans="1:9" ht="18" customHeight="1">
      <c r="B28" s="74" t="e" cm="1">
        <f t="array" ref="B28">IF($B$3="","",IF(_xlfn.XLOOKUP($B$3&amp;$B$7,haList!$A:$A&amp;haList!$I:$I,haList!$Q:$Q)=1,"PA Fitting Fee","(do not charge a PA Fitting Fee)"))</f>
        <v>#N/A</v>
      </c>
      <c r="C28" s="93" t="e" cm="1">
        <f t="array" ref="C28">IF($B$3="","",IF(_xlfn.XLOOKUP($B$3&amp;$B$7,haList!$A:$A&amp;haList!$I:$I,haList!$Q:$Q)=1,300,""))</f>
        <v>#N/A</v>
      </c>
      <c r="D28" s="74"/>
      <c r="E28" s="74"/>
      <c r="G28" s="73" t="str">
        <f>IF(B7="Anthem BCBS","&lt;---Needs to be on a separate invoice.  Private Pay only!","")</f>
        <v/>
      </c>
    </row>
    <row r="29" spans="1:9" ht="18" customHeight="1">
      <c r="B29" s="94" t="s">
        <v>5</v>
      </c>
      <c r="C29" s="95" t="e">
        <f>C27+C28</f>
        <v>#N/A</v>
      </c>
      <c r="D29" s="94"/>
      <c r="E29" s="94"/>
      <c r="F29" s="65"/>
      <c r="H29" s="64"/>
    </row>
    <row r="30" spans="1:9" ht="18" customHeight="1">
      <c r="A30" s="114"/>
      <c r="B30" s="114"/>
      <c r="C30" s="114"/>
      <c r="D30" s="94"/>
      <c r="E30" s="94"/>
      <c r="F30" s="65"/>
    </row>
    <row r="31" spans="1:9" ht="18" customHeight="1"/>
    <row r="32" spans="1:9" ht="18" customHeight="1" thickBot="1">
      <c r="A32" s="76"/>
      <c r="B32" s="96" t="s">
        <v>6</v>
      </c>
    </row>
    <row r="33" spans="1:6" ht="18" customHeight="1" thickBot="1">
      <c r="A33" s="97"/>
      <c r="B33" s="66" t="s">
        <v>65</v>
      </c>
      <c r="C33" s="64" t="e">
        <f>C29</f>
        <v>#N/A</v>
      </c>
    </row>
    <row r="34" spans="1:6" ht="18" customHeight="1" thickBot="1">
      <c r="A34" s="94"/>
      <c r="B34" s="7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64" t="e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#N/A</v>
      </c>
      <c r="D34" s="64"/>
      <c r="F34" s="64"/>
    </row>
    <row r="35" spans="1:6" ht="18" customHeight="1" thickBot="1">
      <c r="A35" s="74"/>
      <c r="B35" s="7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67" t="e">
        <f>C33-C34</f>
        <v>#N/A</v>
      </c>
    </row>
    <row r="36" spans="1:6" ht="18" customHeight="1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tabSelected="1" zoomScale="80" zoomScaleNormal="80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I40" sqref="I40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70" t="s">
        <v>598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70" t="s">
        <v>598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70" t="s">
        <v>598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70" t="s">
        <v>598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70" t="s">
        <v>598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70" t="s">
        <v>598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70" t="s">
        <v>598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70" t="s">
        <v>598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70" t="s">
        <v>598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70" t="s">
        <v>598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70" t="s">
        <v>598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70" t="s">
        <v>598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70" t="s">
        <v>598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70" t="s">
        <v>598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70" t="s">
        <v>598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70" t="s">
        <v>598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70" t="s">
        <v>598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70" t="s">
        <v>598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70" t="s">
        <v>598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70" t="s">
        <v>598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70" t="s">
        <v>598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70" t="s">
        <v>598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70" t="s">
        <v>598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70" t="s">
        <v>598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70" t="s">
        <v>598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70" t="s">
        <v>598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70" t="s">
        <v>598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70" t="s">
        <v>598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70" t="s">
        <v>598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70" t="s">
        <v>598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117" t="s">
        <v>627</v>
      </c>
      <c r="J39" s="53">
        <f>(HearingAids[[#This Row],[haMSRP]]-HearingAids[[#This Row],[Discount Amount 1]])-(HearingAids[[#This Row],[haNetPriceBinural]]-HearingAids[[#This Row],[chargerPrice]])/2</f>
        <v>250</v>
      </c>
      <c r="K39" s="53">
        <f>HearingAids[[#This Row],[HAListPrice]]-HearingAids[[#This Row],[Discount Amount 2]]</f>
        <v>4550</v>
      </c>
      <c r="L39" s="53">
        <v>9350</v>
      </c>
      <c r="M39" s="72" t="s">
        <v>539</v>
      </c>
      <c r="N39" s="53">
        <f>HearingAids[[#This Row],[haNetPrice]]-((HearingAids[[#This Row],[haNetPriceBinural2]]-HearingAids[[#This Row],[chargerPrice]])/2)</f>
        <v>500</v>
      </c>
      <c r="O39" s="55">
        <f>HearingAids[[#This Row],[haNetPrice]]-HearingAids[[#This Row],[Discount Amount 3]]</f>
        <v>4050</v>
      </c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117" t="s">
        <v>627</v>
      </c>
      <c r="J40" s="53">
        <f>(HearingAids[[#This Row],[haMSRP]]-HearingAids[[#This Row],[Discount Amount 1]])-(HearingAids[[#This Row],[haNetPriceBinural]]-HearingAids[[#This Row],[chargerPrice]])/2</f>
        <v>250</v>
      </c>
      <c r="K40" s="53">
        <f>HearingAids[[#This Row],[HAListPrice]]-HearingAids[[#This Row],[Discount Amount 2]]</f>
        <v>3950</v>
      </c>
      <c r="L40" s="53">
        <v>8150</v>
      </c>
      <c r="M40" s="72" t="s">
        <v>539</v>
      </c>
      <c r="N40" s="53">
        <f>HearingAids[[#This Row],[haNetPrice]]-((HearingAids[[#This Row],[haNetPriceBinural2]]-HearingAids[[#This Row],[chargerPrice]])/2)</f>
        <v>500</v>
      </c>
      <c r="O40" s="55">
        <f>HearingAids[[#This Row],[haNetPrice]]-HearingAids[[#This Row],[Discount Amount 3]]</f>
        <v>3450</v>
      </c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98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69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(HearingAids[[#This Row],[haMSRP]]-HearingAids[[#This Row],[Discount Amount 1]])-(HearingAids[[#This Row],[haNetPriceBinural]]-HearingAids[[#This Row],[chargerPrice]])/2</f>
        <v>625</v>
      </c>
      <c r="K119" s="2">
        <f>HearingAids[[#This Row],[HAListPrice]]-HearingAids[[#This Row],[Discount Amount 2]]</f>
        <v>4175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500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(HearingAids[[#This Row],[haMSRP]]-HearingAids[[#This Row],[Discount Amount 1]])-(HearingAids[[#This Row],[haNetPriceBinural]]-HearingAids[[#This Row],[chargerPrice]])/2</f>
        <v>195</v>
      </c>
      <c r="K120" s="2">
        <f>HearingAids[[#This Row],[HAListPrice]]-HearingAids[[#This Row],[Discount Amount 2]]</f>
        <v>3275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500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(HearingAids[[#This Row],[haMSRP]]-HearingAids[[#This Row],[Discount Amount 1]])-(HearingAids[[#This Row],[haNetPriceBinural]]-HearingAids[[#This Row],[chargerPrice]])/2</f>
        <v>525</v>
      </c>
      <c r="K121" s="2">
        <f>HearingAids[[#This Row],[HAListPrice]]-HearingAids[[#This Row],[Discount Amount 2]]</f>
        <v>3675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500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71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71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>
      <c r="A138" s="99" t="s">
        <v>618</v>
      </c>
      <c r="B138" s="100" t="s">
        <v>619</v>
      </c>
      <c r="C138" s="60">
        <f>(HearingAids[[#This Row],[haMSRP]]*2)+HearingAids[[#This Row],[chargerPrice]]</f>
        <v>6258</v>
      </c>
      <c r="D138" s="102">
        <v>3029</v>
      </c>
      <c r="E138" s="102" t="s">
        <v>538</v>
      </c>
      <c r="F138" s="39">
        <f>HearingAids[[#This Row],[haMSRP]]-((HearingAids[[#This Row],[ListPriceBinural]]-HearingAids[[#This Row],[chargerPrice]])/2)</f>
        <v>804</v>
      </c>
      <c r="G138" s="39">
        <f>HearingAids[[#This Row],[haMSRP]]-HearingAids[[#This Row],[Discount Amount 1]]</f>
        <v>2225</v>
      </c>
      <c r="H138" s="2">
        <v>4650</v>
      </c>
      <c r="I138" s="103" t="s">
        <v>598</v>
      </c>
      <c r="J138" s="2">
        <f>(HearingAids[[#This Row],[haMSRP]]-HearingAids[[#This Row],[Discount Amount 1]])-(HearingAids[[#This Row],[haNetPriceBinural]]-HearingAids[[#This Row],[chargerPrice]])/2</f>
        <v>2325</v>
      </c>
      <c r="K138" s="2">
        <f>HearingAids[[#This Row],[HAListPrice]]-HearingAids[[#This Row],[Discount Amount 2]]</f>
        <v>-100</v>
      </c>
      <c r="L138" s="102"/>
      <c r="M138" s="102"/>
      <c r="N138" s="2">
        <f>HearingAids[[#This Row],[haNetPrice]]-((HearingAids[[#This Row],[haNetPriceBinural2]]-HearingAids[[#This Row],[chargerPrice]])/2)</f>
        <v>0</v>
      </c>
      <c r="O138" s="102">
        <f>HearingAids[[#This Row],[haNetPrice]]-HearingAids[[#This Row],[Discount Amount 3]]</f>
        <v>-100</v>
      </c>
      <c r="P138" s="102"/>
      <c r="Q138" s="104">
        <v>1</v>
      </c>
      <c r="R138" s="104" t="s">
        <v>9</v>
      </c>
      <c r="S138" s="2">
        <v>200</v>
      </c>
      <c r="T138" s="105"/>
      <c r="U138" s="105"/>
      <c r="V138" s="106"/>
      <c r="X138" s="2"/>
      <c r="Y138" s="2"/>
      <c r="Z138" s="2"/>
      <c r="AA138" s="2"/>
      <c r="AB138" s="2"/>
      <c r="AC138" s="2"/>
      <c r="AD138" s="2"/>
    </row>
    <row r="139" spans="1:31" ht="12.75">
      <c r="A139" s="99" t="s">
        <v>620</v>
      </c>
      <c r="B139" s="101" t="s">
        <v>621</v>
      </c>
      <c r="C139" s="60">
        <f>(HearingAids[[#This Row],[haMSRP]]*2)+HearingAids[[#This Row],[chargerPrice]]</f>
        <v>11838</v>
      </c>
      <c r="D139" s="102">
        <v>5819</v>
      </c>
      <c r="E139" s="102" t="s">
        <v>538</v>
      </c>
      <c r="F139" s="39">
        <f>HearingAids[[#This Row],[haMSRP]]-((HearingAids[[#This Row],[ListPriceBinural]]-HearingAids[[#This Row],[chargerPrice]])/2)</f>
        <v>994</v>
      </c>
      <c r="G139" s="39">
        <f>HearingAids[[#This Row],[haMSRP]]-HearingAids[[#This Row],[Discount Amount 1]]</f>
        <v>4825</v>
      </c>
      <c r="H139" s="2">
        <v>9850</v>
      </c>
      <c r="I139" s="103" t="s">
        <v>28</v>
      </c>
      <c r="J139" s="2"/>
      <c r="K139" s="2">
        <f>HearingAids[[#This Row],[HAListPrice]]-HearingAids[[#This Row],[Discount Amount 2]]</f>
        <v>4825</v>
      </c>
      <c r="L139" s="102">
        <v>9900</v>
      </c>
      <c r="M139" s="102"/>
      <c r="N139" s="2">
        <f>HearingAids[[#This Row],[haNetPrice]]-((HearingAids[[#This Row],[haNetPriceBinural2]]-HearingAids[[#This Row],[chargerPrice]])/2)</f>
        <v>4925</v>
      </c>
      <c r="O139" s="102">
        <f>HearingAids[[#This Row],[haNetPrice]]-HearingAids[[#This Row],[Discount Amount 3]]</f>
        <v>-100</v>
      </c>
      <c r="P139" s="102"/>
      <c r="Q139" s="104">
        <v>1</v>
      </c>
      <c r="R139" s="104" t="s">
        <v>9</v>
      </c>
      <c r="S139" s="2">
        <v>200</v>
      </c>
      <c r="T139" s="105" t="s">
        <v>14</v>
      </c>
      <c r="U139" s="105">
        <v>0</v>
      </c>
      <c r="V139" s="106" t="s">
        <v>11</v>
      </c>
      <c r="X139" s="2"/>
      <c r="Y139" s="2"/>
      <c r="Z139" s="2"/>
      <c r="AA139" s="2"/>
      <c r="AB139" s="2"/>
      <c r="AC139" s="2"/>
      <c r="AD139" s="2"/>
    </row>
    <row r="140" spans="1:31" ht="12.75">
      <c r="A140" s="99" t="s">
        <v>622</v>
      </c>
      <c r="B140" s="100" t="s">
        <v>623</v>
      </c>
      <c r="C140" s="60">
        <f>(HearingAids[[#This Row],[haMSRP]]*2)+HearingAids[[#This Row],[chargerPrice]]</f>
        <v>7578</v>
      </c>
      <c r="D140" s="102">
        <v>3689</v>
      </c>
      <c r="E140" s="102" t="s">
        <v>538</v>
      </c>
      <c r="F140" s="39">
        <f>HearingAids[[#This Row],[haMSRP]]-((HearingAids[[#This Row],[ListPriceBinural]]-HearingAids[[#This Row],[chargerPrice]])/2)</f>
        <v>194</v>
      </c>
      <c r="G140" s="39">
        <f>HearingAids[[#This Row],[haMSRP]]-HearingAids[[#This Row],[Discount Amount 1]]</f>
        <v>3495</v>
      </c>
      <c r="H140" s="2">
        <v>7190</v>
      </c>
      <c r="I140" s="103" t="s">
        <v>28</v>
      </c>
      <c r="J140" s="2"/>
      <c r="K140" s="2">
        <f>HearingAids[[#This Row],[HAListPrice]]-HearingAids[[#This Row],[Discount Amount 2]]</f>
        <v>3495</v>
      </c>
      <c r="L140" s="102">
        <v>7240</v>
      </c>
      <c r="M140" s="102"/>
      <c r="N140" s="2">
        <f>HearingAids[[#This Row],[haNetPrice]]-((HearingAids[[#This Row],[haNetPriceBinural2]]-HearingAids[[#This Row],[chargerPrice]])/2)</f>
        <v>3595</v>
      </c>
      <c r="O140" s="102">
        <f>HearingAids[[#This Row],[haNetPrice]]-HearingAids[[#This Row],[Discount Amount 3]]</f>
        <v>-100</v>
      </c>
      <c r="P140" s="102"/>
      <c r="Q140" s="104">
        <v>1</v>
      </c>
      <c r="R140" s="104" t="s">
        <v>9</v>
      </c>
      <c r="S140" s="2">
        <v>200</v>
      </c>
      <c r="T140" s="105" t="s">
        <v>14</v>
      </c>
      <c r="U140" s="105">
        <v>0</v>
      </c>
      <c r="V140" s="106" t="s">
        <v>11</v>
      </c>
      <c r="X140" s="2"/>
      <c r="Y140" s="2"/>
      <c r="Z140" s="2"/>
      <c r="AA140" s="2"/>
      <c r="AB140" s="2"/>
      <c r="AC140" s="2"/>
      <c r="AD140" s="8"/>
    </row>
    <row r="141" spans="1:31" ht="12.75">
      <c r="A141" s="99" t="s">
        <v>624</v>
      </c>
      <c r="B141" s="101" t="s">
        <v>625</v>
      </c>
      <c r="C141" s="60">
        <f>(HearingAids[[#This Row],[haMSRP]]*2)+HearingAids[[#This Row],[chargerPrice]]</f>
        <v>9558</v>
      </c>
      <c r="D141" s="102">
        <v>4679</v>
      </c>
      <c r="E141" s="102" t="s">
        <v>538</v>
      </c>
      <c r="F141" s="39">
        <f>HearingAids[[#This Row],[haMSRP]]-((HearingAids[[#This Row],[ListPriceBinural]]-HearingAids[[#This Row],[chargerPrice]])/2)</f>
        <v>454</v>
      </c>
      <c r="G141" s="39">
        <f>HearingAids[[#This Row],[haMSRP]]-HearingAids[[#This Row],[Discount Amount 1]]</f>
        <v>4225</v>
      </c>
      <c r="H141" s="2">
        <v>8650</v>
      </c>
      <c r="I141" s="103" t="s">
        <v>28</v>
      </c>
      <c r="J141" s="2"/>
      <c r="K141" s="2">
        <f>HearingAids[[#This Row],[HAListPrice]]-HearingAids[[#This Row],[Discount Amount 2]]</f>
        <v>4225</v>
      </c>
      <c r="L141" s="102">
        <v>8700</v>
      </c>
      <c r="M141" s="102"/>
      <c r="N141" s="2">
        <f>HearingAids[[#This Row],[haNetPrice]]-((HearingAids[[#This Row],[haNetPriceBinural2]]-HearingAids[[#This Row],[chargerPrice]])/2)</f>
        <v>4325</v>
      </c>
      <c r="O141" s="102">
        <f>HearingAids[[#This Row],[haNetPrice]]-HearingAids[[#This Row],[Discount Amount 3]]</f>
        <v>-100</v>
      </c>
      <c r="P141" s="102"/>
      <c r="Q141" s="104">
        <v>1</v>
      </c>
      <c r="R141" s="104" t="s">
        <v>9</v>
      </c>
      <c r="S141" s="2">
        <v>200</v>
      </c>
      <c r="T141" s="105" t="s">
        <v>14</v>
      </c>
      <c r="U141" s="105">
        <v>0</v>
      </c>
      <c r="V141" s="106" t="s">
        <v>11</v>
      </c>
      <c r="X141" s="2"/>
      <c r="Y141" s="2"/>
      <c r="Z141" s="2"/>
      <c r="AA141" s="2"/>
      <c r="AB141" s="2"/>
      <c r="AC141" s="2"/>
      <c r="AD141" s="8"/>
    </row>
    <row r="142" spans="1:31" ht="12.75">
      <c r="A142" s="99" t="s">
        <v>620</v>
      </c>
      <c r="B142" s="100" t="s">
        <v>621</v>
      </c>
      <c r="C142" s="60">
        <f>(HearingAids[[#This Row],[haMSRP]]*2)+HearingAids[[#This Row],[chargerPrice]]</f>
        <v>11838</v>
      </c>
      <c r="D142" s="102">
        <v>5819</v>
      </c>
      <c r="E142" s="102" t="s">
        <v>538</v>
      </c>
      <c r="F142" s="39">
        <f>HearingAids[[#This Row],[haMSRP]]-((HearingAids[[#This Row],[ListPriceBinural]]-HearingAids[[#This Row],[chargerPrice]])/2)</f>
        <v>994</v>
      </c>
      <c r="G142" s="39">
        <f>HearingAids[[#This Row],[haMSRP]]-HearingAids[[#This Row],[Discount Amount 1]]</f>
        <v>4825</v>
      </c>
      <c r="H142" s="2">
        <v>9850</v>
      </c>
      <c r="I142" s="103" t="s">
        <v>626</v>
      </c>
      <c r="J142" s="2">
        <f>(HearingAids[[#This Row],[haMSRP]]-HearingAids[[#This Row],[Discount Amount 1]])-(HearingAids[[#This Row],[haNetPriceBinural]]-HearingAids[[#This Row],[chargerPrice]])/2</f>
        <v>225</v>
      </c>
      <c r="K142" s="2">
        <f>HearingAids[[#This Row],[HAListPrice]]-HearingAids[[#This Row],[Discount Amount 2]]</f>
        <v>4600</v>
      </c>
      <c r="L142" s="102">
        <v>9400</v>
      </c>
      <c r="M142" s="103" t="s">
        <v>539</v>
      </c>
      <c r="N142" s="2">
        <f>HearingAids[[#This Row],[haNetPrice]]-((HearingAids[[#This Row],[haNetPriceBinural2]]-HearingAids[[#This Row],[chargerPrice]])/2)</f>
        <v>525</v>
      </c>
      <c r="O142" s="103">
        <v>4050</v>
      </c>
      <c r="P142" s="102">
        <v>8350</v>
      </c>
      <c r="Q142" s="104">
        <v>1</v>
      </c>
      <c r="R142" s="104" t="s">
        <v>9</v>
      </c>
      <c r="S142" s="2">
        <v>200</v>
      </c>
      <c r="T142" s="105" t="s">
        <v>14</v>
      </c>
      <c r="U142" s="105">
        <v>0</v>
      </c>
      <c r="V142" s="106" t="s">
        <v>11</v>
      </c>
      <c r="X142" s="2"/>
      <c r="Y142" s="2"/>
      <c r="Z142" s="2"/>
      <c r="AA142" s="2"/>
      <c r="AB142" s="2"/>
      <c r="AC142" s="2"/>
      <c r="AD142" s="8"/>
    </row>
    <row r="143" spans="1:31" ht="12.75">
      <c r="A143" s="99" t="s">
        <v>624</v>
      </c>
      <c r="B143" s="101" t="s">
        <v>625</v>
      </c>
      <c r="C143" s="60">
        <f>(HearingAids[[#This Row],[haMSRP]]*2)+HearingAids[[#This Row],[chargerPrice]]</f>
        <v>9558</v>
      </c>
      <c r="D143" s="102">
        <v>4679</v>
      </c>
      <c r="E143" s="102" t="s">
        <v>538</v>
      </c>
      <c r="F143" s="39">
        <f>HearingAids[[#This Row],[haMSRP]]-((HearingAids[[#This Row],[ListPriceBinural]]-HearingAids[[#This Row],[chargerPrice]])/2)</f>
        <v>454</v>
      </c>
      <c r="G143" s="39">
        <f>HearingAids[[#This Row],[haMSRP]]-HearingAids[[#This Row],[Discount Amount 1]]</f>
        <v>4225</v>
      </c>
      <c r="H143" s="2">
        <v>8650</v>
      </c>
      <c r="I143" s="103" t="s">
        <v>626</v>
      </c>
      <c r="J143" s="2">
        <f>(HearingAids[[#This Row],[haMSRP]]-HearingAids[[#This Row],[Discount Amount 1]])-(HearingAids[[#This Row],[haNetPriceBinural]]-HearingAids[[#This Row],[chargerPrice]])/2</f>
        <v>225</v>
      </c>
      <c r="K143" s="2">
        <f>HearingAids[[#This Row],[HAListPrice]]-HearingAids[[#This Row],[Discount Amount 2]]</f>
        <v>4000</v>
      </c>
      <c r="L143" s="102">
        <v>8200</v>
      </c>
      <c r="M143" s="103" t="s">
        <v>539</v>
      </c>
      <c r="N143" s="2">
        <f>HearingAids[[#This Row],[haNetPrice]]-((HearingAids[[#This Row],[haNetPriceBinural2]]-HearingAids[[#This Row],[chargerPrice]])/2)</f>
        <v>525</v>
      </c>
      <c r="O143" s="103">
        <v>3450</v>
      </c>
      <c r="P143" s="102">
        <v>7150</v>
      </c>
      <c r="Q143" s="104">
        <v>1</v>
      </c>
      <c r="R143" s="104" t="s">
        <v>9</v>
      </c>
      <c r="S143" s="2">
        <v>200</v>
      </c>
      <c r="T143" s="105" t="s">
        <v>14</v>
      </c>
      <c r="U143" s="105">
        <v>0</v>
      </c>
      <c r="V143" s="106" t="s">
        <v>11</v>
      </c>
      <c r="X143" s="2"/>
      <c r="Y143" s="2"/>
      <c r="Z143" s="2"/>
      <c r="AA143" s="2"/>
      <c r="AB143" s="2"/>
      <c r="AC143" s="2"/>
      <c r="AD143" s="8"/>
    </row>
    <row r="144" spans="1:31" ht="12.75">
      <c r="A144" s="99" t="s">
        <v>620</v>
      </c>
      <c r="B144" s="100" t="s">
        <v>621</v>
      </c>
      <c r="C144" s="60">
        <f>(HearingAids[[#This Row],[haMSRP]]*2)+HearingAids[[#This Row],[chargerPrice]]</f>
        <v>11838</v>
      </c>
      <c r="D144" s="102">
        <v>5819</v>
      </c>
      <c r="E144" s="102" t="s">
        <v>538</v>
      </c>
      <c r="F144" s="39">
        <f>HearingAids[[#This Row],[haMSRP]]-((HearingAids[[#This Row],[ListPriceBinural]]-HearingAids[[#This Row],[chargerPrice]])/2)</f>
        <v>994</v>
      </c>
      <c r="G144" s="39">
        <f>HearingAids[[#This Row],[haMSRP]]-HearingAids[[#This Row],[Discount Amount 1]]</f>
        <v>4825</v>
      </c>
      <c r="H144" s="2">
        <v>9850</v>
      </c>
      <c r="I144" s="103" t="s">
        <v>177</v>
      </c>
      <c r="J144" s="2"/>
      <c r="K144" s="2">
        <f>HearingAids[[#This Row],[HAListPrice]]-HearingAids[[#This Row],[Discount Amount 2]]</f>
        <v>4825</v>
      </c>
      <c r="L144" s="102">
        <v>9900</v>
      </c>
      <c r="M144" s="102"/>
      <c r="N144" s="2">
        <f>HearingAids[[#This Row],[haNetPrice]]-((HearingAids[[#This Row],[haNetPriceBinural2]]-HearingAids[[#This Row],[chargerPrice]])/2)</f>
        <v>4925</v>
      </c>
      <c r="O144" s="102">
        <f>HearingAids[[#This Row],[haNetPrice]]-HearingAids[[#This Row],[Discount Amount 3]]</f>
        <v>-100</v>
      </c>
      <c r="P144" s="102"/>
      <c r="Q144" s="104">
        <v>1</v>
      </c>
      <c r="R144" s="104" t="s">
        <v>9</v>
      </c>
      <c r="S144" s="2">
        <v>200</v>
      </c>
      <c r="T144" s="105" t="s">
        <v>14</v>
      </c>
      <c r="U144" s="105">
        <v>0</v>
      </c>
      <c r="V144" s="106" t="s">
        <v>11</v>
      </c>
      <c r="X144" s="2"/>
      <c r="Y144" s="2"/>
      <c r="Z144" s="2"/>
      <c r="AA144" s="2"/>
      <c r="AB144" s="2"/>
      <c r="AC144" s="2"/>
      <c r="AD144" s="8"/>
    </row>
    <row r="145" spans="1:31" ht="12.75">
      <c r="A145" s="99" t="s">
        <v>618</v>
      </c>
      <c r="B145" s="101" t="s">
        <v>619</v>
      </c>
      <c r="C145" s="60">
        <f>(HearingAids[[#This Row],[haMSRP]]*2)+HearingAids[[#This Row],[chargerPrice]]</f>
        <v>6258</v>
      </c>
      <c r="D145" s="102">
        <v>3029</v>
      </c>
      <c r="E145" s="102" t="s">
        <v>538</v>
      </c>
      <c r="F145" s="39">
        <f>HearingAids[[#This Row],[haMSRP]]-((HearingAids[[#This Row],[ListPriceBinural]]-HearingAids[[#This Row],[chargerPrice]])/2)</f>
        <v>804</v>
      </c>
      <c r="G145" s="39">
        <f>HearingAids[[#This Row],[haMSRP]]-HearingAids[[#This Row],[Discount Amount 1]]</f>
        <v>2225</v>
      </c>
      <c r="H145" s="2">
        <v>4650</v>
      </c>
      <c r="I145" s="103" t="s">
        <v>177</v>
      </c>
      <c r="J145" s="2"/>
      <c r="K145" s="2">
        <f>HearingAids[[#This Row],[HAListPrice]]-HearingAids[[#This Row],[Discount Amount 2]]</f>
        <v>2225</v>
      </c>
      <c r="L145" s="102">
        <v>4700</v>
      </c>
      <c r="M145" s="102"/>
      <c r="N145" s="2">
        <f>HearingAids[[#This Row],[haNetPrice]]-((HearingAids[[#This Row],[haNetPriceBinural2]]-HearingAids[[#This Row],[chargerPrice]])/2)</f>
        <v>2325</v>
      </c>
      <c r="O145" s="102">
        <f>HearingAids[[#This Row],[haNetPrice]]-HearingAids[[#This Row],[Discount Amount 3]]</f>
        <v>-100</v>
      </c>
      <c r="P145" s="102"/>
      <c r="Q145" s="104">
        <v>1</v>
      </c>
      <c r="R145" s="104" t="s">
        <v>9</v>
      </c>
      <c r="S145" s="2">
        <v>200</v>
      </c>
      <c r="T145" s="105"/>
      <c r="U145" s="105"/>
      <c r="V145" s="106"/>
      <c r="X145" s="2"/>
      <c r="Y145" s="2"/>
      <c r="Z145" s="2"/>
      <c r="AA145" s="2"/>
      <c r="AB145" s="2"/>
      <c r="AC145" s="2"/>
      <c r="AD145" s="8"/>
    </row>
    <row r="146" spans="1:31" ht="12.75">
      <c r="A146" s="99" t="s">
        <v>624</v>
      </c>
      <c r="B146" s="100" t="s">
        <v>623</v>
      </c>
      <c r="C146" s="60">
        <f>(HearingAids[[#This Row],[haMSRP]]*2)+HearingAids[[#This Row],[chargerPrice]]</f>
        <v>9558</v>
      </c>
      <c r="D146" s="102">
        <v>4679</v>
      </c>
      <c r="E146" s="102" t="s">
        <v>538</v>
      </c>
      <c r="F146" s="39">
        <f>HearingAids[[#This Row],[haMSRP]]-((HearingAids[[#This Row],[ListPriceBinural]]-HearingAids[[#This Row],[chargerPrice]])/2)</f>
        <v>454</v>
      </c>
      <c r="G146" s="39">
        <f>HearingAids[[#This Row],[haMSRP]]-HearingAids[[#This Row],[Discount Amount 1]]</f>
        <v>4225</v>
      </c>
      <c r="H146" s="2">
        <v>8650</v>
      </c>
      <c r="I146" s="103" t="s">
        <v>177</v>
      </c>
      <c r="J146" s="2"/>
      <c r="K146" s="2">
        <f>HearingAids[[#This Row],[HAListPrice]]-HearingAids[[#This Row],[Discount Amount 2]]</f>
        <v>4225</v>
      </c>
      <c r="L146" s="102">
        <v>8700</v>
      </c>
      <c r="M146" s="102"/>
      <c r="N146" s="2">
        <f>HearingAids[[#This Row],[haNetPrice]]-((HearingAids[[#This Row],[haNetPriceBinural2]]-HearingAids[[#This Row],[chargerPrice]])/2)</f>
        <v>4325</v>
      </c>
      <c r="O146" s="102">
        <f>HearingAids[[#This Row],[haNetPrice]]-HearingAids[[#This Row],[Discount Amount 3]]</f>
        <v>-100</v>
      </c>
      <c r="P146" s="102"/>
      <c r="Q146" s="104">
        <v>1</v>
      </c>
      <c r="R146" s="104" t="s">
        <v>9</v>
      </c>
      <c r="S146" s="2">
        <v>200</v>
      </c>
      <c r="T146" s="105" t="s">
        <v>14</v>
      </c>
      <c r="U146" s="105">
        <v>0</v>
      </c>
      <c r="V146" s="106" t="s">
        <v>11</v>
      </c>
      <c r="X146" s="2"/>
      <c r="Y146" s="2"/>
      <c r="Z146" s="2"/>
      <c r="AA146" s="2"/>
      <c r="AB146" s="2"/>
      <c r="AC146" s="2"/>
      <c r="AD146" s="8"/>
      <c r="AE146" s="25"/>
    </row>
    <row r="147" spans="1:31" ht="12.75">
      <c r="A147" s="99" t="s">
        <v>622</v>
      </c>
      <c r="B147" s="101" t="s">
        <v>625</v>
      </c>
      <c r="C147" s="60">
        <f>(HearingAids[[#This Row],[haMSRP]]*2)+HearingAids[[#This Row],[chargerPrice]]</f>
        <v>7578</v>
      </c>
      <c r="D147" s="102">
        <v>3689</v>
      </c>
      <c r="E147" s="102" t="s">
        <v>538</v>
      </c>
      <c r="F147" s="39">
        <f>HearingAids[[#This Row],[haMSRP]]-((HearingAids[[#This Row],[ListPriceBinural]]-HearingAids[[#This Row],[chargerPrice]])/2)</f>
        <v>194</v>
      </c>
      <c r="G147" s="39">
        <f>HearingAids[[#This Row],[haMSRP]]-HearingAids[[#This Row],[Discount Amount 1]]</f>
        <v>3495</v>
      </c>
      <c r="H147" s="2">
        <v>7190</v>
      </c>
      <c r="I147" s="103" t="s">
        <v>177</v>
      </c>
      <c r="J147" s="2"/>
      <c r="K147" s="2">
        <f>HearingAids[[#This Row],[HAListPrice]]-HearingAids[[#This Row],[Discount Amount 2]]</f>
        <v>3495</v>
      </c>
      <c r="L147" s="102">
        <v>7240</v>
      </c>
      <c r="M147" s="102"/>
      <c r="N147" s="2">
        <f>HearingAids[[#This Row],[haNetPrice]]-((HearingAids[[#This Row],[haNetPriceBinural2]]-HearingAids[[#This Row],[chargerPrice]])/2)</f>
        <v>3595</v>
      </c>
      <c r="O147" s="102">
        <f>HearingAids[[#This Row],[haNetPrice]]-HearingAids[[#This Row],[Discount Amount 3]]</f>
        <v>-100</v>
      </c>
      <c r="P147" s="102"/>
      <c r="Q147" s="104">
        <v>1</v>
      </c>
      <c r="R147" s="104" t="s">
        <v>9</v>
      </c>
      <c r="S147" s="2">
        <v>200</v>
      </c>
      <c r="T147" s="105" t="s">
        <v>14</v>
      </c>
      <c r="U147" s="105">
        <v>0</v>
      </c>
      <c r="V147" s="106" t="s">
        <v>11</v>
      </c>
      <c r="X147" s="2"/>
      <c r="Y147" s="2"/>
      <c r="Z147" s="2"/>
      <c r="AA147" s="2"/>
      <c r="AB147" s="2"/>
      <c r="AC147" s="2"/>
      <c r="AD147" s="12"/>
      <c r="AE147" s="25"/>
    </row>
    <row r="148" spans="1:31" ht="12.75">
      <c r="A148" s="99" t="s">
        <v>620</v>
      </c>
      <c r="B148" s="100" t="s">
        <v>621</v>
      </c>
      <c r="C148" s="60">
        <f>(HearingAids[[#This Row],[haMSRP]]*2)+HearingAids[[#This Row],[chargerPrice]]</f>
        <v>11838</v>
      </c>
      <c r="D148" s="102">
        <v>5819</v>
      </c>
      <c r="E148" s="102" t="s">
        <v>538</v>
      </c>
      <c r="F148" s="39">
        <f>HearingAids[[#This Row],[haMSRP]]-((HearingAids[[#This Row],[ListPriceBinural]]-HearingAids[[#This Row],[chargerPrice]])/2)</f>
        <v>994</v>
      </c>
      <c r="G148" s="39">
        <f>HearingAids[[#This Row],[haMSRP]]-HearingAids[[#This Row],[Discount Amount 1]]</f>
        <v>4825</v>
      </c>
      <c r="H148" s="2">
        <v>9850</v>
      </c>
      <c r="I148" s="103" t="s">
        <v>539</v>
      </c>
      <c r="J148" s="2">
        <f>(HearingAids[[#This Row],[haMSRP]]-HearingAids[[#This Row],[Discount Amount 1]])-(HearingAids[[#This Row],[haNetPriceBinural]]-HearingAids[[#This Row],[chargerPrice]])/2</f>
        <v>475</v>
      </c>
      <c r="K148" s="2">
        <f>HearingAids[[#This Row],[HAListPrice]]-HearingAids[[#This Row],[Discount Amount 2]]</f>
        <v>4350</v>
      </c>
      <c r="L148" s="102">
        <v>8900</v>
      </c>
      <c r="M148" s="102"/>
      <c r="N148" s="2">
        <f>HearingAids[[#This Row],[haNetPrice]]-((HearingAids[[#This Row],[haNetPriceBinural2]]-HearingAids[[#This Row],[chargerPrice]])/2)</f>
        <v>4450</v>
      </c>
      <c r="O148" s="102">
        <f>HearingAids[[#This Row],[haNetPrice]]-HearingAids[[#This Row],[Discount Amount 3]]</f>
        <v>-100</v>
      </c>
      <c r="P148" s="102"/>
      <c r="Q148" s="104">
        <v>1</v>
      </c>
      <c r="R148" s="104" t="s">
        <v>9</v>
      </c>
      <c r="S148" s="2">
        <v>200</v>
      </c>
      <c r="T148" s="105" t="s">
        <v>14</v>
      </c>
      <c r="U148" s="105">
        <v>0</v>
      </c>
      <c r="V148" s="106" t="s">
        <v>11</v>
      </c>
      <c r="X148" s="2"/>
      <c r="Y148" s="2"/>
      <c r="Z148" s="2"/>
      <c r="AA148" s="2"/>
      <c r="AB148" s="2"/>
      <c r="AC148" s="2"/>
      <c r="AD148" s="12"/>
      <c r="AE148" s="25"/>
    </row>
    <row r="149" spans="1:31" ht="12.75">
      <c r="A149" s="99" t="s">
        <v>622</v>
      </c>
      <c r="B149" s="101" t="s">
        <v>623</v>
      </c>
      <c r="C149" s="60">
        <f>(HearingAids[[#This Row],[haMSRP]]*2)+HearingAids[[#This Row],[chargerPrice]]</f>
        <v>7578</v>
      </c>
      <c r="D149" s="102">
        <v>3689</v>
      </c>
      <c r="E149" s="102" t="s">
        <v>538</v>
      </c>
      <c r="F149" s="39">
        <f>HearingAids[[#This Row],[haMSRP]]-((HearingAids[[#This Row],[ListPriceBinural]]-HearingAids[[#This Row],[chargerPrice]])/2)</f>
        <v>194</v>
      </c>
      <c r="G149" s="39">
        <f>HearingAids[[#This Row],[haMSRP]]-HearingAids[[#This Row],[Discount Amount 1]]</f>
        <v>3495</v>
      </c>
      <c r="H149" s="2">
        <v>7190</v>
      </c>
      <c r="I149" s="103" t="s">
        <v>539</v>
      </c>
      <c r="J149" s="2">
        <f>(HearingAids[[#This Row],[haMSRP]]-HearingAids[[#This Row],[Discount Amount 1]])-(HearingAids[[#This Row],[haNetPriceBinural]]-HearingAids[[#This Row],[chargerPrice]])/2</f>
        <v>475</v>
      </c>
      <c r="K149" s="2">
        <f>HearingAids[[#This Row],[HAListPrice]]-HearingAids[[#This Row],[Discount Amount 2]]</f>
        <v>3020</v>
      </c>
      <c r="L149" s="102">
        <v>6240</v>
      </c>
      <c r="M149" s="102"/>
      <c r="N149" s="2">
        <f>HearingAids[[#This Row],[haNetPrice]]-((HearingAids[[#This Row],[haNetPriceBinural2]]-HearingAids[[#This Row],[chargerPrice]])/2)</f>
        <v>3120</v>
      </c>
      <c r="O149" s="102">
        <f>HearingAids[[#This Row],[haNetPrice]]-HearingAids[[#This Row],[Discount Amount 3]]</f>
        <v>-100</v>
      </c>
      <c r="P149" s="102"/>
      <c r="Q149" s="104">
        <v>1</v>
      </c>
      <c r="R149" s="104" t="s">
        <v>9</v>
      </c>
      <c r="S149" s="2">
        <v>200</v>
      </c>
      <c r="T149" s="105" t="s">
        <v>14</v>
      </c>
      <c r="U149" s="105">
        <v>0</v>
      </c>
      <c r="V149" s="106" t="s">
        <v>11</v>
      </c>
      <c r="X149" s="2"/>
      <c r="Y149" s="2"/>
      <c r="Z149" s="2"/>
      <c r="AA149" s="2"/>
      <c r="AB149" s="2"/>
      <c r="AC149" s="2"/>
      <c r="AD149" s="12"/>
    </row>
    <row r="150" spans="1:31" ht="12.75">
      <c r="A150" s="99" t="s">
        <v>624</v>
      </c>
      <c r="B150" s="100" t="s">
        <v>625</v>
      </c>
      <c r="C150" s="60">
        <f>(HearingAids[[#This Row],[haMSRP]]*2)+HearingAids[[#This Row],[chargerPrice]]</f>
        <v>9558</v>
      </c>
      <c r="D150" s="102">
        <v>4679</v>
      </c>
      <c r="E150" s="102" t="s">
        <v>538</v>
      </c>
      <c r="F150" s="39">
        <f>HearingAids[[#This Row],[haMSRP]]-((HearingAids[[#This Row],[ListPriceBinural]]-HearingAids[[#This Row],[chargerPrice]])/2)</f>
        <v>454</v>
      </c>
      <c r="G150" s="39">
        <f>HearingAids[[#This Row],[haMSRP]]-HearingAids[[#This Row],[Discount Amount 1]]</f>
        <v>4225</v>
      </c>
      <c r="H150" s="2">
        <v>8650</v>
      </c>
      <c r="I150" s="103" t="s">
        <v>539</v>
      </c>
      <c r="J150" s="2">
        <f>(HearingAids[[#This Row],[haMSRP]]-HearingAids[[#This Row],[Discount Amount 1]])-(HearingAids[[#This Row],[haNetPriceBinural]]-HearingAids[[#This Row],[chargerPrice]])/2</f>
        <v>475</v>
      </c>
      <c r="K150" s="2">
        <f>HearingAids[[#This Row],[HAListPrice]]-HearingAids[[#This Row],[Discount Amount 2]]</f>
        <v>3750</v>
      </c>
      <c r="L150" s="102">
        <v>7700</v>
      </c>
      <c r="M150" s="102"/>
      <c r="N150" s="2">
        <f>HearingAids[[#This Row],[haNetPrice]]-((HearingAids[[#This Row],[haNetPriceBinural2]]-HearingAids[[#This Row],[chargerPrice]])/2)</f>
        <v>3850</v>
      </c>
      <c r="O150" s="102">
        <f>HearingAids[[#This Row],[haNetPrice]]-HearingAids[[#This Row],[Discount Amount 3]]</f>
        <v>-100</v>
      </c>
      <c r="P150" s="102"/>
      <c r="Q150" s="104">
        <v>1</v>
      </c>
      <c r="R150" s="104" t="s">
        <v>9</v>
      </c>
      <c r="S150" s="2">
        <v>200</v>
      </c>
      <c r="T150" s="105" t="s">
        <v>14</v>
      </c>
      <c r="U150" s="105">
        <v>0</v>
      </c>
      <c r="V150" s="106" t="s">
        <v>11</v>
      </c>
      <c r="X150" s="2"/>
      <c r="Y150" s="2"/>
      <c r="Z150" s="2"/>
      <c r="AA150" s="2"/>
      <c r="AB150" s="2"/>
      <c r="AC150" s="2"/>
      <c r="AD150" s="12"/>
    </row>
    <row r="151" spans="1:31" ht="12.75">
      <c r="A151" s="99" t="s">
        <v>620</v>
      </c>
      <c r="B151" s="101" t="s">
        <v>621</v>
      </c>
      <c r="C151" s="60">
        <f>(HearingAids[[#This Row],[haMSRP]]*2)+HearingAids[[#This Row],[chargerPrice]]</f>
        <v>11838</v>
      </c>
      <c r="D151" s="102">
        <v>5819</v>
      </c>
      <c r="E151" s="102" t="s">
        <v>538</v>
      </c>
      <c r="F151" s="39">
        <f>HearingAids[[#This Row],[haMSRP]]-((HearingAids[[#This Row],[ListPriceBinural]]-HearingAids[[#This Row],[chargerPrice]])/2)</f>
        <v>994</v>
      </c>
      <c r="G151" s="39">
        <f>HearingAids[[#This Row],[haMSRP]]-HearingAids[[#This Row],[Discount Amount 1]]</f>
        <v>4825</v>
      </c>
      <c r="H151" s="2">
        <v>9850</v>
      </c>
      <c r="I151" s="103" t="s">
        <v>421</v>
      </c>
      <c r="J151" s="2">
        <f>(HearingAids[[#This Row],[haMSRP]]-HearingAids[[#This Row],[Discount Amount 1]])-(HearingAids[[#This Row],[haNetPriceBinural]]-HearingAids[[#This Row],[chargerPrice]])/2</f>
        <v>600</v>
      </c>
      <c r="K151" s="2">
        <f>HearingAids[[#This Row],[HAListPrice]]-HearingAids[[#This Row],[Discount Amount 2]]</f>
        <v>4225</v>
      </c>
      <c r="L151" s="102">
        <v>8650</v>
      </c>
      <c r="M151" s="103" t="s">
        <v>539</v>
      </c>
      <c r="N151" s="2">
        <f>HearingAids[[#This Row],[haNetPrice]]-((HearingAids[[#This Row],[haNetPriceBinural2]]-HearingAids[[#This Row],[chargerPrice]])/2)</f>
        <v>525</v>
      </c>
      <c r="O151" s="103">
        <v>3675</v>
      </c>
      <c r="P151" s="102">
        <v>7600</v>
      </c>
      <c r="Q151" s="104">
        <v>1</v>
      </c>
      <c r="R151" s="104" t="s">
        <v>9</v>
      </c>
      <c r="S151" s="2">
        <v>200</v>
      </c>
      <c r="T151" s="105" t="s">
        <v>14</v>
      </c>
      <c r="U151" s="105">
        <v>0</v>
      </c>
      <c r="V151" s="106" t="s">
        <v>11</v>
      </c>
      <c r="X151" s="2"/>
      <c r="Y151" s="2"/>
      <c r="Z151" s="2"/>
      <c r="AA151" s="2"/>
      <c r="AB151" s="2"/>
      <c r="AC151" s="2"/>
      <c r="AD151" s="12"/>
    </row>
    <row r="152" spans="1:31" ht="12.75">
      <c r="A152" s="99" t="s">
        <v>622</v>
      </c>
      <c r="B152" s="100" t="s">
        <v>623</v>
      </c>
      <c r="C152" s="60">
        <f>(HearingAids[[#This Row],[haMSRP]]*2)+HearingAids[[#This Row],[chargerPrice]]</f>
        <v>7578</v>
      </c>
      <c r="D152" s="102">
        <v>3689</v>
      </c>
      <c r="E152" s="102" t="s">
        <v>538</v>
      </c>
      <c r="F152" s="39">
        <f>HearingAids[[#This Row],[haMSRP]]-((HearingAids[[#This Row],[ListPriceBinural]]-HearingAids[[#This Row],[chargerPrice]])/2)</f>
        <v>194</v>
      </c>
      <c r="G152" s="39">
        <f>HearingAids[[#This Row],[haMSRP]]-HearingAids[[#This Row],[Discount Amount 1]]</f>
        <v>3495</v>
      </c>
      <c r="H152" s="2">
        <v>7190</v>
      </c>
      <c r="I152" s="103" t="s">
        <v>421</v>
      </c>
      <c r="J152" s="2">
        <f>(HearingAids[[#This Row],[haMSRP]]-HearingAids[[#This Row],[Discount Amount 1]])-(HearingAids[[#This Row],[haNetPriceBinural]]-HearingAids[[#This Row],[chargerPrice]])/2</f>
        <v>170</v>
      </c>
      <c r="K152" s="2">
        <f>HearingAids[[#This Row],[HAListPrice]]-HearingAids[[#This Row],[Discount Amount 2]]</f>
        <v>3325</v>
      </c>
      <c r="L152" s="102">
        <v>6850</v>
      </c>
      <c r="M152" s="103" t="s">
        <v>539</v>
      </c>
      <c r="N152" s="2">
        <f>HearingAids[[#This Row],[haNetPrice]]-((HearingAids[[#This Row],[haNetPriceBinural2]]-HearingAids[[#This Row],[chargerPrice]])/2)</f>
        <v>525</v>
      </c>
      <c r="O152" s="103">
        <v>2775</v>
      </c>
      <c r="P152" s="102">
        <v>5800</v>
      </c>
      <c r="Q152" s="104">
        <v>1</v>
      </c>
      <c r="R152" s="104" t="s">
        <v>9</v>
      </c>
      <c r="S152" s="2">
        <v>200</v>
      </c>
      <c r="T152" s="105" t="s">
        <v>14</v>
      </c>
      <c r="U152" s="105">
        <v>0</v>
      </c>
      <c r="V152" s="106" t="s">
        <v>11</v>
      </c>
      <c r="X152" s="2"/>
      <c r="Y152" s="2"/>
      <c r="Z152" s="2"/>
      <c r="AA152" s="2"/>
      <c r="AB152" s="2"/>
      <c r="AC152" s="2"/>
      <c r="AD152" s="12"/>
    </row>
    <row r="153" spans="1:31" ht="12.75">
      <c r="A153" s="107" t="s">
        <v>624</v>
      </c>
      <c r="B153" s="108" t="s">
        <v>625</v>
      </c>
      <c r="C153" s="60">
        <f>(HearingAids[[#This Row],[haMSRP]]*2)+HearingAids[[#This Row],[chargerPrice]]</f>
        <v>9558</v>
      </c>
      <c r="D153" s="109">
        <v>4679</v>
      </c>
      <c r="E153" s="109" t="s">
        <v>538</v>
      </c>
      <c r="F153" s="39">
        <f>HearingAids[[#This Row],[haMSRP]]-((HearingAids[[#This Row],[ListPriceBinural]]-HearingAids[[#This Row],[chargerPrice]])/2)</f>
        <v>454</v>
      </c>
      <c r="G153" s="39">
        <f>HearingAids[[#This Row],[haMSRP]]-HearingAids[[#This Row],[Discount Amount 1]]</f>
        <v>4225</v>
      </c>
      <c r="H153" s="2">
        <v>8650</v>
      </c>
      <c r="I153" s="110" t="s">
        <v>421</v>
      </c>
      <c r="J153" s="2">
        <f>(HearingAids[[#This Row],[haMSRP]]-HearingAids[[#This Row],[Discount Amount 1]])-(HearingAids[[#This Row],[haNetPriceBinural]]-HearingAids[[#This Row],[chargerPrice]])/2</f>
        <v>500</v>
      </c>
      <c r="K153" s="2">
        <f>HearingAids[[#This Row],[HAListPrice]]-HearingAids[[#This Row],[Discount Amount 2]]</f>
        <v>3725</v>
      </c>
      <c r="L153" s="109">
        <v>7650</v>
      </c>
      <c r="M153" s="110" t="s">
        <v>539</v>
      </c>
      <c r="N153" s="109">
        <v>500</v>
      </c>
      <c r="O153" s="110">
        <v>3175</v>
      </c>
      <c r="P153" s="109">
        <v>6600</v>
      </c>
      <c r="Q153" s="111">
        <v>1</v>
      </c>
      <c r="R153" s="111" t="s">
        <v>9</v>
      </c>
      <c r="S153" s="2">
        <v>200</v>
      </c>
      <c r="T153" s="112" t="s">
        <v>14</v>
      </c>
      <c r="U153" s="112">
        <v>0</v>
      </c>
      <c r="V153" s="113" t="s">
        <v>11</v>
      </c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 t="s">
        <v>599</v>
      </c>
      <c r="B242" s="13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>
      <c r="A243" s="17" t="s">
        <v>600</v>
      </c>
      <c r="B243" s="13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>
      <c r="A244" s="17" t="s">
        <v>601</v>
      </c>
      <c r="B244" s="13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>
      <c r="A245" s="17" t="s">
        <v>602</v>
      </c>
      <c r="B245" s="13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>
      <c r="A246" s="17" t="s">
        <v>603</v>
      </c>
      <c r="B246" s="13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>
      <c r="A247" s="17" t="s">
        <v>604</v>
      </c>
      <c r="B247" s="13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>
      <c r="A248" s="17" t="s">
        <v>605</v>
      </c>
      <c r="B248" s="13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>
      <c r="A249" s="17" t="s">
        <v>606</v>
      </c>
      <c r="B249" s="13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>
      <c r="A250" s="17" t="s">
        <v>607</v>
      </c>
      <c r="B250" s="13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>
      <c r="A251" s="17" t="s">
        <v>608</v>
      </c>
      <c r="B251" s="13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>
      <c r="A252" s="17" t="s">
        <v>609</v>
      </c>
      <c r="B252" s="13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>
      <c r="A253" s="17" t="s">
        <v>610</v>
      </c>
      <c r="B253" s="13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>
      <c r="A254" s="17" t="s">
        <v>611</v>
      </c>
      <c r="B254" s="13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>
      <c r="A255" s="17" t="s">
        <v>612</v>
      </c>
      <c r="B255" s="13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>
      <c r="A256" s="17" t="s">
        <v>613</v>
      </c>
      <c r="B256" s="13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>
      <c r="A257" s="17" t="s">
        <v>614</v>
      </c>
      <c r="B257" s="13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>
      <c r="A258" s="17" t="s">
        <v>615</v>
      </c>
      <c r="B258" s="13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>
      <c r="A259" s="17" t="s">
        <v>616</v>
      </c>
      <c r="B259" s="13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>
      <c r="A260" s="17" t="s">
        <v>617</v>
      </c>
      <c r="B260" s="13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8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8">_xlfn.UNIQUE(_xlfn._xlws.SORT((HearingAids[haModel])))</f>
        <v>Beltone BTE Digital Boost Ultra 17 86DWHT</v>
      </c>
      <c r="B3" t="str" cm="1">
        <f t="array" ref="B3:B20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Boost Max S Special</v>
      </c>
      <c r="C5" t="s">
        <v>64</v>
      </c>
    </row>
    <row r="6" spans="1:5">
      <c r="A6" t="str">
        <v>Beltone BTE Digital Boost Ultra 6 95DWT</v>
      </c>
      <c r="B6" t="str">
        <v>Early Lease Upgrade</v>
      </c>
      <c r="C6" t="s">
        <v>597</v>
      </c>
    </row>
    <row r="7" spans="1:5">
      <c r="A7" t="str">
        <v>Beltone BTE Digital Boost Ultra 9 86DWHT</v>
      </c>
      <c r="B7" t="str">
        <v>Fast Funding</v>
      </c>
      <c r="C7" t="s">
        <v>65</v>
      </c>
    </row>
    <row r="8" spans="1:5">
      <c r="A8" t="str">
        <v>Beltone BTE Digital Boost Ultra 9 95DWT</v>
      </c>
      <c r="B8" t="str">
        <v>GHB Competitive</v>
      </c>
    </row>
    <row r="9" spans="1:5">
      <c r="A9" t="str">
        <v>Beltone BTE Digital Rely 2 66DW</v>
      </c>
      <c r="B9" t="str">
        <v>HCS Competitive</v>
      </c>
    </row>
    <row r="10" spans="1:5">
      <c r="A10" t="str">
        <v>Beltone BTE Digital Rely 2 76DW</v>
      </c>
      <c r="B10" t="str">
        <v>HearUSA Competitive</v>
      </c>
    </row>
    <row r="11" spans="1:5">
      <c r="A11" t="str">
        <v>Beltone BTE Digital Rely 2 86DWH</v>
      </c>
      <c r="B11" t="str">
        <v>Humana</v>
      </c>
    </row>
    <row r="12" spans="1:5">
      <c r="A12" t="str">
        <v>Beltone BTE Digital Rely 2 95DW</v>
      </c>
      <c r="B12" t="str">
        <v>Limited Specials</v>
      </c>
    </row>
    <row r="13" spans="1:5">
      <c r="A13" t="str">
        <v>Beltone BTE Digital Rely 3 66DW</v>
      </c>
      <c r="B13" t="str">
        <v>Marketing Offer</v>
      </c>
    </row>
    <row r="14" spans="1:5">
      <c r="A14" t="str">
        <v>Beltone BTE Digital Rely 3 76DW</v>
      </c>
      <c r="B14" t="str">
        <v>Martins Point Competitive</v>
      </c>
    </row>
    <row r="15" spans="1:5">
      <c r="A15" t="str">
        <v>Beltone BTE Digital Rely 3 86DWH</v>
      </c>
      <c r="B15" t="str">
        <v>Nations Hearing Competitive</v>
      </c>
    </row>
    <row r="16" spans="1:5">
      <c r="A16" t="str">
        <v>Beltone BTE Digital Rely 3 95DW</v>
      </c>
      <c r="B16" t="str">
        <v>Open House Special</v>
      </c>
    </row>
    <row r="17" spans="1:2">
      <c r="A17" t="str">
        <v>Beltone BTE Digital Rely 4 66DW</v>
      </c>
      <c r="B17" t="str">
        <v>Tri-Care</v>
      </c>
    </row>
    <row r="18" spans="1:2">
      <c r="A18" t="str">
        <v>Beltone BTE Digital Rely 4 76DW</v>
      </c>
      <c r="B18" t="str">
        <v>TruHearing Competitive</v>
      </c>
    </row>
    <row r="19" spans="1:2">
      <c r="A19" t="str">
        <v>Beltone BTE Digital Rely 4 86DWH</v>
      </c>
      <c r="B19" t="str">
        <v>Veterans Discount</v>
      </c>
    </row>
    <row r="20" spans="1:2">
      <c r="A20" t="str">
        <v>Beltone BTE Digital Rely 4 95DW</v>
      </c>
      <c r="B20" t="str">
        <v>WellCare Competitive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Boost Max S 17 95-DWHC</v>
      </c>
    </row>
    <row r="30" spans="1:2">
      <c r="A30" t="str">
        <v>Beltone RIE Digital Boost Max S 4 95-DWHC</v>
      </c>
    </row>
    <row r="31" spans="1:2">
      <c r="A31" t="str">
        <v>Beltone RIE Digital Boost Max S 6 95-DWHC</v>
      </c>
    </row>
    <row r="32" spans="1:2">
      <c r="A32" t="str">
        <v>Beltone RIE Digital Boost Max S 9 95-DWHC</v>
      </c>
    </row>
    <row r="33" spans="1:1">
      <c r="A33" t="str">
        <v>Beltone RIE Digital Commence 2 63-DRW</v>
      </c>
    </row>
    <row r="34" spans="1:1">
      <c r="A34" t="str">
        <v>Beltone RIE Digital Commence 3 62-DRWC</v>
      </c>
    </row>
    <row r="35" spans="1:1">
      <c r="A35" t="str">
        <v>Beltone RIE Digital Envision 17 62S-DRWC</v>
      </c>
    </row>
    <row r="36" spans="1:1">
      <c r="A36" t="str">
        <v>Beltone RIE Digital Envision 4 62S-DRWC</v>
      </c>
    </row>
    <row r="37" spans="1:1">
      <c r="A37" t="str">
        <v>Beltone RIE Digital Envision 6 62S-DRWC</v>
      </c>
    </row>
    <row r="38" spans="1:1">
      <c r="A38" t="str">
        <v>Beltone RIE Digital Envision 9 62S-DRWC</v>
      </c>
    </row>
    <row r="39" spans="1:1">
      <c r="A39" t="str">
        <v>Beltone RIE Digital Rely 2 63DRW</v>
      </c>
    </row>
    <row r="40" spans="1:1">
      <c r="A40" t="str">
        <v>Beltone RIE Digital Rely 2 64DRW</v>
      </c>
    </row>
    <row r="41" spans="1:1">
      <c r="A41" t="str">
        <v>Beltone RIE Digital Rely 3 63DRW</v>
      </c>
    </row>
    <row r="42" spans="1:1">
      <c r="A42" t="str">
        <v>Beltone RIE Digital Rely 3 63DRWC</v>
      </c>
    </row>
    <row r="43" spans="1:1">
      <c r="A43" t="str">
        <v>Beltone RIE Digital Rely 3 64DRW</v>
      </c>
    </row>
    <row r="44" spans="1:1">
      <c r="A44" t="str">
        <v>Beltone RIE Digital Rely 4 63DRWC</v>
      </c>
    </row>
    <row r="45" spans="1:1">
      <c r="A45" t="str">
        <v>Beltone RIE Digital Rely 4 64DRW</v>
      </c>
    </row>
    <row r="46" spans="1:1">
      <c r="A46" t="str">
        <v>Beltone RIE Digital Serene 17 62SDRWC</v>
      </c>
    </row>
    <row r="47" spans="1:1">
      <c r="A47" t="str">
        <v>Beltone RIE Digital Serene 6 62SDRWC</v>
      </c>
    </row>
    <row r="48" spans="1:1">
      <c r="A48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2025-10-01T11:34:15Z</dcterms:modified>
  <cp:category/>
  <cp:contentStatus/>
</cp:coreProperties>
</file>