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DDY\files\EXCEL\"/>
    </mc:Choice>
  </mc:AlternateContent>
  <xr:revisionPtr revIDLastSave="0" documentId="13_ncr:1_{8C9885F7-ED2D-47E0-9AAC-EA36F4466B75}" xr6:coauthVersionLast="47" xr6:coauthVersionMax="47" xr10:uidLastSave="{00000000-0000-0000-0000-000000000000}"/>
  <bookViews>
    <workbookView xWindow="-108" yWindow="-108" windowWidth="23256" windowHeight="12576" activeTab="3" xr2:uid="{BA3AD8B4-3AF7-4E2A-A5AB-E80DEE42F64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CL Balance" sheetId="8" r:id="rId7"/>
    <sheet name="FACTORY" sheetId="7" r:id="rId8"/>
    <sheet name="REMITANCES" sheetId="9" r:id="rId9"/>
  </sheets>
  <definedNames>
    <definedName name="_xlnm._FilterDatabase" localSheetId="7" hidden="1">FACTORY!$D$9:$O$56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1" i="2" l="1"/>
  <c r="E201" i="2"/>
  <c r="G226" i="1"/>
  <c r="E226" i="1"/>
  <c r="G26" i="1"/>
  <c r="G25" i="1"/>
  <c r="E27" i="1"/>
  <c r="G27" i="1" s="1"/>
  <c r="E155" i="1"/>
  <c r="G155" i="1" s="1"/>
  <c r="E35" i="2"/>
  <c r="G35" i="2" s="1"/>
  <c r="E155" i="2"/>
  <c r="G155" i="2" s="1"/>
  <c r="G178" i="2"/>
  <c r="E178" i="2"/>
  <c r="E138" i="2"/>
  <c r="G138" i="2" s="1"/>
  <c r="G114" i="2"/>
  <c r="E189" i="2"/>
  <c r="G189" i="2" s="1"/>
  <c r="E200" i="2"/>
  <c r="E225" i="1"/>
  <c r="G225" i="1" s="1"/>
  <c r="E36" i="1"/>
  <c r="G36" i="1" s="1"/>
  <c r="E16" i="2"/>
  <c r="G16" i="2" s="1"/>
  <c r="E154" i="1"/>
  <c r="G154" i="1" s="1"/>
  <c r="E137" i="2"/>
  <c r="G137" i="2" s="1"/>
  <c r="G113" i="2"/>
  <c r="E87" i="2"/>
  <c r="G87" i="2" s="1"/>
  <c r="E60" i="2"/>
  <c r="G60" i="2" s="1"/>
  <c r="E134" i="1"/>
  <c r="E133" i="1"/>
  <c r="G133" i="1" s="1"/>
  <c r="E132" i="1"/>
  <c r="G132" i="1" s="1"/>
  <c r="E131" i="1"/>
  <c r="G131" i="1" s="1"/>
  <c r="E130" i="1"/>
  <c r="G130" i="1" s="1"/>
  <c r="E93" i="1"/>
  <c r="G93" i="1" s="1"/>
  <c r="E10" i="6"/>
  <c r="H11" i="6"/>
  <c r="J10" i="6"/>
  <c r="G10" i="6"/>
  <c r="L178" i="3"/>
  <c r="D178" i="3"/>
  <c r="E171" i="3"/>
  <c r="G171" i="3" s="1"/>
  <c r="E156" i="3"/>
  <c r="G156" i="3" s="1"/>
  <c r="G139" i="3"/>
  <c r="G138" i="3"/>
  <c r="E138" i="3"/>
  <c r="E139" i="3"/>
  <c r="E140" i="3"/>
  <c r="G74" i="3"/>
  <c r="E74" i="3"/>
  <c r="E33" i="3"/>
  <c r="G33" i="3" s="1"/>
  <c r="E32" i="3"/>
  <c r="G32" i="3" s="1"/>
  <c r="L204" i="2"/>
  <c r="D204" i="2"/>
  <c r="G199" i="2"/>
  <c r="G188" i="2"/>
  <c r="L191" i="2"/>
  <c r="D191" i="2"/>
  <c r="E177" i="2"/>
  <c r="G177" i="2" s="1"/>
  <c r="E15" i="4"/>
  <c r="G73" i="4"/>
  <c r="G74" i="4"/>
  <c r="E153" i="1"/>
  <c r="G153" i="1" s="1"/>
  <c r="E43" i="4"/>
  <c r="G43" i="4" s="1"/>
  <c r="E44" i="4"/>
  <c r="G44" i="4" s="1"/>
  <c r="E45" i="4"/>
  <c r="G45" i="4" s="1"/>
  <c r="E46" i="4"/>
  <c r="G46" i="4" s="1"/>
  <c r="E47" i="4"/>
  <c r="E59" i="4"/>
  <c r="G59" i="4" s="1"/>
  <c r="E60" i="4"/>
  <c r="G60" i="4" s="1"/>
  <c r="E61" i="4"/>
  <c r="G61" i="4" s="1"/>
  <c r="E62" i="4"/>
  <c r="E136" i="2"/>
  <c r="G136" i="2" s="1"/>
  <c r="G112" i="2"/>
  <c r="E35" i="1"/>
  <c r="G35" i="1" s="1"/>
  <c r="E92" i="1"/>
  <c r="G92" i="1" s="1"/>
  <c r="E59" i="2"/>
  <c r="G59" i="2" s="1"/>
  <c r="E176" i="2"/>
  <c r="G176" i="2" s="1"/>
  <c r="E14" i="4"/>
  <c r="G14" i="4" s="1"/>
  <c r="E224" i="1"/>
  <c r="G224" i="1" s="1"/>
  <c r="E15" i="2"/>
  <c r="G15" i="2" s="1"/>
  <c r="E90" i="1"/>
  <c r="G90" i="1" s="1"/>
  <c r="E73" i="3"/>
  <c r="G73" i="3" s="1"/>
  <c r="E104" i="3"/>
  <c r="G104" i="3" s="1"/>
  <c r="E105" i="3"/>
  <c r="G105" i="3" s="1"/>
  <c r="E106" i="3"/>
  <c r="G106" i="3" s="1"/>
  <c r="E107" i="3"/>
  <c r="G107" i="3" s="1"/>
  <c r="E108" i="3"/>
  <c r="G108" i="3" s="1"/>
  <c r="E109" i="3"/>
  <c r="E110" i="3"/>
  <c r="E111" i="3"/>
  <c r="E31" i="3"/>
  <c r="G31" i="3" s="1"/>
  <c r="G129" i="1"/>
  <c r="E154" i="2"/>
  <c r="G154" i="2" s="1"/>
  <c r="E30" i="3"/>
  <c r="G30" i="3" s="1"/>
  <c r="E155" i="3"/>
  <c r="G155" i="3" s="1"/>
  <c r="E72" i="3"/>
  <c r="G72" i="3" s="1"/>
  <c r="G135" i="1"/>
  <c r="E128" i="1"/>
  <c r="G128" i="1" s="1"/>
  <c r="E33" i="1"/>
  <c r="G33" i="1" s="1"/>
  <c r="K85" i="7"/>
  <c r="K86" i="7"/>
  <c r="K87" i="7"/>
  <c r="K88" i="7"/>
  <c r="K84" i="7"/>
  <c r="E91" i="1"/>
  <c r="G91" i="1" s="1"/>
  <c r="E29" i="2"/>
  <c r="E30" i="2"/>
  <c r="G30" i="2" s="1"/>
  <c r="E31" i="2"/>
  <c r="G31" i="2" s="1"/>
  <c r="E32" i="2"/>
  <c r="G32" i="2" s="1"/>
  <c r="E33" i="2"/>
  <c r="G33" i="2" s="1"/>
  <c r="E34" i="2"/>
  <c r="G34" i="2" s="1"/>
  <c r="E38" i="2"/>
  <c r="E152" i="1"/>
  <c r="G152" i="1" s="1"/>
  <c r="G72" i="4"/>
  <c r="E73" i="4"/>
  <c r="E74" i="4"/>
  <c r="E75" i="4"/>
  <c r="G75" i="4" s="1"/>
  <c r="E76" i="4"/>
  <c r="G76" i="4" s="1"/>
  <c r="E77" i="4"/>
  <c r="E78" i="4"/>
  <c r="E72" i="4"/>
  <c r="L80" i="4"/>
  <c r="F44" i="8" s="1"/>
  <c r="D80" i="4"/>
  <c r="G27" i="4"/>
  <c r="G28" i="4"/>
  <c r="G29" i="4"/>
  <c r="G30" i="4"/>
  <c r="E26" i="4"/>
  <c r="G26" i="4" s="1"/>
  <c r="E86" i="2"/>
  <c r="G86" i="2" s="1"/>
  <c r="E58" i="2"/>
  <c r="G58" i="2" s="1"/>
  <c r="K91" i="7"/>
  <c r="K92" i="7"/>
  <c r="K93" i="7"/>
  <c r="K94" i="7"/>
  <c r="K95" i="7"/>
  <c r="K97" i="7"/>
  <c r="K98" i="7"/>
  <c r="K101" i="7"/>
  <c r="K102" i="7"/>
  <c r="K103" i="7"/>
  <c r="K104" i="7"/>
  <c r="K105" i="7"/>
  <c r="K90" i="7"/>
  <c r="E175" i="2"/>
  <c r="G175" i="2" s="1"/>
  <c r="E135" i="2"/>
  <c r="G135" i="2" s="1"/>
  <c r="E111" i="2"/>
  <c r="G111" i="2" s="1"/>
  <c r="E34" i="1"/>
  <c r="G34" i="1" s="1"/>
  <c r="E223" i="1"/>
  <c r="G223" i="1" s="1"/>
  <c r="K89" i="7"/>
  <c r="E58" i="4"/>
  <c r="G58" i="4" s="1"/>
  <c r="L64" i="4"/>
  <c r="F22" i="8" s="1"/>
  <c r="D64" i="4"/>
  <c r="G62" i="4"/>
  <c r="G15" i="4"/>
  <c r="G16" i="4"/>
  <c r="E12" i="4"/>
  <c r="G12" i="4" s="1"/>
  <c r="E13" i="4"/>
  <c r="G13" i="4" s="1"/>
  <c r="E174" i="2"/>
  <c r="G174" i="2" s="1"/>
  <c r="E32" i="1"/>
  <c r="G32" i="1" s="1"/>
  <c r="E42" i="4"/>
  <c r="L51" i="4"/>
  <c r="F8" i="8" s="1"/>
  <c r="D51" i="4"/>
  <c r="E153" i="2"/>
  <c r="G153" i="2" s="1"/>
  <c r="E110" i="2"/>
  <c r="G110" i="2" s="1"/>
  <c r="E134" i="2"/>
  <c r="G134" i="2" s="1"/>
  <c r="E127" i="1"/>
  <c r="G127" i="1" s="1"/>
  <c r="Y66" i="9"/>
  <c r="X66" i="9"/>
  <c r="L66" i="9"/>
  <c r="O66" i="9"/>
  <c r="P66" i="9" s="1"/>
  <c r="R250" i="7"/>
  <c r="E89" i="1"/>
  <c r="G89" i="1" s="1"/>
  <c r="E133" i="2"/>
  <c r="G133" i="2" s="1"/>
  <c r="E109" i="2"/>
  <c r="G109" i="2" s="1"/>
  <c r="E46" i="3"/>
  <c r="G46" i="3" s="1"/>
  <c r="E154" i="3"/>
  <c r="G154" i="3" s="1"/>
  <c r="G121" i="3"/>
  <c r="E71" i="3"/>
  <c r="G71" i="3" s="1"/>
  <c r="K79" i="7"/>
  <c r="E31" i="1"/>
  <c r="G31" i="1" s="1"/>
  <c r="E222" i="1"/>
  <c r="G222" i="1" s="1"/>
  <c r="L98" i="1"/>
  <c r="E221" i="1"/>
  <c r="G221" i="1" s="1"/>
  <c r="E220" i="1"/>
  <c r="G220" i="1" s="1"/>
  <c r="E70" i="3"/>
  <c r="G70" i="3" s="1"/>
  <c r="E29" i="3"/>
  <c r="G29" i="3" s="1"/>
  <c r="E28" i="3"/>
  <c r="G28" i="3" s="1"/>
  <c r="E69" i="3"/>
  <c r="G69" i="3" s="1"/>
  <c r="E137" i="3"/>
  <c r="G137" i="3" s="1"/>
  <c r="E120" i="3"/>
  <c r="G120" i="3" s="1"/>
  <c r="E88" i="1"/>
  <c r="G88" i="1" s="1"/>
  <c r="E126" i="1"/>
  <c r="G126" i="1" s="1"/>
  <c r="E152" i="2"/>
  <c r="G152" i="2" s="1"/>
  <c r="E125" i="1"/>
  <c r="G125" i="1" s="1"/>
  <c r="E219" i="1"/>
  <c r="G219" i="1" s="1"/>
  <c r="E87" i="1"/>
  <c r="G87" i="1" s="1"/>
  <c r="E30" i="1"/>
  <c r="G30" i="1" s="1"/>
  <c r="E29" i="1"/>
  <c r="G29" i="1" s="1"/>
  <c r="E124" i="1"/>
  <c r="G124" i="1" s="1"/>
  <c r="E57" i="2"/>
  <c r="G57" i="2" s="1"/>
  <c r="E85" i="2"/>
  <c r="G85" i="2" s="1"/>
  <c r="E108" i="2"/>
  <c r="G108" i="2" s="1"/>
  <c r="E151" i="1"/>
  <c r="G151" i="1" s="1"/>
  <c r="E123" i="1"/>
  <c r="G123" i="1" s="1"/>
  <c r="E218" i="1"/>
  <c r="G218" i="1" s="1"/>
  <c r="E28" i="1"/>
  <c r="G28" i="1" s="1"/>
  <c r="E86" i="1"/>
  <c r="G86" i="1" s="1"/>
  <c r="E150" i="1"/>
  <c r="G150" i="1" s="1"/>
  <c r="E85" i="1"/>
  <c r="G85" i="1" s="1"/>
  <c r="E122" i="1"/>
  <c r="G122" i="1" s="1"/>
  <c r="E121" i="1"/>
  <c r="G121" i="1" s="1"/>
  <c r="E84" i="1"/>
  <c r="G84" i="1" s="1"/>
  <c r="E26" i="3"/>
  <c r="G26" i="3" s="1"/>
  <c r="E67" i="3"/>
  <c r="G67" i="3" s="1"/>
  <c r="E25" i="3"/>
  <c r="G25" i="3" s="1"/>
  <c r="L65" i="9"/>
  <c r="O65" i="9" s="1"/>
  <c r="P65" i="9" s="1"/>
  <c r="L64" i="9"/>
  <c r="O64" i="9" s="1"/>
  <c r="P64" i="9" s="1"/>
  <c r="E24" i="3"/>
  <c r="G24" i="3" s="1"/>
  <c r="E23" i="3"/>
  <c r="G23" i="3" s="1"/>
  <c r="L63" i="9"/>
  <c r="O63" i="9" s="1"/>
  <c r="P63" i="9" s="1"/>
  <c r="L62" i="9"/>
  <c r="O62" i="9" s="1"/>
  <c r="P62" i="9" s="1"/>
  <c r="L106" i="9"/>
  <c r="O106" i="9" s="1"/>
  <c r="P106" i="9" s="1"/>
  <c r="L108" i="9"/>
  <c r="O108" i="9" s="1"/>
  <c r="P108" i="9" s="1"/>
  <c r="K67" i="8"/>
  <c r="M67" i="8" s="1"/>
  <c r="K66" i="8"/>
  <c r="M66" i="8" s="1"/>
  <c r="E24" i="1"/>
  <c r="G24" i="1" s="1"/>
  <c r="E204" i="2" l="1"/>
  <c r="G200" i="2"/>
  <c r="G204" i="2"/>
  <c r="G205" i="2" s="1"/>
  <c r="D42" i="8" s="1"/>
  <c r="E80" i="4"/>
  <c r="E51" i="4"/>
  <c r="E178" i="3"/>
  <c r="G178" i="3"/>
  <c r="G179" i="3" s="1"/>
  <c r="D39" i="8" s="1"/>
  <c r="E191" i="2"/>
  <c r="G191" i="2"/>
  <c r="G192" i="2" s="1"/>
  <c r="D41" i="8" s="1"/>
  <c r="G64" i="4"/>
  <c r="E22" i="8" s="1"/>
  <c r="G80" i="4"/>
  <c r="G42" i="4"/>
  <c r="G51" i="4" s="1"/>
  <c r="E64" i="4"/>
  <c r="S75" i="1"/>
  <c r="X60" i="9"/>
  <c r="Y60" i="9" s="1"/>
  <c r="X59" i="9"/>
  <c r="Y59" i="9" s="1"/>
  <c r="L60" i="9"/>
  <c r="O60" i="9" s="1"/>
  <c r="P60" i="9" s="1"/>
  <c r="L59" i="9"/>
  <c r="O59" i="9" s="1"/>
  <c r="P59" i="9" s="1"/>
  <c r="L61" i="9"/>
  <c r="O61" i="9" s="1"/>
  <c r="P61" i="9" s="1"/>
  <c r="E22" i="3"/>
  <c r="G22" i="3" s="1"/>
  <c r="E21" i="3"/>
  <c r="G21" i="3" s="1"/>
  <c r="E66" i="3"/>
  <c r="G66" i="3" s="1"/>
  <c r="K60" i="7"/>
  <c r="G81" i="4" l="1"/>
  <c r="D44" i="8" s="1"/>
  <c r="E44" i="8"/>
  <c r="G65" i="4"/>
  <c r="D22" i="8" s="1"/>
  <c r="G52" i="4"/>
  <c r="D8" i="8" s="1"/>
  <c r="E8" i="8"/>
  <c r="E179" i="1"/>
  <c r="G179" i="1" s="1"/>
  <c r="E178" i="1"/>
  <c r="G178" i="1" s="1"/>
  <c r="E177" i="1"/>
  <c r="G177" i="1" s="1"/>
  <c r="E176" i="1"/>
  <c r="G176" i="1" s="1"/>
  <c r="E65" i="3"/>
  <c r="G65" i="3" s="1"/>
  <c r="E20" i="3"/>
  <c r="G20" i="3" s="1"/>
  <c r="E19" i="3"/>
  <c r="G19" i="3" s="1"/>
  <c r="E18" i="3"/>
  <c r="G18" i="3" s="1"/>
  <c r="E17" i="3"/>
  <c r="G17" i="3" s="1"/>
  <c r="K59" i="7"/>
  <c r="X101" i="9"/>
  <c r="Y101" i="9" s="1"/>
  <c r="I162" i="7"/>
  <c r="E64" i="3"/>
  <c r="G64" i="3" s="1"/>
  <c r="X97" i="9"/>
  <c r="Y97" i="9" s="1"/>
  <c r="X104" i="9"/>
  <c r="Y104" i="9" s="1"/>
  <c r="L104" i="9"/>
  <c r="O104" i="9" s="1"/>
  <c r="P104" i="9" s="1"/>
  <c r="L97" i="9"/>
  <c r="O97" i="9" s="1"/>
  <c r="M97" i="9"/>
  <c r="Q150" i="7"/>
  <c r="I158" i="7"/>
  <c r="X102" i="9"/>
  <c r="Y102" i="9" s="1"/>
  <c r="X99" i="9"/>
  <c r="Y99" i="9" s="1"/>
  <c r="X98" i="9"/>
  <c r="Y98" i="9" s="1"/>
  <c r="X96" i="9"/>
  <c r="Y96" i="9" s="1"/>
  <c r="X94" i="9"/>
  <c r="Y94" i="9" s="1"/>
  <c r="X93" i="9"/>
  <c r="Y93" i="9" s="1"/>
  <c r="L102" i="9"/>
  <c r="O102" i="9" s="1"/>
  <c r="P102" i="9" s="1"/>
  <c r="L99" i="9"/>
  <c r="I99" i="9"/>
  <c r="L98" i="9"/>
  <c r="O98" i="9" s="1"/>
  <c r="P98" i="9" s="1"/>
  <c r="L96" i="9"/>
  <c r="O96" i="9" s="1"/>
  <c r="P96" i="9" s="1"/>
  <c r="AQ37" i="9"/>
  <c r="M94" i="9"/>
  <c r="L94" i="9"/>
  <c r="O94" i="9" s="1"/>
  <c r="L93" i="9"/>
  <c r="O93" i="9" s="1"/>
  <c r="P93" i="9" s="1"/>
  <c r="O99" i="9" l="1"/>
  <c r="P99" i="9" s="1"/>
  <c r="P97" i="9"/>
  <c r="P94" i="9"/>
  <c r="X92" i="9"/>
  <c r="Y92" i="9" s="1"/>
  <c r="L92" i="9"/>
  <c r="O92" i="9" s="1"/>
  <c r="P92" i="9" s="1"/>
  <c r="E63" i="3"/>
  <c r="G63" i="3" s="1"/>
  <c r="K58" i="7"/>
  <c r="E23" i="1"/>
  <c r="G23" i="1" s="1"/>
  <c r="E83" i="1" l="1"/>
  <c r="G83" i="1" s="1"/>
  <c r="N33" i="8"/>
  <c r="X32" i="9"/>
  <c r="Y32" i="9" s="1"/>
  <c r="X44" i="9"/>
  <c r="Y44" i="9" s="1"/>
  <c r="L44" i="9"/>
  <c r="O44" i="9" s="1"/>
  <c r="P44" i="9" s="1"/>
  <c r="X45" i="9"/>
  <c r="Y45" i="9" s="1"/>
  <c r="X42" i="9"/>
  <c r="Y42" i="9" s="1"/>
  <c r="X38" i="9"/>
  <c r="Y38" i="9" s="1"/>
  <c r="O45" i="9"/>
  <c r="P45" i="9" s="1"/>
  <c r="O42" i="9"/>
  <c r="P42" i="9" s="1"/>
  <c r="L38" i="9"/>
  <c r="O38" i="9" s="1"/>
  <c r="P38" i="9" s="1"/>
  <c r="E16" i="3"/>
  <c r="G16" i="3" s="1"/>
  <c r="E103" i="3"/>
  <c r="G103" i="3" s="1"/>
  <c r="K57" i="7"/>
  <c r="E82" i="1"/>
  <c r="G82" i="1" s="1"/>
  <c r="E81" i="1"/>
  <c r="G81" i="1" s="1"/>
  <c r="E80" i="1"/>
  <c r="G80" i="1" s="1"/>
  <c r="E22" i="1"/>
  <c r="G22" i="1" s="1"/>
  <c r="E15" i="3"/>
  <c r="G15" i="3" s="1"/>
  <c r="E14" i="3"/>
  <c r="G14" i="3" s="1"/>
  <c r="L56" i="9"/>
  <c r="O56" i="9" s="1"/>
  <c r="P56" i="9" s="1"/>
  <c r="T56" i="9" s="1"/>
  <c r="X58" i="9"/>
  <c r="Y58" i="9" s="1"/>
  <c r="L58" i="9"/>
  <c r="O58" i="9" s="1"/>
  <c r="P58" i="9" s="1"/>
  <c r="X57" i="9"/>
  <c r="Y57" i="9" s="1"/>
  <c r="X56" i="9"/>
  <c r="Y56" i="9" s="1"/>
  <c r="L57" i="9"/>
  <c r="O57" i="9" s="1"/>
  <c r="P57" i="9" s="1"/>
  <c r="X55" i="9"/>
  <c r="Y55" i="9" s="1"/>
  <c r="X54" i="9"/>
  <c r="Y54" i="9" s="1"/>
  <c r="L55" i="9"/>
  <c r="O55" i="9" s="1"/>
  <c r="P55" i="9" s="1"/>
  <c r="L54" i="9"/>
  <c r="O54" i="9" s="1"/>
  <c r="P54" i="9" s="1"/>
  <c r="X53" i="9"/>
  <c r="Y53" i="9" s="1"/>
  <c r="L53" i="9"/>
  <c r="O53" i="9" s="1"/>
  <c r="P53" i="9" s="1"/>
  <c r="X52" i="9"/>
  <c r="Y52" i="9" s="1"/>
  <c r="O52" i="9"/>
  <c r="P52" i="9" s="1"/>
  <c r="X51" i="9"/>
  <c r="Y51" i="9" s="1"/>
  <c r="O51" i="9"/>
  <c r="P51" i="9" s="1"/>
  <c r="X50" i="9"/>
  <c r="Y50" i="9" s="1"/>
  <c r="L50" i="9"/>
  <c r="O50" i="9" s="1"/>
  <c r="P50" i="9" s="1"/>
  <c r="X48" i="9"/>
  <c r="Y48" i="9" s="1"/>
  <c r="L48" i="9"/>
  <c r="O48" i="9" s="1"/>
  <c r="P48" i="9" s="1"/>
  <c r="X49" i="9"/>
  <c r="Y49" i="9" s="1"/>
  <c r="O49" i="9"/>
  <c r="P49" i="9" s="1"/>
  <c r="X47" i="9"/>
  <c r="Y47" i="9" s="1"/>
  <c r="O47" i="9"/>
  <c r="P47" i="9" s="1"/>
  <c r="X46" i="9"/>
  <c r="Y46" i="9" s="1"/>
  <c r="O46" i="9"/>
  <c r="P46" i="9" s="1"/>
  <c r="X43" i="9"/>
  <c r="Y43" i="9" s="1"/>
  <c r="L43" i="9"/>
  <c r="O43" i="9" s="1"/>
  <c r="P43" i="9" s="1"/>
  <c r="X41" i="9"/>
  <c r="Y41" i="9" s="1"/>
  <c r="L41" i="9"/>
  <c r="O41" i="9" s="1"/>
  <c r="P41" i="9" s="1"/>
  <c r="X40" i="9"/>
  <c r="Y40" i="9" s="1"/>
  <c r="L40" i="9"/>
  <c r="O40" i="9" s="1"/>
  <c r="P40" i="9" s="1"/>
  <c r="X39" i="9"/>
  <c r="Y39" i="9" s="1"/>
  <c r="O39" i="9"/>
  <c r="P39" i="9" s="1"/>
  <c r="X37" i="9"/>
  <c r="Y37" i="9" s="1"/>
  <c r="L37" i="9"/>
  <c r="O37" i="9" s="1"/>
  <c r="P37" i="9" s="1"/>
  <c r="X36" i="9"/>
  <c r="Y36" i="9" s="1"/>
  <c r="O36" i="9"/>
  <c r="P36" i="9" s="1"/>
  <c r="X35" i="9"/>
  <c r="Y35" i="9" s="1"/>
  <c r="O35" i="9"/>
  <c r="P35" i="9" s="1"/>
  <c r="E196" i="1"/>
  <c r="G196" i="1" s="1"/>
  <c r="E173" i="2"/>
  <c r="G173" i="2" s="1"/>
  <c r="G175" i="1"/>
  <c r="K142" i="7"/>
  <c r="E45" i="3"/>
  <c r="G45" i="3" s="1"/>
  <c r="K56" i="7"/>
  <c r="K54" i="7"/>
  <c r="E79" i="1"/>
  <c r="G79" i="1" s="1"/>
  <c r="E62" i="3"/>
  <c r="G62" i="3" s="1"/>
  <c r="E217" i="1"/>
  <c r="G217" i="1" s="1"/>
  <c r="E25" i="4"/>
  <c r="G25" i="4" s="1"/>
  <c r="G34" i="4" s="1"/>
  <c r="L34" i="4"/>
  <c r="F29" i="8" s="1"/>
  <c r="D34" i="4"/>
  <c r="E172" i="2"/>
  <c r="G172" i="2" s="1"/>
  <c r="E120" i="1"/>
  <c r="G120" i="1" s="1"/>
  <c r="G21" i="1"/>
  <c r="E107" i="2"/>
  <c r="G107" i="2" s="1"/>
  <c r="E195" i="1"/>
  <c r="G195" i="1" s="1"/>
  <c r="K55" i="7"/>
  <c r="K53" i="7"/>
  <c r="E17" i="1"/>
  <c r="E20" i="1"/>
  <c r="G20" i="1" s="1"/>
  <c r="AL43" i="9"/>
  <c r="AL30" i="9"/>
  <c r="AK11" i="9"/>
  <c r="AK12" i="9" s="1"/>
  <c r="AK14" i="9" s="1"/>
  <c r="AK16" i="9" s="1"/>
  <c r="AK18" i="9" s="1"/>
  <c r="L133" i="9"/>
  <c r="O133" i="9" s="1"/>
  <c r="P133" i="9" s="1"/>
  <c r="L132" i="9"/>
  <c r="O132" i="9" s="1"/>
  <c r="P132" i="9" s="1"/>
  <c r="L134" i="9"/>
  <c r="O134" i="9" s="1"/>
  <c r="P134" i="9" s="1"/>
  <c r="L131" i="9"/>
  <c r="O131" i="9" s="1"/>
  <c r="P131" i="9" s="1"/>
  <c r="L130" i="9"/>
  <c r="O130" i="9" s="1"/>
  <c r="P130" i="9" s="1"/>
  <c r="L129" i="9"/>
  <c r="O129" i="9" s="1"/>
  <c r="P129" i="9" s="1"/>
  <c r="L128" i="9"/>
  <c r="O128" i="9" s="1"/>
  <c r="P128" i="9" s="1"/>
  <c r="L127" i="9"/>
  <c r="O127" i="9" s="1"/>
  <c r="P127" i="9" s="1"/>
  <c r="L126" i="9"/>
  <c r="O126" i="9" s="1"/>
  <c r="P126" i="9" s="1"/>
  <c r="L125" i="9"/>
  <c r="O125" i="9" s="1"/>
  <c r="P125" i="9" s="1"/>
  <c r="L124" i="9"/>
  <c r="O124" i="9" s="1"/>
  <c r="P124" i="9" s="1"/>
  <c r="L123" i="9"/>
  <c r="O123" i="9" s="1"/>
  <c r="P123" i="9" s="1"/>
  <c r="L122" i="9"/>
  <c r="O122" i="9" s="1"/>
  <c r="P122" i="9" s="1"/>
  <c r="L121" i="9"/>
  <c r="O121" i="9" s="1"/>
  <c r="P121" i="9" s="1"/>
  <c r="E84" i="2"/>
  <c r="G84" i="2" s="1"/>
  <c r="G56" i="2"/>
  <c r="L231" i="1"/>
  <c r="E119" i="1"/>
  <c r="G119" i="1" s="1"/>
  <c r="E216" i="1"/>
  <c r="G216" i="1" s="1"/>
  <c r="E215" i="1"/>
  <c r="G215" i="1" s="1"/>
  <c r="X90" i="9"/>
  <c r="Y90" i="9" s="1"/>
  <c r="X89" i="9"/>
  <c r="Y89" i="9" s="1"/>
  <c r="X88" i="9"/>
  <c r="Y88" i="9" s="1"/>
  <c r="X87" i="9"/>
  <c r="Y87" i="9" s="1"/>
  <c r="L90" i="9"/>
  <c r="O90" i="9" s="1"/>
  <c r="P90" i="9" s="1"/>
  <c r="L89" i="9"/>
  <c r="O89" i="9" s="1"/>
  <c r="P89" i="9" s="1"/>
  <c r="L88" i="9"/>
  <c r="O88" i="9" s="1"/>
  <c r="P88" i="9" s="1"/>
  <c r="L87" i="9"/>
  <c r="O87" i="9" s="1"/>
  <c r="P87" i="9" s="1"/>
  <c r="E86" i="3"/>
  <c r="G86" i="3" s="1"/>
  <c r="E61" i="3"/>
  <c r="G61" i="3" s="1"/>
  <c r="X33" i="9"/>
  <c r="Y33" i="9" s="1"/>
  <c r="X34" i="9"/>
  <c r="Y34" i="9" s="1"/>
  <c r="L34" i="9"/>
  <c r="O34" i="9" s="1"/>
  <c r="P34" i="9" s="1"/>
  <c r="O33" i="9"/>
  <c r="P33" i="9" s="1"/>
  <c r="X30" i="9"/>
  <c r="Y30" i="9" s="1"/>
  <c r="O31" i="9"/>
  <c r="P31" i="9" s="1"/>
  <c r="O30" i="9"/>
  <c r="P30" i="9" s="1"/>
  <c r="X29" i="9"/>
  <c r="Y29" i="9" s="1"/>
  <c r="O29" i="9"/>
  <c r="P29" i="9" s="1"/>
  <c r="X28" i="9"/>
  <c r="Y28" i="9" s="1"/>
  <c r="O28" i="9"/>
  <c r="P28" i="9" s="1"/>
  <c r="X27" i="9"/>
  <c r="Y27" i="9" s="1"/>
  <c r="O27" i="9"/>
  <c r="P27" i="9" s="1"/>
  <c r="X26" i="9"/>
  <c r="Y26" i="9" s="1"/>
  <c r="O26" i="9"/>
  <c r="P26" i="9" s="1"/>
  <c r="X25" i="9"/>
  <c r="Y25" i="9" s="1"/>
  <c r="L25" i="9"/>
  <c r="O25" i="9" s="1"/>
  <c r="P25" i="9" s="1"/>
  <c r="X24" i="9"/>
  <c r="Y24" i="9" s="1"/>
  <c r="L24" i="9"/>
  <c r="O24" i="9" s="1"/>
  <c r="P24" i="9" s="1"/>
  <c r="X23" i="9"/>
  <c r="Y23" i="9" s="1"/>
  <c r="O23" i="9"/>
  <c r="P23" i="9" s="1"/>
  <c r="X22" i="9"/>
  <c r="Y22" i="9" s="1"/>
  <c r="L22" i="9"/>
  <c r="O22" i="9" s="1"/>
  <c r="P22" i="9" s="1"/>
  <c r="X21" i="9"/>
  <c r="Y21" i="9" s="1"/>
  <c r="L21" i="9"/>
  <c r="O21" i="9" s="1"/>
  <c r="P21" i="9" s="1"/>
  <c r="X20" i="9"/>
  <c r="Y20" i="9" s="1"/>
  <c r="O20" i="9"/>
  <c r="P20" i="9" s="1"/>
  <c r="X19" i="9"/>
  <c r="Y19" i="9" s="1"/>
  <c r="O19" i="9"/>
  <c r="P19" i="9" s="1"/>
  <c r="X16" i="9"/>
  <c r="Y16" i="9" s="1"/>
  <c r="X18" i="9"/>
  <c r="Y18" i="9" s="1"/>
  <c r="O18" i="9"/>
  <c r="P18" i="9" s="1"/>
  <c r="X17" i="9"/>
  <c r="Y17" i="9" s="1"/>
  <c r="L16" i="9"/>
  <c r="O16" i="9" s="1"/>
  <c r="P16" i="9" s="1"/>
  <c r="L17" i="9"/>
  <c r="O17" i="9" s="1"/>
  <c r="P17" i="9" s="1"/>
  <c r="X15" i="9"/>
  <c r="Y15" i="9" s="1"/>
  <c r="L15" i="9"/>
  <c r="O15" i="9" s="1"/>
  <c r="P15" i="9" s="1"/>
  <c r="T15" i="9" s="1"/>
  <c r="G174" i="1"/>
  <c r="E19" i="1"/>
  <c r="G19" i="1" s="1"/>
  <c r="E132" i="2"/>
  <c r="G132" i="2" s="1"/>
  <c r="E106" i="2"/>
  <c r="G106" i="2" s="1"/>
  <c r="E83" i="2"/>
  <c r="G83" i="2" s="1"/>
  <c r="E55" i="2"/>
  <c r="G55" i="2" s="1"/>
  <c r="E171" i="2"/>
  <c r="G171" i="2" s="1"/>
  <c r="E194" i="1"/>
  <c r="G194" i="1" s="1"/>
  <c r="E214" i="1"/>
  <c r="G214" i="1" s="1"/>
  <c r="K52" i="7"/>
  <c r="K51" i="7"/>
  <c r="K50" i="7"/>
  <c r="E108" i="1"/>
  <c r="E118" i="1"/>
  <c r="G118" i="1" s="1"/>
  <c r="E117" i="1"/>
  <c r="G117" i="1" s="1"/>
  <c r="E149" i="1"/>
  <c r="E78" i="1"/>
  <c r="G78" i="1" s="1"/>
  <c r="L67" i="2"/>
  <c r="G35" i="4" l="1"/>
  <c r="D29" i="8" s="1"/>
  <c r="E29" i="8"/>
  <c r="E34" i="4"/>
  <c r="AK19" i="9"/>
  <c r="K48" i="7"/>
  <c r="K47" i="7"/>
  <c r="E60" i="3"/>
  <c r="G60" i="3" s="1"/>
  <c r="E44" i="3"/>
  <c r="G44" i="3" s="1"/>
  <c r="E170" i="2"/>
  <c r="G170" i="2" s="1"/>
  <c r="E82" i="2"/>
  <c r="G82" i="2" s="1"/>
  <c r="E54" i="2"/>
  <c r="G54" i="2" s="1"/>
  <c r="E105" i="2"/>
  <c r="G105" i="2" s="1"/>
  <c r="E131" i="2"/>
  <c r="G131" i="2" s="1"/>
  <c r="E116" i="1"/>
  <c r="G116" i="1" s="1"/>
  <c r="E18" i="1"/>
  <c r="G18" i="1" s="1"/>
  <c r="E213" i="1"/>
  <c r="G213" i="1" s="1"/>
  <c r="E115" i="1"/>
  <c r="G115" i="1" s="1"/>
  <c r="E77" i="1"/>
  <c r="G77" i="1" s="1"/>
  <c r="G149" i="1"/>
  <c r="E212" i="1"/>
  <c r="G212" i="1" s="1"/>
  <c r="E193" i="1"/>
  <c r="G193" i="1" s="1"/>
  <c r="E14" i="2"/>
  <c r="G14" i="2" s="1"/>
  <c r="G17" i="1"/>
  <c r="G173" i="1"/>
  <c r="F4" i="6"/>
  <c r="G13" i="3"/>
  <c r="AK23" i="9" l="1"/>
  <c r="AL23" i="9" s="1"/>
  <c r="AL44" i="9"/>
  <c r="AL45" i="9" s="1"/>
  <c r="AL31" i="9"/>
  <c r="AL32" i="9" s="1"/>
  <c r="E76" i="1"/>
  <c r="G76" i="1" s="1"/>
  <c r="E53" i="2"/>
  <c r="G53" i="2" s="1"/>
  <c r="E81" i="2"/>
  <c r="G81" i="2" s="1"/>
  <c r="E104" i="2"/>
  <c r="G104" i="2" s="1"/>
  <c r="E130" i="2"/>
  <c r="G130" i="2" s="1"/>
  <c r="G148" i="1"/>
  <c r="G114" i="1"/>
  <c r="E16" i="1"/>
  <c r="G16" i="1" s="1"/>
  <c r="E113" i="1"/>
  <c r="G113" i="1" s="1"/>
  <c r="E13" i="2"/>
  <c r="G13" i="2" s="1"/>
  <c r="G172" i="1"/>
  <c r="E192" i="1"/>
  <c r="G192" i="1" s="1"/>
  <c r="G211" i="1"/>
  <c r="E75" i="1"/>
  <c r="G75" i="1" s="1"/>
  <c r="E169" i="2"/>
  <c r="G169" i="2" s="1"/>
  <c r="E129" i="2"/>
  <c r="G129" i="2" s="1"/>
  <c r="E103" i="2"/>
  <c r="G103" i="2" s="1"/>
  <c r="E80" i="2"/>
  <c r="G80" i="2" s="1"/>
  <c r="E52" i="2"/>
  <c r="G52" i="2" s="1"/>
  <c r="E151" i="2"/>
  <c r="G151" i="2" s="1"/>
  <c r="E74" i="1"/>
  <c r="G74" i="1" s="1"/>
  <c r="G210" i="1"/>
  <c r="E147" i="1"/>
  <c r="G147" i="1" s="1"/>
  <c r="L61" i="8"/>
  <c r="AK44" i="9" l="1"/>
  <c r="AK31" i="9"/>
  <c r="AK32" i="9" s="1"/>
  <c r="E209" i="1"/>
  <c r="G209" i="1" s="1"/>
  <c r="E191" i="1"/>
  <c r="G191" i="1" s="1"/>
  <c r="G49" i="1"/>
  <c r="E146" i="1"/>
  <c r="G146" i="1" s="1"/>
  <c r="E102" i="2"/>
  <c r="G102" i="2" s="1"/>
  <c r="E11" i="4"/>
  <c r="G11" i="4" s="1"/>
  <c r="E15" i="1"/>
  <c r="G15" i="1" s="1"/>
  <c r="G12" i="2"/>
  <c r="AK33" i="9" l="1"/>
  <c r="AK34" i="9" s="1"/>
  <c r="AK36" i="9" s="1"/>
  <c r="AK45" i="9"/>
  <c r="AK46" i="9" s="1"/>
  <c r="AK47" i="9" s="1"/>
  <c r="E128" i="2"/>
  <c r="G128" i="2" s="1"/>
  <c r="E73" i="1"/>
  <c r="G73" i="1" s="1"/>
  <c r="E14" i="1"/>
  <c r="G14" i="1" s="1"/>
  <c r="E112" i="1"/>
  <c r="G112" i="1" s="1"/>
  <c r="E208" i="1"/>
  <c r="G208" i="1" s="1"/>
  <c r="E171" i="1"/>
  <c r="G171" i="1" s="1"/>
  <c r="E79" i="2"/>
  <c r="G79" i="2" s="1"/>
  <c r="E51" i="2"/>
  <c r="G51" i="2" s="1"/>
  <c r="E10" i="4"/>
  <c r="G10" i="4" s="1"/>
  <c r="E168" i="2"/>
  <c r="G168" i="2" s="1"/>
  <c r="G169" i="1"/>
  <c r="G168" i="1"/>
  <c r="L11" i="9"/>
  <c r="O11" i="9" s="1"/>
  <c r="P11" i="9" s="1"/>
  <c r="T11" i="9" s="1"/>
  <c r="X14" i="9"/>
  <c r="Y14" i="9" s="1"/>
  <c r="O14" i="9"/>
  <c r="P14" i="9" s="1"/>
  <c r="X13" i="9"/>
  <c r="Y13" i="9" s="1"/>
  <c r="L13" i="9"/>
  <c r="O13" i="9" s="1"/>
  <c r="P13" i="9" s="1"/>
  <c r="X12" i="9"/>
  <c r="Y12" i="9" s="1"/>
  <c r="AE43" i="9"/>
  <c r="AE30" i="9"/>
  <c r="AE11" i="9"/>
  <c r="AE12" i="9" s="1"/>
  <c r="AE14" i="9" s="1"/>
  <c r="AE16" i="9" s="1"/>
  <c r="AE18" i="9" s="1"/>
  <c r="AC11" i="9"/>
  <c r="AC12" i="9" s="1"/>
  <c r="AC14" i="9" s="1"/>
  <c r="AC16" i="9" s="1"/>
  <c r="AC18" i="9" s="1"/>
  <c r="L12" i="9"/>
  <c r="O12" i="9" s="1"/>
  <c r="P12" i="9" s="1"/>
  <c r="T12" i="9" s="1"/>
  <c r="T13" i="9" l="1"/>
  <c r="AK48" i="9"/>
  <c r="AD20" i="9"/>
  <c r="AC19" i="9"/>
  <c r="AD19" i="9" s="1"/>
  <c r="AE19" i="9"/>
  <c r="AE23" i="9" s="1"/>
  <c r="AK49" i="9" l="1"/>
  <c r="AE44" i="9"/>
  <c r="AE45" i="9" s="1"/>
  <c r="AE31" i="9"/>
  <c r="AE32" i="9" s="1"/>
  <c r="AC23" i="9"/>
  <c r="AD44" i="9" l="1"/>
  <c r="AD46" i="9" s="1"/>
  <c r="AD23" i="9"/>
  <c r="AD31" i="9"/>
  <c r="AD32" i="9" s="1"/>
  <c r="AC25" i="9"/>
  <c r="AD33" i="9" l="1"/>
  <c r="AD34" i="9" s="1"/>
  <c r="AD36" i="9" s="1"/>
  <c r="AD47" i="9"/>
  <c r="AD48" i="9" s="1"/>
  <c r="AD49" i="9" l="1"/>
  <c r="E72" i="1" l="1"/>
  <c r="G72" i="1" s="1"/>
  <c r="E111" i="1"/>
  <c r="G111" i="1" s="1"/>
  <c r="E170" i="1"/>
  <c r="G170" i="1" s="1"/>
  <c r="E13" i="1"/>
  <c r="G13" i="1" s="1"/>
  <c r="E11" i="2"/>
  <c r="G11" i="2" s="1"/>
  <c r="E150" i="2"/>
  <c r="G150" i="2" s="1"/>
  <c r="E101" i="2"/>
  <c r="G101" i="2" s="1"/>
  <c r="E127" i="2"/>
  <c r="G127" i="2" s="1"/>
  <c r="E167" i="2"/>
  <c r="G167" i="2" s="1"/>
  <c r="L18" i="4"/>
  <c r="F10" i="8" s="1"/>
  <c r="D18" i="4"/>
  <c r="E9" i="4"/>
  <c r="E18" i="4" s="1"/>
  <c r="E71" i="1"/>
  <c r="G71" i="1" s="1"/>
  <c r="E78" i="2"/>
  <c r="G78" i="2" s="1"/>
  <c r="E50" i="2"/>
  <c r="G50" i="2" s="1"/>
  <c r="E207" i="1"/>
  <c r="G207" i="1" s="1"/>
  <c r="E166" i="2"/>
  <c r="G166" i="2" s="1"/>
  <c r="E110" i="1"/>
  <c r="G110" i="1" s="1"/>
  <c r="E12" i="1"/>
  <c r="G12" i="1" s="1"/>
  <c r="E190" i="1"/>
  <c r="G190" i="1" s="1"/>
  <c r="E70" i="1"/>
  <c r="G70" i="1" s="1"/>
  <c r="E69" i="1"/>
  <c r="G69" i="1" s="1"/>
  <c r="E48" i="1"/>
  <c r="G48" i="1" s="1"/>
  <c r="E77" i="2"/>
  <c r="G77" i="2" s="1"/>
  <c r="E100" i="2"/>
  <c r="G100" i="2" s="1"/>
  <c r="E126" i="2"/>
  <c r="G126" i="2" s="1"/>
  <c r="E43" i="3"/>
  <c r="G43" i="3" s="1"/>
  <c r="E11" i="3"/>
  <c r="G11" i="3" s="1"/>
  <c r="E12" i="3"/>
  <c r="G12" i="3" s="1"/>
  <c r="E10" i="3"/>
  <c r="G10" i="3" s="1"/>
  <c r="E9" i="3"/>
  <c r="G9" i="3" s="1"/>
  <c r="G206" i="1"/>
  <c r="E76" i="2"/>
  <c r="G76" i="2" s="1"/>
  <c r="E49" i="2"/>
  <c r="G49" i="2" s="1"/>
  <c r="E189" i="1"/>
  <c r="G189" i="1" s="1"/>
  <c r="E109" i="1"/>
  <c r="G109" i="1" s="1"/>
  <c r="G231" i="1" l="1"/>
  <c r="G9" i="4"/>
  <c r="G18" i="4" s="1"/>
  <c r="E3" i="6"/>
  <c r="G3" i="6" s="1"/>
  <c r="G19" i="4" l="1"/>
  <c r="D10" i="8" s="1"/>
  <c r="E10" i="8"/>
  <c r="G167" i="1"/>
  <c r="E145" i="1"/>
  <c r="G145" i="1" s="1"/>
  <c r="E68" i="1"/>
  <c r="G68" i="1" s="1"/>
  <c r="E10" i="2"/>
  <c r="G10" i="2" s="1"/>
  <c r="E11" i="1"/>
  <c r="G11" i="1" s="1"/>
  <c r="G108" i="1"/>
  <c r="E67" i="1"/>
  <c r="G67" i="1" s="1"/>
  <c r="E163" i="3" l="1"/>
  <c r="E149" i="2"/>
  <c r="E158" i="2" s="1"/>
  <c r="E125" i="2"/>
  <c r="E141" i="2" s="1"/>
  <c r="E99" i="2"/>
  <c r="E117" i="2" s="1"/>
  <c r="G29" i="2"/>
  <c r="E75" i="2"/>
  <c r="G75" i="2" s="1"/>
  <c r="G91" i="2" s="1"/>
  <c r="E48" i="2"/>
  <c r="E67" i="2" s="1"/>
  <c r="E66" i="1"/>
  <c r="G66" i="1" s="1"/>
  <c r="E10" i="1"/>
  <c r="G10" i="1" s="1"/>
  <c r="E107" i="1"/>
  <c r="G107" i="1" s="1"/>
  <c r="E166" i="1"/>
  <c r="E181" i="1" s="1"/>
  <c r="E144" i="1"/>
  <c r="E158" i="1" s="1"/>
  <c r="E47" i="1"/>
  <c r="E56" i="1" s="1"/>
  <c r="E65" i="1"/>
  <c r="G65" i="1" s="1"/>
  <c r="E64" i="1"/>
  <c r="G64" i="1" s="1"/>
  <c r="E28" i="2"/>
  <c r="E180" i="2" s="1"/>
  <c r="E106" i="1"/>
  <c r="E9" i="2"/>
  <c r="E20" i="2" s="1"/>
  <c r="E9" i="1"/>
  <c r="L163" i="3"/>
  <c r="F36" i="8" s="1"/>
  <c r="D163" i="3"/>
  <c r="L146" i="3"/>
  <c r="F34" i="8" s="1"/>
  <c r="D146" i="3"/>
  <c r="L129" i="3"/>
  <c r="F33" i="8" s="1"/>
  <c r="G129" i="3"/>
  <c r="E33" i="8" s="1"/>
  <c r="E129" i="3"/>
  <c r="D129" i="3"/>
  <c r="L112" i="3"/>
  <c r="F37" i="8" s="1"/>
  <c r="G112" i="3"/>
  <c r="E37" i="8" s="1"/>
  <c r="E112" i="3"/>
  <c r="D112" i="3"/>
  <c r="L95" i="3"/>
  <c r="F15" i="8" s="1"/>
  <c r="G95" i="3"/>
  <c r="E15" i="8" s="1"/>
  <c r="E95" i="3"/>
  <c r="D95" i="3"/>
  <c r="L78" i="3"/>
  <c r="F14" i="8" s="1"/>
  <c r="G78" i="3"/>
  <c r="E14" i="8" s="1"/>
  <c r="E78" i="3"/>
  <c r="D78" i="3"/>
  <c r="L52" i="3"/>
  <c r="F40" i="8" s="1"/>
  <c r="G52" i="3"/>
  <c r="E40" i="8" s="1"/>
  <c r="E52" i="3"/>
  <c r="D52" i="3"/>
  <c r="L35" i="3"/>
  <c r="F13" i="8" s="1"/>
  <c r="G35" i="3"/>
  <c r="E35" i="3"/>
  <c r="D35" i="3"/>
  <c r="L180" i="2"/>
  <c r="F30" i="8" s="1"/>
  <c r="G180" i="2"/>
  <c r="E30" i="8" s="1"/>
  <c r="D180" i="2"/>
  <c r="L158" i="2"/>
  <c r="F28" i="8" s="1"/>
  <c r="D158" i="2"/>
  <c r="L141" i="2"/>
  <c r="F27" i="8" s="1"/>
  <c r="D141" i="2"/>
  <c r="L117" i="2"/>
  <c r="F6" i="8" s="1"/>
  <c r="D117" i="2"/>
  <c r="L91" i="2"/>
  <c r="F12" i="8" s="1"/>
  <c r="D91" i="2"/>
  <c r="F11" i="8"/>
  <c r="D67" i="2"/>
  <c r="L40" i="2"/>
  <c r="F26" i="8" s="1"/>
  <c r="D40" i="2"/>
  <c r="L20" i="2"/>
  <c r="F21" i="8" s="1"/>
  <c r="D20" i="2"/>
  <c r="F9" i="8"/>
  <c r="E9" i="8"/>
  <c r="E231" i="1"/>
  <c r="D231" i="1"/>
  <c r="L198" i="1"/>
  <c r="F18" i="8" s="1"/>
  <c r="G198" i="1"/>
  <c r="E18" i="8" s="1"/>
  <c r="E198" i="1"/>
  <c r="D198" i="1"/>
  <c r="L181" i="1"/>
  <c r="F20" i="8" s="1"/>
  <c r="D181" i="1"/>
  <c r="L158" i="1"/>
  <c r="F19" i="8" s="1"/>
  <c r="D158" i="1"/>
  <c r="L136" i="1"/>
  <c r="F25" i="8" s="1"/>
  <c r="D136" i="1"/>
  <c r="F16" i="8"/>
  <c r="D98" i="1"/>
  <c r="L56" i="1"/>
  <c r="F31" i="8" s="1"/>
  <c r="D56" i="1"/>
  <c r="L39" i="1"/>
  <c r="F5" i="8" s="1"/>
  <c r="D39" i="1"/>
  <c r="E40" i="2" l="1"/>
  <c r="G125" i="2"/>
  <c r="G141" i="2" s="1"/>
  <c r="G142" i="2" s="1"/>
  <c r="D27" i="8" s="1"/>
  <c r="G48" i="2"/>
  <c r="G67" i="2" s="1"/>
  <c r="G68" i="2" s="1"/>
  <c r="D11" i="8" s="1"/>
  <c r="G9" i="2"/>
  <c r="G20" i="2" s="1"/>
  <c r="E21" i="8" s="1"/>
  <c r="E91" i="2"/>
  <c r="G99" i="2"/>
  <c r="G117" i="2" s="1"/>
  <c r="E6" i="8" s="1"/>
  <c r="G149" i="2"/>
  <c r="G158" i="2" s="1"/>
  <c r="E28" i="8" s="1"/>
  <c r="G36" i="3"/>
  <c r="D13" i="8" s="1"/>
  <c r="E13" i="8"/>
  <c r="E136" i="1"/>
  <c r="G144" i="1"/>
  <c r="G158" i="1" s="1"/>
  <c r="E19" i="8" s="1"/>
  <c r="G181" i="2"/>
  <c r="D30" i="8" s="1"/>
  <c r="E39" i="1"/>
  <c r="G106" i="1"/>
  <c r="G47" i="1"/>
  <c r="G56" i="1" s="1"/>
  <c r="E31" i="8" s="1"/>
  <c r="G166" i="1"/>
  <c r="G181" i="1" s="1"/>
  <c r="E20" i="8" s="1"/>
  <c r="G98" i="1"/>
  <c r="E16" i="8" s="1"/>
  <c r="G92" i="2"/>
  <c r="D12" i="8" s="1"/>
  <c r="E12" i="8"/>
  <c r="F48" i="8"/>
  <c r="G53" i="3"/>
  <c r="D40" i="8" s="1"/>
  <c r="G130" i="3"/>
  <c r="D33" i="8" s="1"/>
  <c r="G79" i="3"/>
  <c r="D14" i="8" s="1"/>
  <c r="G96" i="3"/>
  <c r="D15" i="8" s="1"/>
  <c r="G113" i="3"/>
  <c r="D37" i="8" s="1"/>
  <c r="G163" i="3"/>
  <c r="E98" i="1"/>
  <c r="G146" i="3"/>
  <c r="G28" i="2"/>
  <c r="G40" i="2" s="1"/>
  <c r="E146" i="3"/>
  <c r="G199" i="1"/>
  <c r="D18" i="8" s="1"/>
  <c r="G232" i="1"/>
  <c r="D9" i="8" s="1"/>
  <c r="G9" i="1"/>
  <c r="G39" i="1" s="1"/>
  <c r="G147" i="3" l="1"/>
  <c r="D34" i="8" s="1"/>
  <c r="E34" i="8"/>
  <c r="G164" i="3"/>
  <c r="D36" i="8" s="1"/>
  <c r="E36" i="8"/>
  <c r="G118" i="2"/>
  <c r="D6" i="8" s="1"/>
  <c r="E27" i="8"/>
  <c r="E11" i="8"/>
  <c r="G159" i="2"/>
  <c r="D28" i="8" s="1"/>
  <c r="G21" i="2"/>
  <c r="D21" i="8" s="1"/>
  <c r="G136" i="1"/>
  <c r="E25" i="8" s="1"/>
  <c r="G159" i="1"/>
  <c r="D19" i="8" s="1"/>
  <c r="G57" i="1"/>
  <c r="D31" i="8" s="1"/>
  <c r="G41" i="2"/>
  <c r="D26" i="8" s="1"/>
  <c r="E26" i="8"/>
  <c r="G182" i="1"/>
  <c r="D20" i="8" s="1"/>
  <c r="G99" i="1"/>
  <c r="D16" i="8" s="1"/>
  <c r="G40" i="1"/>
  <c r="D5" i="8" s="1"/>
  <c r="E5" i="8"/>
  <c r="H3" i="6"/>
  <c r="I3" i="6" s="1"/>
  <c r="J3" i="6" s="1"/>
  <c r="K3" i="6" s="1"/>
  <c r="G137" i="1" l="1"/>
  <c r="E48" i="8"/>
  <c r="D25" i="8" l="1"/>
  <c r="D4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E148" authorId="0" shapeId="0" xr:uid="{C25ECFE9-A372-4BCC-B457-7B478ACC55F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LAST TIME 150 KG LESS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L57" authorId="0" shapeId="0" xr:uid="{51ADA2A3-2799-4E57-A8DE-F9EB7CBEFD8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-100</t>
        </r>
      </text>
    </comment>
    <comment ref="L60" authorId="0" shapeId="0" xr:uid="{7EFC4819-21A6-405E-B3D5-2559AED8EED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-100
</t>
        </r>
      </text>
    </comment>
    <comment ref="L131" authorId="0" shapeId="0" xr:uid="{9DEB9716-F519-4EE7-BB7B-848103944E8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billed 2850
</t>
        </r>
      </text>
    </comment>
  </commentList>
</comments>
</file>

<file path=xl/sharedStrings.xml><?xml version="1.0" encoding="utf-8"?>
<sst xmlns="http://schemas.openxmlformats.org/spreadsheetml/2006/main" count="2553" uniqueCount="692">
  <si>
    <t>Date</t>
  </si>
  <si>
    <t>Bags</t>
  </si>
  <si>
    <t>Q</t>
  </si>
  <si>
    <t>Rate</t>
  </si>
  <si>
    <t>Amount</t>
  </si>
  <si>
    <t>BILL_NO</t>
  </si>
  <si>
    <t>SST</t>
  </si>
  <si>
    <t>TOTAL</t>
  </si>
  <si>
    <t>PAID</t>
  </si>
  <si>
    <t>BALANCE</t>
  </si>
  <si>
    <t xml:space="preserve"> ARAVIND (FY21-22)</t>
  </si>
  <si>
    <t>BALNAGAR (FY21-22)</t>
  </si>
  <si>
    <t>PP SHIVA (FY21-22)</t>
  </si>
  <si>
    <t>VELJAL (FY21-22)</t>
  </si>
  <si>
    <t xml:space="preserve"> RAJAPUR(FY21-22)</t>
  </si>
  <si>
    <t>CC KUNTA (FY21-22)</t>
  </si>
  <si>
    <t>MADNAPUR (FY21-22)</t>
  </si>
  <si>
    <t>Quintals</t>
  </si>
  <si>
    <t>ANJAYA (FY21-22)</t>
  </si>
  <si>
    <t>FROM</t>
  </si>
  <si>
    <t>B PALLY (FY21-22)</t>
  </si>
  <si>
    <t>SRT</t>
  </si>
  <si>
    <t>KONDEDU (FY21-22)</t>
  </si>
  <si>
    <t>VIJAYLAXMI (K NAGULA) (FY21-22)</t>
  </si>
  <si>
    <t xml:space="preserve"> ANNAPURNA (K NAGULA)(FY21-22)</t>
  </si>
  <si>
    <t>RAVI L (FY21-22)</t>
  </si>
  <si>
    <t>SHYAM L (FY21-22)</t>
  </si>
  <si>
    <t>AITHOLE (FY21-22)</t>
  </si>
  <si>
    <t>BAGS</t>
  </si>
  <si>
    <t>RATE</t>
  </si>
  <si>
    <t>QUINTALS</t>
  </si>
  <si>
    <t>AMOUNT</t>
  </si>
  <si>
    <t>CGST</t>
  </si>
  <si>
    <t>SGST</t>
  </si>
  <si>
    <t>IGST</t>
  </si>
  <si>
    <t>CALCULATED RATE</t>
  </si>
  <si>
    <t>CALCULATED AMOUNT</t>
  </si>
  <si>
    <t>SRM(ARSK)</t>
  </si>
  <si>
    <t>VEERA UNCLE</t>
  </si>
  <si>
    <t>SST(VENKATESHWARA SWAMY MILL)</t>
  </si>
  <si>
    <t>SST(SRINIVSASULU)</t>
  </si>
  <si>
    <t>DATE</t>
  </si>
  <si>
    <t>V.NO.</t>
  </si>
  <si>
    <t>SOLVEX</t>
  </si>
  <si>
    <t>Weight</t>
  </si>
  <si>
    <t>RICE MILLS</t>
  </si>
  <si>
    <t>EXTRA</t>
  </si>
  <si>
    <t xml:space="preserve">BILL NO </t>
  </si>
  <si>
    <t>L NO</t>
  </si>
  <si>
    <t>SI NO</t>
  </si>
  <si>
    <t>SRI SANTHOSHIMATHA TRADERS</t>
  </si>
  <si>
    <t>SRINIVAS REDDY TRADERS</t>
  </si>
  <si>
    <t>SANTHOSHIMATHA RICEMILLS</t>
  </si>
  <si>
    <t>TS04UA6629</t>
  </si>
  <si>
    <t>MADHAVI</t>
  </si>
  <si>
    <t>Madnapur</t>
  </si>
  <si>
    <t>AP09W4030</t>
  </si>
  <si>
    <t>Aravind,Anjaya,Veljal,B Pally,CC Kunta</t>
  </si>
  <si>
    <t>PP Shiva,CC Kunta</t>
  </si>
  <si>
    <t>SHYAM</t>
  </si>
  <si>
    <t>TS32T2959</t>
  </si>
  <si>
    <t>CC Kunta</t>
  </si>
  <si>
    <t>CC Kunta,PP Shiva,Balnagar</t>
  </si>
  <si>
    <t>Rajapur,kondedu,Veljal,Aravind</t>
  </si>
  <si>
    <t>PP Shiva</t>
  </si>
  <si>
    <t>k nagula(Ashok,Annapurna),B Pally</t>
  </si>
  <si>
    <t>L Ravi,L Shyam,Aithole</t>
  </si>
  <si>
    <t>AP28TA3496</t>
  </si>
  <si>
    <t>Veljal</t>
  </si>
  <si>
    <t>Kondedu</t>
  </si>
  <si>
    <t>Veljal,Thomidi Rekula</t>
  </si>
  <si>
    <t>k nagula(Ashok,Annapurna)</t>
  </si>
  <si>
    <t>Madharam</t>
  </si>
  <si>
    <t>THOMIDI REKULA (FY21-22)</t>
  </si>
  <si>
    <t>Madharam (FY21-22)</t>
  </si>
  <si>
    <t>SRM(YADHAIYA)</t>
  </si>
  <si>
    <t xml:space="preserve">SATHISH </t>
  </si>
  <si>
    <t>S.NO</t>
  </si>
  <si>
    <t>RICE MILL</t>
  </si>
  <si>
    <t xml:space="preserve">BALANCE </t>
  </si>
  <si>
    <t xml:space="preserve">AMOUNT </t>
  </si>
  <si>
    <t>ARAVIND</t>
  </si>
  <si>
    <t>RAVI L</t>
  </si>
  <si>
    <t>PALEM</t>
  </si>
  <si>
    <t>MADHARAM KADTAL</t>
  </si>
  <si>
    <t>R.R ACPT</t>
  </si>
  <si>
    <t>VIJAYLAXMI(K.NAGULA)</t>
  </si>
  <si>
    <t>ANNAPURNA(K.NAGULA)</t>
  </si>
  <si>
    <t>C.C KUNTA</t>
  </si>
  <si>
    <t>VENKATESHWARA</t>
  </si>
  <si>
    <t>MAHALAXMI</t>
  </si>
  <si>
    <t xml:space="preserve">P.P SHIVA </t>
  </si>
  <si>
    <t>KRISHNA ACPT</t>
  </si>
  <si>
    <t>T.REKULA</t>
  </si>
  <si>
    <t>RAJAPUR</t>
  </si>
  <si>
    <t>KONDEDU</t>
  </si>
  <si>
    <t>THUMANPET</t>
  </si>
  <si>
    <t>KONDURG</t>
  </si>
  <si>
    <t>THALLA PALLY</t>
  </si>
  <si>
    <t>VELJAL</t>
  </si>
  <si>
    <t>B.PALLY</t>
  </si>
  <si>
    <t>L.SHYAM SUNDAR</t>
  </si>
  <si>
    <t>AITHOLE</t>
  </si>
  <si>
    <t>MALIKARJUNA ACPT</t>
  </si>
  <si>
    <t>VIJAYLAXMI ACPT</t>
  </si>
  <si>
    <t>BALNAGAR</t>
  </si>
  <si>
    <t>MOGILIGIDA</t>
  </si>
  <si>
    <t>KARSHAKA</t>
  </si>
  <si>
    <t>BALAJI</t>
  </si>
  <si>
    <t>THIPDAM PALLY</t>
  </si>
  <si>
    <t>RR ATMKR</t>
  </si>
  <si>
    <t>SAI RAM ATMAKUR</t>
  </si>
  <si>
    <t>KURUMURTHY</t>
  </si>
  <si>
    <t>MADNAPUR</t>
  </si>
  <si>
    <t>DEVARKADRA</t>
  </si>
  <si>
    <t xml:space="preserve">HARI KRISHNA </t>
  </si>
  <si>
    <t>BUNNY(G PAY)</t>
  </si>
  <si>
    <t>SST(Sri sai Industries)</t>
  </si>
  <si>
    <t>SRM</t>
  </si>
  <si>
    <t>SRT(SHYAM SUNDAR)</t>
  </si>
  <si>
    <t>SRM(JYOTHI MAKKAM)</t>
  </si>
  <si>
    <t>SRT(TYRES)</t>
  </si>
  <si>
    <t>SRT(PP)</t>
  </si>
  <si>
    <t>PP Shiva,Balnagar</t>
  </si>
  <si>
    <t>SRT(SRINIVASULU)</t>
  </si>
  <si>
    <t>SRT(YADHAIYA)</t>
  </si>
  <si>
    <t>SRT(VEERESHAM)</t>
  </si>
  <si>
    <t>SRT(Sri sai Industries)</t>
  </si>
  <si>
    <t>VIJAYLAXMI ACPT (FY21-22)</t>
  </si>
  <si>
    <t>RR ACPT (FY21-22)</t>
  </si>
  <si>
    <t>01 TO 05</t>
  </si>
  <si>
    <t>MAHESHWARI</t>
  </si>
  <si>
    <t>SHYAM L,RAVI L,K NAGULA ANNAPURNA,VIJAYLAXMI ACPT</t>
  </si>
  <si>
    <t>PP SHIVA</t>
  </si>
  <si>
    <t>THOMIDI REKULA</t>
  </si>
  <si>
    <t>AP22TA5406</t>
  </si>
  <si>
    <t>K NAGULA(ASHOK,ANNAPURNA)</t>
  </si>
  <si>
    <t>TS06UC9751</t>
  </si>
  <si>
    <t>MADHARAM</t>
  </si>
  <si>
    <t>RR ACPT,VIJAYLAXMI ACPT,SHYAM L,RAVI L,AITHOLE</t>
  </si>
  <si>
    <t>ANJAYA,ARAVIND</t>
  </si>
  <si>
    <t>AP24TB0583</t>
  </si>
  <si>
    <t>KONDEDU,VELJAL</t>
  </si>
  <si>
    <t>L.No.</t>
  </si>
  <si>
    <t>V.No.</t>
  </si>
  <si>
    <t>Oil %</t>
  </si>
  <si>
    <t>FFA</t>
  </si>
  <si>
    <t>Charges</t>
  </si>
  <si>
    <t>Gunny value</t>
  </si>
  <si>
    <t>GST</t>
  </si>
  <si>
    <t>Bank</t>
  </si>
  <si>
    <t>Tax Holded</t>
  </si>
  <si>
    <t>GST EXCEMPTION</t>
  </si>
  <si>
    <t>BASAVA/MBNR</t>
  </si>
  <si>
    <t>MADHAVI/PALVAI</t>
  </si>
  <si>
    <t>Rate ex. GST</t>
  </si>
  <si>
    <t>TAX HOLDED</t>
  </si>
  <si>
    <t>ADVANCE</t>
  </si>
  <si>
    <t>BAL. REC.</t>
  </si>
  <si>
    <t>INTER STATE</t>
  </si>
  <si>
    <t>Credit notes -Calculation</t>
  </si>
  <si>
    <t>As per bill</t>
  </si>
  <si>
    <t>As per remittance</t>
  </si>
  <si>
    <t>Difference incl. GST</t>
  </si>
  <si>
    <t>Actual amount</t>
  </si>
  <si>
    <t>Total</t>
  </si>
  <si>
    <t>INTRA STATE</t>
  </si>
  <si>
    <t>p</t>
  </si>
  <si>
    <t>DIFFERENCE</t>
  </si>
  <si>
    <t>OLD BALANCE</t>
  </si>
  <si>
    <t>madnapur,cckunta</t>
  </si>
  <si>
    <t>SRT(B Ashok)</t>
  </si>
  <si>
    <t>old balance</t>
  </si>
  <si>
    <t>SST(V SRINIVAS REDDY)</t>
  </si>
  <si>
    <t>SRT(K RADHIKA)</t>
  </si>
  <si>
    <t>VIJAYLAXMI ACPT,RR ACPT,K NAGULA(ASHOK,ANNAPURNA)</t>
  </si>
  <si>
    <t>KONDEDU,MADHARAM</t>
  </si>
  <si>
    <t>VELJAL,ARAVIND</t>
  </si>
  <si>
    <t>SRT(SURESH)</t>
  </si>
  <si>
    <t>SST(SUNANDHA)</t>
  </si>
  <si>
    <t>CSR(P PAY)</t>
  </si>
  <si>
    <t>SRM(SUNANDHA)</t>
  </si>
  <si>
    <t>RR ACPT,SHYAM L,RAVI L,RAJAPUR,BALNAGAR</t>
  </si>
  <si>
    <t>SRINU BABAI</t>
  </si>
  <si>
    <t>SST(PP)</t>
  </si>
  <si>
    <t>LORRY(FCI)</t>
  </si>
  <si>
    <t>RBL CC</t>
  </si>
  <si>
    <t>HAFEEZ MECHANIC</t>
  </si>
  <si>
    <t>LORRY(FCI-18)</t>
  </si>
  <si>
    <t>MALLESH</t>
  </si>
  <si>
    <t>HAFEEZ MECHANIC MOTAR</t>
  </si>
  <si>
    <t>BHASHEER</t>
  </si>
  <si>
    <t>RAMU TEMPLE</t>
  </si>
  <si>
    <t>SHIVA PACS</t>
  </si>
  <si>
    <t>HAFEEZ</t>
  </si>
  <si>
    <t>SUNNY</t>
  </si>
  <si>
    <t>SATHI PANDU</t>
  </si>
  <si>
    <t>GST MAHALAXMI</t>
  </si>
  <si>
    <t>LORRY(MADHVII)</t>
  </si>
  <si>
    <t>ICICI CC</t>
  </si>
  <si>
    <t>INTREST</t>
  </si>
  <si>
    <t>RENT</t>
  </si>
  <si>
    <t>KITTU</t>
  </si>
  <si>
    <t>DCM ASHWINI</t>
  </si>
  <si>
    <t>AVINASH</t>
  </si>
  <si>
    <t>CURRENT BILL</t>
  </si>
  <si>
    <t>BUNNY(P NARSIMULU LL KOTA)</t>
  </si>
  <si>
    <t>P RAGHAVENDRA</t>
  </si>
  <si>
    <t>disel</t>
  </si>
  <si>
    <t>JOLLY HILLS</t>
  </si>
  <si>
    <t>FOOD LICENSE</t>
  </si>
  <si>
    <t>SRM(SHRVYA SRINIVAS)</t>
  </si>
  <si>
    <t>SRM(GPAY HARI)</t>
  </si>
  <si>
    <t>RAJU</t>
  </si>
  <si>
    <t>PUNITA</t>
  </si>
  <si>
    <t>CURRRENT BILL</t>
  </si>
  <si>
    <t>LOAN</t>
  </si>
  <si>
    <t>LORRY (FCI</t>
  </si>
  <si>
    <t>RR RICE</t>
  </si>
  <si>
    <t>ABDUL REHMAN</t>
  </si>
  <si>
    <t>FCI</t>
  </si>
  <si>
    <t>RINKU</t>
  </si>
  <si>
    <t>SRM(HARI)</t>
  </si>
  <si>
    <t>RAJENDAR(PRASHANTH PADDY)</t>
  </si>
  <si>
    <t>GAUTHAM</t>
  </si>
  <si>
    <t>RAJENDRA RICEMILL SAMAN</t>
  </si>
  <si>
    <t>DEEPAK</t>
  </si>
  <si>
    <t>SUNIL</t>
  </si>
  <si>
    <t>MINA</t>
  </si>
  <si>
    <t>RANJU</t>
  </si>
  <si>
    <t>BAGAVANTH GOVIND</t>
  </si>
  <si>
    <t>LORRY FCI</t>
  </si>
  <si>
    <t>GENERAL</t>
  </si>
  <si>
    <t>PARI</t>
  </si>
  <si>
    <t>SYED S UDDIN TADAPAL</t>
  </si>
  <si>
    <t>SST(HARI)</t>
  </si>
  <si>
    <t>KITTU(CASH)</t>
  </si>
  <si>
    <t>CASH</t>
  </si>
  <si>
    <t>SHESHU</t>
  </si>
  <si>
    <t>SST(RAHUL)</t>
  </si>
  <si>
    <t>SRT(ARSK)</t>
  </si>
  <si>
    <t>SST(M NARENDAR)</t>
  </si>
  <si>
    <t>SST(PP SHIVA)</t>
  </si>
  <si>
    <t>10---14</t>
  </si>
  <si>
    <t>cancel</t>
  </si>
  <si>
    <t>rice</t>
  </si>
  <si>
    <t>THOMIDI REKULA,MADHARAM</t>
  </si>
  <si>
    <t>RAJAPUR,AITHOLE</t>
  </si>
  <si>
    <t>VIJAYLAXMI ACPT,SHYAM L,RAVI L</t>
  </si>
  <si>
    <t>15-18</t>
  </si>
  <si>
    <t>CMR RICE</t>
  </si>
  <si>
    <t>MADHARAM, THOMIDI REKULA</t>
  </si>
  <si>
    <t>SRT(THIRUPATHI REDDY)</t>
  </si>
  <si>
    <t>SST(Anusha Reddy)</t>
  </si>
  <si>
    <t>SST(D LAXAMMA)</t>
  </si>
  <si>
    <t>SST(ASHOK)</t>
  </si>
  <si>
    <t>NO BILL</t>
  </si>
  <si>
    <t>SST(S VARALAXMI)</t>
  </si>
  <si>
    <t>CC KUNTA</t>
  </si>
  <si>
    <t>CHERUKUPALLY</t>
  </si>
  <si>
    <r>
      <t xml:space="preserve">Remittance Details - </t>
    </r>
    <r>
      <rPr>
        <b/>
        <sz val="14"/>
        <color rgb="FFFF0000"/>
        <rFont val="Calibri"/>
        <family val="2"/>
      </rPr>
      <t>SST</t>
    </r>
    <r>
      <rPr>
        <b/>
        <sz val="14"/>
        <color rgb="FF000000"/>
        <rFont val="Calibri"/>
        <family val="2"/>
      </rPr>
      <t>(2021-2022)</t>
    </r>
  </si>
  <si>
    <t>SST(NARENDAR SBI)</t>
  </si>
  <si>
    <t>SRT(S VARALAXMI)</t>
  </si>
  <si>
    <t>AP29W4030</t>
  </si>
  <si>
    <t xml:space="preserve">ARAVIND </t>
  </si>
  <si>
    <t>ANJAYA,VELJAL,RAJAPUR</t>
  </si>
  <si>
    <t>SHYAM L,RAVI L,K NAGULA(ANNAPURNA,VIJAYLAXMI)</t>
  </si>
  <si>
    <t>RAJAPUR,PP SHIVA</t>
  </si>
  <si>
    <t>NANDIMALLA,MADNAPUR</t>
  </si>
  <si>
    <t>VENKATESHWARA (NANDIMALLA) (FY21-22)</t>
  </si>
  <si>
    <t>CSR</t>
  </si>
  <si>
    <t>HARI</t>
  </si>
  <si>
    <t>VELJAL,MADHARAM</t>
  </si>
  <si>
    <t>SHYAM L,RAVI L,K NAGULA(ANNAPURNA,VIJAYLAXMI),VIJAYLAXMI ACPT</t>
  </si>
  <si>
    <t>ARAVIND,VELJAL</t>
  </si>
  <si>
    <t>NANINAMMA CHAIN</t>
  </si>
  <si>
    <t>MUMMY SAREE</t>
  </si>
  <si>
    <t>CAPCITOR</t>
  </si>
  <si>
    <t>THIRUPATHI(SUNITHA)</t>
  </si>
  <si>
    <t>covers for paddy</t>
  </si>
  <si>
    <t>fci driver</t>
  </si>
  <si>
    <t>atmalingam-&gt;cash</t>
  </si>
  <si>
    <t>verra-&gt;cash</t>
  </si>
  <si>
    <t>vishnu maddur</t>
  </si>
  <si>
    <t>ram reddy</t>
  </si>
  <si>
    <t>santhosh-&gt;cash</t>
  </si>
  <si>
    <t>rajashekar-&gt;cash</t>
  </si>
  <si>
    <t>SST(SRI VENATESHWARA RM)</t>
  </si>
  <si>
    <t>BUNNY(NARSIMULU)</t>
  </si>
  <si>
    <t>SUNNY(NARSIMULU)</t>
  </si>
  <si>
    <t>MADHARAM,VELJAL,THOMIDI REKULA</t>
  </si>
  <si>
    <t>VIJAYLAXMI ACPT,K NAGULA(VIJAYLAXMI,ANNAPURNA),RAVI L,SHYAM L</t>
  </si>
  <si>
    <t>ARAVIND,VELJAL,KONDEDU</t>
  </si>
  <si>
    <t>SST(VEERESHAM)</t>
  </si>
  <si>
    <t>TOTAL DIFFFERENCE</t>
  </si>
  <si>
    <t>BILL  NO</t>
  </si>
  <si>
    <t>P</t>
  </si>
  <si>
    <t>MAHALAXMI  (FY21-22)</t>
  </si>
  <si>
    <t>SST(AMRUTHA TRADERS)</t>
  </si>
  <si>
    <r>
      <t xml:space="preserve">Remittance Details - </t>
    </r>
    <r>
      <rPr>
        <b/>
        <sz val="14"/>
        <color rgb="FFFF0000"/>
        <rFont val="Calibri"/>
        <family val="2"/>
      </rPr>
      <t>SRM</t>
    </r>
    <r>
      <rPr>
        <b/>
        <sz val="14"/>
        <color rgb="FF000000"/>
        <rFont val="Calibri"/>
        <family val="2"/>
      </rPr>
      <t>(2021-2022)</t>
    </r>
  </si>
  <si>
    <t xml:space="preserve"> </t>
  </si>
  <si>
    <t>10--14 cancel</t>
  </si>
  <si>
    <t>SST(SHYAM SUNDAR)</t>
  </si>
  <si>
    <t>SST(RAGHUVARDHAN REDDY)</t>
  </si>
  <si>
    <t xml:space="preserve">OLD   </t>
  </si>
  <si>
    <t>PP Shiva,Rajapur</t>
  </si>
  <si>
    <t>Aravind,Anjaya</t>
  </si>
  <si>
    <t>SST(P RAMESH)</t>
  </si>
  <si>
    <t>AP094030</t>
  </si>
  <si>
    <t>TS06OC9751</t>
  </si>
  <si>
    <t>C Sudhaker cc kunta</t>
  </si>
  <si>
    <t>radika</t>
  </si>
  <si>
    <t>mallesh</t>
  </si>
  <si>
    <t>sunny</t>
  </si>
  <si>
    <t>CASH GAYATRI</t>
  </si>
  <si>
    <t>DHAMU-&gt;GAYATRI</t>
  </si>
  <si>
    <t>SRI VENKATRAMANA MILL</t>
  </si>
  <si>
    <t>K RAKESH</t>
  </si>
  <si>
    <t>BASHEER PACS</t>
  </si>
  <si>
    <t>GST(MAY)</t>
  </si>
  <si>
    <t>OD INTREST</t>
  </si>
  <si>
    <t>SURI DASSERPALLY</t>
  </si>
  <si>
    <t>SHIVA KUMAR</t>
  </si>
  <si>
    <t>THIRUPATHI SALARY</t>
  </si>
  <si>
    <t>MD MUZAFAR ALI</t>
  </si>
  <si>
    <t>sunil</t>
  </si>
  <si>
    <t>shifter advance</t>
  </si>
  <si>
    <t>current bill</t>
  </si>
  <si>
    <t>intrest</t>
  </si>
  <si>
    <t>gst</t>
  </si>
  <si>
    <t>SRT(NARSIMULU)</t>
  </si>
  <si>
    <t>SRT(THIRUPATHI SALARY)</t>
  </si>
  <si>
    <t>JANGAYA MILL REPAIR</t>
  </si>
  <si>
    <t>VEKATESH DASARI</t>
  </si>
  <si>
    <t>INDRANNA BABAI</t>
  </si>
  <si>
    <t>veljal,madharam</t>
  </si>
  <si>
    <t>ARAVIND,THOMIDI REKULA</t>
  </si>
  <si>
    <t>K NAGULA(ANNAPURNA,ASHOK),RAVI L</t>
  </si>
  <si>
    <t>MALIKARJUNA ACPT,VIJAYLAXMI ACPT,ARAVIND,VELJAL</t>
  </si>
  <si>
    <t>MALIKARJUNA ACPT (FY21-22)</t>
  </si>
  <si>
    <t>SST(JYOTHI)</t>
  </si>
  <si>
    <t>SST(P Anjaneylu)</t>
  </si>
  <si>
    <t>VEERA(Thirupathi reddy)</t>
  </si>
  <si>
    <t>HARI(CASH)</t>
  </si>
  <si>
    <t>CANCEL</t>
  </si>
  <si>
    <t>MADHARAM,PP SHIVA</t>
  </si>
  <si>
    <t>MADNAPUR,CC KUNTA</t>
  </si>
  <si>
    <t>MADHARAM, THOMIDI REKULA,KONDEDU,PP SHIVA</t>
  </si>
  <si>
    <t>TS31T3072</t>
  </si>
  <si>
    <t>THATHA(P RAMESH)</t>
  </si>
  <si>
    <t>ACK-1</t>
  </si>
  <si>
    <t>ACK-2</t>
  </si>
  <si>
    <t>CMR</t>
  </si>
  <si>
    <t>AP22X8337</t>
  </si>
  <si>
    <t>AP12T0768</t>
  </si>
  <si>
    <t>FACTORY</t>
  </si>
  <si>
    <t>ICICI</t>
  </si>
  <si>
    <t>SST(Ashok)</t>
  </si>
  <si>
    <t>SST(S Balalingam)</t>
  </si>
  <si>
    <t>SRINU BABAI(CASH)</t>
  </si>
  <si>
    <t>OLD</t>
  </si>
  <si>
    <t>ACK-26</t>
  </si>
  <si>
    <t>RABI</t>
  </si>
  <si>
    <t xml:space="preserve">ACK-2 </t>
  </si>
  <si>
    <t>TS06UD2803</t>
  </si>
  <si>
    <t>ACK-3</t>
  </si>
  <si>
    <t>PASS</t>
  </si>
  <si>
    <t>NANDIMALLA,CC KUNTA</t>
  </si>
  <si>
    <t>BUNNY(PP)</t>
  </si>
  <si>
    <t>RICE</t>
  </si>
  <si>
    <t>HARI-&gt;ARAVIND CASH</t>
  </si>
  <si>
    <t>PADDY</t>
  </si>
  <si>
    <t>CC Kunta,PP SHIVA,SAI RAM ATK</t>
  </si>
  <si>
    <t>SAI RAM ATK (FY21-22)</t>
  </si>
  <si>
    <t>KOTLA KATHALANNA</t>
  </si>
  <si>
    <t>SANJEEV KUMAR</t>
  </si>
  <si>
    <t>ASHWINI TRANSPORT</t>
  </si>
  <si>
    <t xml:space="preserve">PIPES-&gt;HARI </t>
  </si>
  <si>
    <t>PIPES-&gt;SRINU BABAI</t>
  </si>
  <si>
    <t>SHIVA PACS(CASH)</t>
  </si>
  <si>
    <t>PACS BANK(CASH)</t>
  </si>
  <si>
    <t>SAI REDDY TEMPLE</t>
  </si>
  <si>
    <t>RAMESH CC KUNTA</t>
  </si>
  <si>
    <t>RAJESH YADAV</t>
  </si>
  <si>
    <t>ZUBER PACS</t>
  </si>
  <si>
    <t>SHARES</t>
  </si>
  <si>
    <t>SUNNY(CLOTHS)</t>
  </si>
  <si>
    <t>NAWAZ(WELDING)</t>
  </si>
  <si>
    <t>RAM REDDY UNDHYALA</t>
  </si>
  <si>
    <t>VIJAY SARATH REDDY T PUR</t>
  </si>
  <si>
    <t>srinu babai(pipes and steel)</t>
  </si>
  <si>
    <t>steel and pipes</t>
  </si>
  <si>
    <t>vijay sarath</t>
  </si>
  <si>
    <t>shanthi reddy</t>
  </si>
  <si>
    <t>SRM(G PAY)</t>
  </si>
  <si>
    <t>MALLESH(LORRY RENT)</t>
  </si>
  <si>
    <t>NEW PLANT APPLICATION</t>
  </si>
  <si>
    <t>HARI GAYATRI</t>
  </si>
  <si>
    <t>BUNNY(THIRUPATHI)</t>
  </si>
  <si>
    <t>TATHA(BASWRAJ CASH)</t>
  </si>
  <si>
    <t>THATHA(MALIKARJUNA TRADERS)</t>
  </si>
  <si>
    <t>AP22W9921</t>
  </si>
  <si>
    <t>AP22V6250</t>
  </si>
  <si>
    <t>ACK-4</t>
  </si>
  <si>
    <r>
      <t xml:space="preserve">Remittance Details - </t>
    </r>
    <r>
      <rPr>
        <b/>
        <sz val="14"/>
        <color rgb="FFFF0000"/>
        <rFont val="Calibri"/>
        <family val="2"/>
      </rPr>
      <t>SRT</t>
    </r>
    <r>
      <rPr>
        <b/>
        <sz val="14"/>
        <color rgb="FF000000"/>
        <rFont val="Calibri"/>
        <family val="2"/>
      </rPr>
      <t>(2021-2022)</t>
    </r>
  </si>
  <si>
    <t>SRM(PP SHIVA)</t>
  </si>
  <si>
    <t>SRM(KALVA PRAKASH)</t>
  </si>
  <si>
    <t>SRM(NARENDAR REDDY)</t>
  </si>
  <si>
    <t>CC KUNTA,NANDIIMALLA</t>
  </si>
  <si>
    <t>REJECTED</t>
  </si>
  <si>
    <t>AP13W6540</t>
  </si>
  <si>
    <t>ACK-5</t>
  </si>
  <si>
    <t>AP12V1532</t>
  </si>
  <si>
    <t>AP22T8892</t>
  </si>
  <si>
    <t>ACK-6</t>
  </si>
  <si>
    <t>70 BAG FAIL</t>
  </si>
  <si>
    <t>AP28TB6818</t>
  </si>
  <si>
    <t>TS11UC1355</t>
  </si>
  <si>
    <t>ACK-7</t>
  </si>
  <si>
    <t>70 BAG EXTRA</t>
  </si>
  <si>
    <t>AP13X1811</t>
  </si>
  <si>
    <t>ATA8181</t>
  </si>
  <si>
    <t>ACK-8</t>
  </si>
  <si>
    <t>AP22T7745</t>
  </si>
  <si>
    <t>CHANDU</t>
  </si>
  <si>
    <t>RUSUMAPALLE</t>
  </si>
  <si>
    <t>OLD+RABI</t>
  </si>
  <si>
    <t>RABI(OLD)</t>
  </si>
  <si>
    <t>TS07UB1661</t>
  </si>
  <si>
    <t>ACK-9</t>
  </si>
  <si>
    <t>70 INCLUDED</t>
  </si>
  <si>
    <t>ACK-10</t>
  </si>
  <si>
    <t>TS12UA7967</t>
  </si>
  <si>
    <t>ACK-11</t>
  </si>
  <si>
    <t>CASH(SUNNY-&gt;NAVEEN BAVA-&gt;RAGHU)</t>
  </si>
  <si>
    <t>SRM(G SWATHI)</t>
  </si>
  <si>
    <t>(RR)</t>
  </si>
  <si>
    <t>MEDHARI BALAKISHTAYA</t>
  </si>
  <si>
    <t>LORRY FRIEGHT</t>
  </si>
  <si>
    <t>paddy</t>
  </si>
  <si>
    <t>cc kunta</t>
  </si>
  <si>
    <t>nukalu</t>
  </si>
  <si>
    <t>RAICHUR SOLVENT</t>
  </si>
  <si>
    <t>CCKUNTA</t>
  </si>
  <si>
    <t>SST(SWATHI)</t>
  </si>
  <si>
    <t>Mahalaxmi,venkateshwara NANDIMALLA</t>
  </si>
  <si>
    <t>DEBT</t>
  </si>
  <si>
    <t>GAYATRI</t>
  </si>
  <si>
    <t>ANJI(CASH)</t>
  </si>
  <si>
    <t>ACK-12</t>
  </si>
  <si>
    <t>AP13X6369</t>
  </si>
  <si>
    <t>ACK-13</t>
  </si>
  <si>
    <t>AP28Y8586</t>
  </si>
  <si>
    <t>ACK-14</t>
  </si>
  <si>
    <t>ACK-15</t>
  </si>
  <si>
    <t>AP27T4489</t>
  </si>
  <si>
    <t>md sirajuudin</t>
  </si>
  <si>
    <t>documentation</t>
  </si>
  <si>
    <t>medipally sravan</t>
  </si>
  <si>
    <t>venkatesh dasari</t>
  </si>
  <si>
    <t>pp</t>
  </si>
  <si>
    <t xml:space="preserve"> card usage</t>
  </si>
  <si>
    <t>indra sen</t>
  </si>
  <si>
    <t>malikarjun bhatha</t>
  </si>
  <si>
    <t>od intrest</t>
  </si>
  <si>
    <t>nagaraju</t>
  </si>
  <si>
    <t>ghouse</t>
  </si>
  <si>
    <t>pedda nana</t>
  </si>
  <si>
    <t>chandu</t>
  </si>
  <si>
    <t>thirupathi repair</t>
  </si>
  <si>
    <t>OD PROCESSING FEE</t>
  </si>
  <si>
    <t>OD GST</t>
  </si>
  <si>
    <t xml:space="preserve">INDRA SENA </t>
  </si>
  <si>
    <t>RAHMAN FCI</t>
  </si>
  <si>
    <t>RAMU PPUR</t>
  </si>
  <si>
    <t>EPPURI BALRAJ</t>
  </si>
  <si>
    <t>SHANTHIREDDY APPAMPALLY</t>
  </si>
  <si>
    <t>BOYA SHASHI</t>
  </si>
  <si>
    <t xml:space="preserve">MLA PA </t>
  </si>
  <si>
    <t>Hari Krishna (pp)</t>
  </si>
  <si>
    <t xml:space="preserve">CANCELLED </t>
  </si>
  <si>
    <t>PADDY SOLD</t>
  </si>
  <si>
    <t>ELLAPA-&gt;SRINIVAS REDDY(NAGARAM)</t>
  </si>
  <si>
    <t>BUNNY(P PAY)</t>
  </si>
  <si>
    <t>GST  PAYMENT DATE</t>
  </si>
  <si>
    <t>sumith</t>
  </si>
  <si>
    <t>AP29TA3031</t>
  </si>
  <si>
    <t>BAHETI</t>
  </si>
  <si>
    <t>AP31TU1879</t>
  </si>
  <si>
    <t>SASI SRI</t>
  </si>
  <si>
    <t>KARSHAKA,NANDIMALLA,BALAJI,CC KUNTA</t>
  </si>
  <si>
    <t>KARSHAKA (FY21-22)</t>
  </si>
  <si>
    <t>BALAJI (FY21-22)</t>
  </si>
  <si>
    <t>TS07OL0383</t>
  </si>
  <si>
    <t>RAVI L,K NAGULA(VIJAY LAXMI ,ANNAPURNA)</t>
  </si>
  <si>
    <t>aravind</t>
  </si>
  <si>
    <t>veljal,aravind</t>
  </si>
  <si>
    <t>pp shiva</t>
  </si>
  <si>
    <t>FREIGHT</t>
  </si>
  <si>
    <t>SST(YADHIAYA)</t>
  </si>
  <si>
    <t>PP(BARATH)</t>
  </si>
  <si>
    <t>SUMITH(PP SHIVA)</t>
  </si>
  <si>
    <t>SUMITH(SURESH)</t>
  </si>
  <si>
    <t>SUMITH(PP)</t>
  </si>
  <si>
    <t>SST(ANASUYAMMA)</t>
  </si>
  <si>
    <t>madharm</t>
  </si>
  <si>
    <t>AP02TB3465</t>
  </si>
  <si>
    <t>ACK-16</t>
  </si>
  <si>
    <t>AP03X4494</t>
  </si>
  <si>
    <t>ACK-17</t>
  </si>
  <si>
    <t>AP13X6396</t>
  </si>
  <si>
    <t>ACK-18</t>
  </si>
  <si>
    <t>TS01UD0477</t>
  </si>
  <si>
    <t>ACK-19</t>
  </si>
  <si>
    <t>ACK-20</t>
  </si>
  <si>
    <t>ACK-21</t>
  </si>
  <si>
    <t>ACK-22</t>
  </si>
  <si>
    <t>TS12UA0624</t>
  </si>
  <si>
    <t>60 EXTRA</t>
  </si>
  <si>
    <t>ACK-23</t>
  </si>
  <si>
    <t>ACK-24</t>
  </si>
  <si>
    <t>ACK-25</t>
  </si>
  <si>
    <t>90 RETURN</t>
  </si>
  <si>
    <t>REJCTED AND RETURNED</t>
  </si>
  <si>
    <t>BAHETHI</t>
  </si>
  <si>
    <t>TS07UJ8352</t>
  </si>
  <si>
    <t>TS07UH3372</t>
  </si>
  <si>
    <t>MADHARM,ARAVIND</t>
  </si>
  <si>
    <t>HANUMAN JUNCTION</t>
  </si>
  <si>
    <t>KARSHAKA,R R ATK,SAI RAM,NANDIMALLA</t>
  </si>
  <si>
    <t>RR ATK</t>
  </si>
  <si>
    <t>40 XTRA</t>
  </si>
  <si>
    <t>30 EXTRA</t>
  </si>
  <si>
    <t>20 EXTRA</t>
  </si>
  <si>
    <t>SST(SURESH)</t>
  </si>
  <si>
    <t>SST(C ANITHA)</t>
  </si>
  <si>
    <t xml:space="preserve">SST </t>
  </si>
  <si>
    <t>ARAVIND,MADHARAM</t>
  </si>
  <si>
    <t>B PALLY,AITHOLE</t>
  </si>
  <si>
    <t>VELJAL,RAJAPUR</t>
  </si>
  <si>
    <t xml:space="preserve">VELJAL </t>
  </si>
  <si>
    <t xml:space="preserve">SHYAM L,RAVI L </t>
  </si>
  <si>
    <t>SUMITH REDDY</t>
  </si>
  <si>
    <t>SatyaNarayan reddy W</t>
  </si>
  <si>
    <t>Gudeti Girish(vehcile dcm)</t>
  </si>
  <si>
    <t>WHEEL AUTOMOBILE</t>
  </si>
  <si>
    <t>HARDWARE</t>
  </si>
  <si>
    <t>JUBER PACS</t>
  </si>
  <si>
    <t>CEMENT</t>
  </si>
  <si>
    <t>RUBBER SHELLOR</t>
  </si>
  <si>
    <t>COVERS</t>
  </si>
  <si>
    <t>Ashirvadhamu</t>
  </si>
  <si>
    <t>wines(vijay kumar)</t>
  </si>
  <si>
    <t>covers</t>
  </si>
  <si>
    <t>balraj</t>
  </si>
  <si>
    <t>naresh lankala</t>
  </si>
  <si>
    <t>janak ram rto</t>
  </si>
  <si>
    <t>PALEM (FY21-22)</t>
  </si>
  <si>
    <t>SOLVENTS FOR FY 2021-22</t>
  </si>
  <si>
    <t>THROUGH</t>
  </si>
  <si>
    <t>ANNAPURNA</t>
  </si>
  <si>
    <t>ANNAPURNA(CANCEL)</t>
  </si>
  <si>
    <t>Shyam</t>
  </si>
  <si>
    <t>SHYAM L,RAVI L,AITHOLE,PALEM</t>
  </si>
  <si>
    <t>VJYLXMI ACPT, RR ACPT, TUMMANPET</t>
  </si>
  <si>
    <t>THUMMANPET (FY21-22)</t>
  </si>
  <si>
    <t>MADARAM , ARAVIND TLKDPLY</t>
  </si>
  <si>
    <t>TS13UC3167</t>
  </si>
  <si>
    <t>RAVI L, SHYAM L, VJYLXMI ACPT</t>
  </si>
  <si>
    <t>(VIJAYALAXMI ,ANNAPURNA) K.NAGULA, MALLIKARJUNA ACPT, RR ACPT, ANANTHALXMI ACPT</t>
  </si>
  <si>
    <t>ANANTHALAXMI ACPT</t>
  </si>
  <si>
    <t>ANATHALAXMI ACPT (FY21-22)</t>
  </si>
  <si>
    <t xml:space="preserve">RAJAPUR , BIJINAPALLY </t>
  </si>
  <si>
    <t>PP SHIVA REDDY</t>
  </si>
  <si>
    <t>ARAVIND , VELJAL</t>
  </si>
  <si>
    <t>ASHWINI</t>
  </si>
  <si>
    <t>NANDIMALLA,RR ATK,SAI RAM,CC KUNTA,PP SHIVA</t>
  </si>
  <si>
    <t>SST(JAGADEESH GOUD)</t>
  </si>
  <si>
    <t>SRM(SRINIVASULU)</t>
  </si>
  <si>
    <t>THUMMANPET , AITHOLE</t>
  </si>
  <si>
    <t>CC KUNTA , NANDIMALLA , SAI RAM(ATK)</t>
  </si>
  <si>
    <t>AP09TA4160</t>
  </si>
  <si>
    <t>KHARRIF</t>
  </si>
  <si>
    <t>MADHARAM , ARAVIND</t>
  </si>
  <si>
    <t>INCOMPLETE</t>
  </si>
  <si>
    <t>SRM(RAVI)</t>
  </si>
  <si>
    <t>ANJAYA , MADHARAM</t>
  </si>
  <si>
    <t>SST(B.GOVARDHAN)</t>
  </si>
  <si>
    <t>(RR , VIJAYALAXMI ) ACPT , VIJAYALAXMI (KONDANAGULA)</t>
  </si>
  <si>
    <t>ABHAY</t>
  </si>
  <si>
    <t>SULOCHANA</t>
  </si>
  <si>
    <t>AP29TA9889</t>
  </si>
  <si>
    <t>TS07UL0383</t>
  </si>
  <si>
    <t>L SHYAM , L RAVI , THUMMANPET</t>
  </si>
  <si>
    <t>RAJAPUR , PALEM , BIJINAPALLY , THUMMANPET</t>
  </si>
  <si>
    <t>ACPT(R.R , MALLIKARJUNA , VIJAYALAXMI , ANANTHALAXMI) , RAKONDA , MANIKANTA TELKAPALLY</t>
  </si>
  <si>
    <t>RAKONDA</t>
  </si>
  <si>
    <t>RAKONDA (FY21-22)</t>
  </si>
  <si>
    <t>MANIKANTA TELKAPALLY (FY21-22)</t>
  </si>
  <si>
    <t>MANIKANTA TELKAPALLY</t>
  </si>
  <si>
    <t>AP24TB3199</t>
  </si>
  <si>
    <t>ACK-27</t>
  </si>
  <si>
    <t>AP37X9456</t>
  </si>
  <si>
    <t>SST(Sai Chaitanya Steel)</t>
  </si>
  <si>
    <t>SST(LAXMI SREE)</t>
  </si>
  <si>
    <t>SST(BALLANNA)</t>
  </si>
  <si>
    <t>SST(BHAGYAMA)</t>
  </si>
  <si>
    <t>SST(RAVI)</t>
  </si>
  <si>
    <t>SST(PP-&gt;9440370408)</t>
  </si>
  <si>
    <t>CCKUNTA , RAGHAVENDRA , BALAJI , NANDIMALLA , RR , SAI RAM</t>
  </si>
  <si>
    <t>RAGHAVENDRA ATK</t>
  </si>
  <si>
    <t>GROSS RATE</t>
  </si>
  <si>
    <t>OIL%</t>
  </si>
  <si>
    <t>NETT RATE</t>
  </si>
  <si>
    <t>WEIGHT</t>
  </si>
  <si>
    <t>AMT</t>
  </si>
  <si>
    <t>SST(VENKATESHWARA RICEMILL)</t>
  </si>
  <si>
    <t>OTHER CHARGES</t>
  </si>
  <si>
    <t>BIIL NO</t>
  </si>
  <si>
    <t>GST AMT</t>
  </si>
  <si>
    <t>FFA RATE</t>
  </si>
  <si>
    <t>FFA AMT</t>
  </si>
  <si>
    <t>VELJAL , PP SIVA</t>
  </si>
  <si>
    <t>K.NAGULA(VIJAYALAXMI , ANNAPURNA ) , RAVI L</t>
  </si>
  <si>
    <t>B.PALLY,PALEM ,SHYAM L</t>
  </si>
  <si>
    <t>RAGAVENDRA</t>
  </si>
  <si>
    <t>ARAVIND THLKNDPLY</t>
  </si>
  <si>
    <t>ANJAYA(TLKNDPLY)</t>
  </si>
  <si>
    <t xml:space="preserve">RAJAPUR , ANJAYYA </t>
  </si>
  <si>
    <t xml:space="preserve">MANIKANTA , VIJAYALAXMI RAKONDA , RAVI L , SHYAM L , VIJAYALAXMI ACPT </t>
  </si>
  <si>
    <t>AITHOLE , B.PALLY , PP SHIVA , RAJAPUR</t>
  </si>
  <si>
    <t>PARAM(Rama Krishana poultry)-&gt;ARAVIND</t>
  </si>
  <si>
    <t>Nukalu</t>
  </si>
  <si>
    <t>SRM(P RAMESH)</t>
  </si>
  <si>
    <t>SST(SAI GANESH INDUSTRIES)</t>
  </si>
  <si>
    <t>SST(LAXMAIAH)</t>
  </si>
  <si>
    <t>(laxmaiah balaji adjustment)</t>
  </si>
  <si>
    <t>adjustment</t>
  </si>
  <si>
    <t>shyam</t>
  </si>
  <si>
    <t>Hari Cash</t>
  </si>
  <si>
    <t>Gaythri</t>
  </si>
  <si>
    <t>NAWAZ</t>
  </si>
  <si>
    <t>NAWAz</t>
  </si>
  <si>
    <t>kotha machine</t>
  </si>
  <si>
    <t>shashi</t>
  </si>
  <si>
    <t>venkatesh pallamari</t>
  </si>
  <si>
    <t>vinod transport amount</t>
  </si>
  <si>
    <t>biryani</t>
  </si>
  <si>
    <t xml:space="preserve">vishal mart </t>
  </si>
  <si>
    <t>ATHEEK TRANSPORT</t>
  </si>
  <si>
    <t>ANAND REDDY INSURANCE</t>
  </si>
  <si>
    <t>QR SCANNED</t>
  </si>
  <si>
    <t>SUBHODH HAMALI</t>
  </si>
  <si>
    <t>MANA AGRI TECH</t>
  </si>
  <si>
    <t>GIRAIAH</t>
  </si>
  <si>
    <t>MANAOHAR KANKI</t>
  </si>
  <si>
    <t>NANI</t>
  </si>
  <si>
    <t>TRUPATHI</t>
  </si>
  <si>
    <t xml:space="preserve"> PAVAN YADAV</t>
  </si>
  <si>
    <t>RAMU</t>
  </si>
  <si>
    <t>TRANSPORT</t>
  </si>
  <si>
    <t>A SRAVAN PP</t>
  </si>
  <si>
    <t>HDFC LOAN</t>
  </si>
  <si>
    <t>SST LORRY 70</t>
  </si>
  <si>
    <t>GURULAIAH</t>
  </si>
  <si>
    <t>QR SCANNER.</t>
  </si>
  <si>
    <t>SANDHYA RANI</t>
  </si>
  <si>
    <t xml:space="preserve">STONE </t>
  </si>
  <si>
    <t>KITTU(HAMLI)</t>
  </si>
  <si>
    <t>NARSIMHA REDDY AMMAPUR</t>
  </si>
  <si>
    <t>PRADEEP(CASH)</t>
  </si>
  <si>
    <t>SRINIVAS REDDY NAGARAM</t>
  </si>
  <si>
    <t>SEEMA BEGUM(ATHEEK TRANSPORT</t>
  </si>
  <si>
    <t>SATHYAM DHUPALLI</t>
  </si>
  <si>
    <t>GN REDDY CASH</t>
  </si>
  <si>
    <t>RAMAN GOUD(TEMPLE)</t>
  </si>
  <si>
    <t>SUJATHA(SatyaNarayan GOUD</t>
  </si>
  <si>
    <t>PELLA</t>
  </si>
  <si>
    <t>PRASHANTH(SATYA NARAYANA GOUD)</t>
  </si>
  <si>
    <t>abshek patel</t>
  </si>
  <si>
    <t>ram anjaneyulu</t>
  </si>
  <si>
    <t>md haji mastan</t>
  </si>
  <si>
    <t>shiva prasad</t>
  </si>
  <si>
    <t>indranna</t>
  </si>
  <si>
    <t>AB(PP)</t>
  </si>
  <si>
    <t>JCB</t>
  </si>
  <si>
    <t>JCB SUDHAKAR</t>
  </si>
  <si>
    <t>lnARESH(THIRUPATHI SALARY)</t>
  </si>
  <si>
    <t>G NAGARAJU</t>
  </si>
  <si>
    <t>M SHARATH</t>
  </si>
  <si>
    <t>SATHISH CASH</t>
  </si>
  <si>
    <t>AB(PP-&gt;9440370408)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</si>
</sst>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[$-14009]dd\ mmmm\ yyyy;@"/>
    <numFmt numFmtId="165" formatCode="_-* #,##0_-;\-* #,##0_-;_-* &quot;-&quot;??_-;_-@_-"/>
    <numFmt numFmtId="166" formatCode="#,##0.00_ ;[Red]\-#,##0.00\ "/>
    <numFmt numFmtId="167" formatCode="&quot;₹&quot;\ #,##0.00"/>
    <numFmt numFmtId="168" formatCode="_-* #,##0.00_-;\-* #,##0.00_-;_-* &quot;-&quot;??_-;_-@_-"/>
    <numFmt numFmtId="169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sz val="16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72"/>
      <name val="SansSerif"/>
    </font>
    <font>
      <b/>
      <sz val="14"/>
      <color rgb="FF00B0F0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8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>
      <alignment vertical="center"/>
    </xf>
    <xf numFmtId="168" fontId="13" fillId="0" borderId="0">
      <protection locked="0"/>
    </xf>
  </cellStyleXfs>
  <cellXfs count="260">
    <xf numFmtId="0" fontId="0" fillId="0" borderId="0" xfId="0"/>
    <xf numFmtId="164" fontId="5" fillId="0" borderId="4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1" applyNumberFormat="1" applyFont="1" applyFill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2" fillId="0" borderId="5" xfId="0" applyFont="1" applyBorder="1"/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5" xfId="0" applyBorder="1"/>
    <xf numFmtId="164" fontId="0" fillId="0" borderId="4" xfId="0" applyNumberFormat="1" applyBorder="1"/>
    <xf numFmtId="164" fontId="0" fillId="0" borderId="0" xfId="0" applyNumberFormat="1"/>
    <xf numFmtId="165" fontId="0" fillId="0" borderId="0" xfId="1" applyNumberFormat="1" applyFont="1" applyFill="1" applyBorder="1"/>
    <xf numFmtId="0" fontId="3" fillId="0" borderId="0" xfId="0" applyFont="1"/>
    <xf numFmtId="165" fontId="3" fillId="0" borderId="0" xfId="1" applyNumberFormat="1" applyFont="1" applyFill="1" applyBorder="1"/>
    <xf numFmtId="164" fontId="5" fillId="0" borderId="4" xfId="0" applyNumberFormat="1" applyFont="1" applyBorder="1"/>
    <xf numFmtId="164" fontId="5" fillId="0" borderId="0" xfId="0" applyNumberFormat="1" applyFont="1"/>
    <xf numFmtId="164" fontId="0" fillId="0" borderId="6" xfId="0" applyNumberFormat="1" applyBorder="1"/>
    <xf numFmtId="0" fontId="0" fillId="0" borderId="7" xfId="0" applyBorder="1"/>
    <xf numFmtId="0" fontId="5" fillId="0" borderId="7" xfId="0" applyFont="1" applyBorder="1"/>
    <xf numFmtId="165" fontId="0" fillId="0" borderId="7" xfId="1" applyNumberFormat="1" applyFont="1" applyFill="1" applyBorder="1"/>
    <xf numFmtId="164" fontId="0" fillId="0" borderId="7" xfId="0" applyNumberFormat="1" applyBorder="1"/>
    <xf numFmtId="0" fontId="0" fillId="0" borderId="8" xfId="0" applyBorder="1"/>
    <xf numFmtId="0" fontId="5" fillId="0" borderId="0" xfId="0" applyFont="1"/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3" fillId="0" borderId="13" xfId="0" applyFont="1" applyBorder="1"/>
    <xf numFmtId="0" fontId="7" fillId="0" borderId="1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8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4" fontId="0" fillId="0" borderId="13" xfId="0" applyNumberFormat="1" applyBorder="1"/>
    <xf numFmtId="16" fontId="0" fillId="0" borderId="13" xfId="0" applyNumberFormat="1" applyBorder="1"/>
    <xf numFmtId="0" fontId="3" fillId="4" borderId="13" xfId="0" applyFont="1" applyFill="1" applyBorder="1"/>
    <xf numFmtId="0" fontId="3" fillId="0" borderId="13" xfId="0" applyFont="1" applyBorder="1" applyAlignment="1">
      <alignment horizontal="center"/>
    </xf>
    <xf numFmtId="166" fontId="0" fillId="0" borderId="13" xfId="0" applyNumberFormat="1" applyBorder="1"/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167" fontId="3" fillId="0" borderId="13" xfId="0" applyNumberFormat="1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14" fontId="0" fillId="0" borderId="0" xfId="0" applyNumberFormat="1"/>
    <xf numFmtId="0" fontId="0" fillId="0" borderId="26" xfId="0" applyFill="1" applyBorder="1"/>
    <xf numFmtId="0" fontId="12" fillId="0" borderId="9" xfId="2" applyFont="1" applyBorder="1" applyAlignment="1">
      <alignment horizontal="right"/>
    </xf>
    <xf numFmtId="0" fontId="12" fillId="0" borderId="10" xfId="2" applyFont="1" applyBorder="1" applyAlignment="1">
      <alignment horizontal="right"/>
    </xf>
    <xf numFmtId="0" fontId="12" fillId="0" borderId="10" xfId="2" applyFont="1" applyBorder="1" applyAlignment="1"/>
    <xf numFmtId="0" fontId="12" fillId="0" borderId="11" xfId="2" applyFont="1" applyBorder="1" applyAlignment="1">
      <alignment horizontal="right"/>
    </xf>
    <xf numFmtId="0" fontId="0" fillId="0" borderId="29" xfId="0" applyBorder="1"/>
    <xf numFmtId="0" fontId="0" fillId="0" borderId="0" xfId="0" applyBorder="1"/>
    <xf numFmtId="0" fontId="0" fillId="0" borderId="30" xfId="0" applyBorder="1"/>
    <xf numFmtId="14" fontId="0" fillId="0" borderId="12" xfId="0" applyNumberFormat="1" applyBorder="1"/>
    <xf numFmtId="165" fontId="13" fillId="0" borderId="13" xfId="3" applyNumberFormat="1" applyBorder="1" applyProtection="1"/>
    <xf numFmtId="0" fontId="0" fillId="0" borderId="34" xfId="0" applyBorder="1"/>
    <xf numFmtId="0" fontId="0" fillId="0" borderId="35" xfId="0" applyBorder="1"/>
    <xf numFmtId="0" fontId="0" fillId="0" borderId="36" xfId="0" applyBorder="1"/>
    <xf numFmtId="168" fontId="13" fillId="5" borderId="24" xfId="3" applyFill="1" applyBorder="1" applyProtection="1"/>
    <xf numFmtId="43" fontId="13" fillId="5" borderId="37" xfId="2" applyNumberFormat="1" applyFont="1" applyFill="1" applyBorder="1" applyAlignment="1"/>
    <xf numFmtId="168" fontId="13" fillId="3" borderId="29" xfId="3" applyFill="1" applyBorder="1" applyProtection="1"/>
    <xf numFmtId="168" fontId="13" fillId="5" borderId="29" xfId="3" applyFill="1" applyBorder="1" applyProtection="1"/>
    <xf numFmtId="168" fontId="13" fillId="6" borderId="29" xfId="3" applyFill="1" applyBorder="1" applyProtection="1"/>
    <xf numFmtId="168" fontId="13" fillId="3" borderId="31" xfId="3" applyFill="1" applyBorder="1" applyProtection="1"/>
    <xf numFmtId="0" fontId="9" fillId="0" borderId="0" xfId="2">
      <alignment vertical="center"/>
    </xf>
    <xf numFmtId="0" fontId="14" fillId="0" borderId="0" xfId="2" applyFont="1" applyAlignment="1"/>
    <xf numFmtId="0" fontId="13" fillId="0" borderId="0" xfId="2" applyFont="1" applyAlignment="1"/>
    <xf numFmtId="168" fontId="13" fillId="0" borderId="25" xfId="3" applyBorder="1" applyProtection="1"/>
    <xf numFmtId="168" fontId="13" fillId="3" borderId="0" xfId="3" applyFill="1" applyProtection="1"/>
    <xf numFmtId="43" fontId="13" fillId="0" borderId="2" xfId="2" applyNumberFormat="1" applyFont="1" applyBorder="1" applyAlignment="1"/>
    <xf numFmtId="43" fontId="13" fillId="5" borderId="2" xfId="2" applyNumberFormat="1" applyFont="1" applyFill="1" applyBorder="1" applyAlignment="1"/>
    <xf numFmtId="168" fontId="13" fillId="0" borderId="0" xfId="3" applyProtection="1"/>
    <xf numFmtId="0" fontId="15" fillId="0" borderId="0" xfId="2" applyFont="1" applyAlignment="1"/>
    <xf numFmtId="168" fontId="13" fillId="5" borderId="0" xfId="3" applyFill="1" applyProtection="1"/>
    <xf numFmtId="0" fontId="15" fillId="6" borderId="0" xfId="2" applyFont="1" applyFill="1" applyAlignment="1"/>
    <xf numFmtId="168" fontId="13" fillId="6" borderId="5" xfId="3" applyFill="1" applyBorder="1" applyProtection="1"/>
    <xf numFmtId="168" fontId="13" fillId="6" borderId="0" xfId="3" applyFill="1" applyProtection="1"/>
    <xf numFmtId="43" fontId="13" fillId="0" borderId="0" xfId="2" applyNumberFormat="1" applyFont="1" applyAlignment="1"/>
    <xf numFmtId="168" fontId="13" fillId="0" borderId="32" xfId="2" applyNumberFormat="1" applyFont="1" applyBorder="1" applyAlignment="1"/>
    <xf numFmtId="43" fontId="15" fillId="0" borderId="0" xfId="2" applyNumberFormat="1" applyFont="1" applyAlignment="1"/>
    <xf numFmtId="0" fontId="13" fillId="3" borderId="1" xfId="2" applyFont="1" applyFill="1" applyBorder="1" applyAlignment="1"/>
    <xf numFmtId="0" fontId="11" fillId="3" borderId="2" xfId="2" applyFont="1" applyFill="1" applyBorder="1" applyAlignment="1"/>
    <xf numFmtId="0" fontId="13" fillId="3" borderId="2" xfId="2" applyFont="1" applyFill="1" applyBorder="1" applyAlignment="1"/>
    <xf numFmtId="0" fontId="13" fillId="3" borderId="3" xfId="2" applyFont="1" applyFill="1" applyBorder="1" applyAlignment="1"/>
    <xf numFmtId="0" fontId="13" fillId="3" borderId="4" xfId="2" applyFont="1" applyFill="1" applyBorder="1" applyAlignment="1"/>
    <xf numFmtId="0" fontId="16" fillId="3" borderId="0" xfId="2" applyFont="1" applyFill="1" applyAlignment="1"/>
    <xf numFmtId="0" fontId="13" fillId="3" borderId="0" xfId="2" applyFont="1" applyFill="1" applyAlignment="1"/>
    <xf numFmtId="0" fontId="13" fillId="3" borderId="5" xfId="2" applyFont="1" applyFill="1" applyBorder="1" applyAlignment="1"/>
    <xf numFmtId="2" fontId="0" fillId="0" borderId="29" xfId="0" applyNumberFormat="1" applyBorder="1"/>
    <xf numFmtId="2" fontId="0" fillId="0" borderId="0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2" fontId="3" fillId="0" borderId="0" xfId="0" applyNumberFormat="1" applyFont="1"/>
    <xf numFmtId="0" fontId="0" fillId="0" borderId="38" xfId="0" applyBorder="1"/>
    <xf numFmtId="14" fontId="0" fillId="0" borderId="39" xfId="0" applyNumberFormat="1" applyBorder="1"/>
    <xf numFmtId="0" fontId="0" fillId="0" borderId="39" xfId="0" applyBorder="1"/>
    <xf numFmtId="0" fontId="0" fillId="0" borderId="40" xfId="0" applyBorder="1"/>
    <xf numFmtId="2" fontId="0" fillId="0" borderId="13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42" xfId="0" applyBorder="1"/>
    <xf numFmtId="0" fontId="0" fillId="0" borderId="43" xfId="0" applyBorder="1"/>
    <xf numFmtId="0" fontId="3" fillId="2" borderId="44" xfId="0" applyFont="1" applyFill="1" applyBorder="1"/>
    <xf numFmtId="0" fontId="3" fillId="2" borderId="45" xfId="0" applyFont="1" applyFill="1" applyBorder="1"/>
    <xf numFmtId="0" fontId="3" fillId="2" borderId="46" xfId="0" applyFont="1" applyFill="1" applyBorder="1"/>
    <xf numFmtId="14" fontId="0" fillId="0" borderId="41" xfId="0" applyNumberFormat="1" applyBorder="1"/>
    <xf numFmtId="0" fontId="0" fillId="6" borderId="14" xfId="0" applyFill="1" applyBorder="1"/>
    <xf numFmtId="0" fontId="0" fillId="6" borderId="0" xfId="0" applyFill="1"/>
    <xf numFmtId="0" fontId="0" fillId="0" borderId="47" xfId="0" applyFill="1" applyBorder="1"/>
    <xf numFmtId="17" fontId="0" fillId="0" borderId="13" xfId="0" applyNumberFormat="1" applyBorder="1"/>
    <xf numFmtId="1" fontId="0" fillId="0" borderId="13" xfId="0" applyNumberFormat="1" applyBorder="1"/>
    <xf numFmtId="165" fontId="3" fillId="0" borderId="0" xfId="0" applyNumberFormat="1" applyFont="1"/>
    <xf numFmtId="0" fontId="0" fillId="0" borderId="4" xfId="0" applyFill="1" applyBorder="1"/>
    <xf numFmtId="14" fontId="0" fillId="0" borderId="20" xfId="0" applyNumberFormat="1" applyBorder="1"/>
    <xf numFmtId="0" fontId="0" fillId="0" borderId="13" xfId="0" applyNumberFormat="1" applyBorder="1"/>
    <xf numFmtId="0" fontId="0" fillId="0" borderId="20" xfId="0" applyNumberFormat="1" applyBorder="1"/>
    <xf numFmtId="0" fontId="0" fillId="0" borderId="13" xfId="0" applyFill="1" applyBorder="1"/>
    <xf numFmtId="0" fontId="3" fillId="0" borderId="20" xfId="0" applyFont="1" applyBorder="1"/>
    <xf numFmtId="1" fontId="3" fillId="0" borderId="0" xfId="0" applyNumberFormat="1" applyFont="1"/>
    <xf numFmtId="0" fontId="0" fillId="0" borderId="0" xfId="0" applyFill="1" applyBorder="1"/>
    <xf numFmtId="0" fontId="0" fillId="0" borderId="29" xfId="0" applyBorder="1" applyAlignment="1"/>
    <xf numFmtId="0" fontId="0" fillId="0" borderId="0" xfId="0" applyFill="1" applyBorder="1" applyAlignment="1"/>
    <xf numFmtId="0" fontId="0" fillId="5" borderId="13" xfId="0" applyFill="1" applyBorder="1"/>
    <xf numFmtId="0" fontId="12" fillId="0" borderId="49" xfId="2" applyFont="1" applyBorder="1" applyAlignment="1">
      <alignment horizontal="right"/>
    </xf>
    <xf numFmtId="0" fontId="0" fillId="0" borderId="23" xfId="0" applyBorder="1"/>
    <xf numFmtId="1" fontId="0" fillId="0" borderId="23" xfId="0" applyNumberFormat="1" applyBorder="1"/>
    <xf numFmtId="1" fontId="0" fillId="0" borderId="50" xfId="0" applyNumberFormat="1" applyBorder="1"/>
    <xf numFmtId="4" fontId="0" fillId="0" borderId="0" xfId="0" applyNumberFormat="1"/>
    <xf numFmtId="17" fontId="0" fillId="0" borderId="0" xfId="0" applyNumberFormat="1"/>
    <xf numFmtId="2" fontId="0" fillId="0" borderId="0" xfId="0" applyNumberFormat="1" applyFill="1" applyBorder="1"/>
    <xf numFmtId="0" fontId="0" fillId="6" borderId="13" xfId="0" applyFill="1" applyBorder="1" applyAlignment="1"/>
    <xf numFmtId="0" fontId="0" fillId="6" borderId="13" xfId="0" applyFill="1" applyBorder="1" applyAlignment="1">
      <alignment horizontal="center"/>
    </xf>
    <xf numFmtId="0" fontId="0" fillId="6" borderId="13" xfId="0" applyFill="1" applyBorder="1"/>
    <xf numFmtId="14" fontId="0" fillId="6" borderId="0" xfId="0" applyNumberFormat="1" applyFill="1"/>
    <xf numFmtId="1" fontId="0" fillId="6" borderId="13" xfId="0" applyNumberFormat="1" applyFill="1" applyBorder="1"/>
    <xf numFmtId="0" fontId="13" fillId="6" borderId="0" xfId="2" applyFont="1" applyFill="1" applyAlignment="1"/>
    <xf numFmtId="43" fontId="15" fillId="6" borderId="0" xfId="2" applyNumberFormat="1" applyFont="1" applyFill="1" applyAlignment="1"/>
    <xf numFmtId="168" fontId="13" fillId="5" borderId="25" xfId="3" applyFill="1" applyBorder="1" applyProtection="1"/>
    <xf numFmtId="168" fontId="13" fillId="3" borderId="0" xfId="3" applyFill="1" applyBorder="1" applyProtection="1"/>
    <xf numFmtId="168" fontId="13" fillId="6" borderId="13" xfId="3" applyFill="1" applyBorder="1" applyProtection="1"/>
    <xf numFmtId="43" fontId="13" fillId="6" borderId="13" xfId="2" applyNumberFormat="1" applyFont="1" applyFill="1" applyBorder="1" applyAlignment="1"/>
    <xf numFmtId="0" fontId="0" fillId="5" borderId="14" xfId="0" applyFill="1" applyBorder="1"/>
    <xf numFmtId="169" fontId="3" fillId="0" borderId="0" xfId="0" applyNumberFormat="1" applyFont="1" applyAlignment="1">
      <alignment horizontal="right"/>
    </xf>
    <xf numFmtId="169" fontId="0" fillId="0" borderId="0" xfId="0" applyNumberFormat="1"/>
    <xf numFmtId="165" fontId="1" fillId="0" borderId="0" xfId="1" applyNumberFormat="1" applyFont="1" applyFill="1" applyBorder="1" applyAlignment="1">
      <alignment horizontal="right"/>
    </xf>
    <xf numFmtId="165" fontId="1" fillId="6" borderId="0" xfId="1" applyNumberFormat="1" applyFont="1" applyFill="1" applyBorder="1" applyAlignment="1">
      <alignment horizontal="right"/>
    </xf>
    <xf numFmtId="165" fontId="1" fillId="0" borderId="0" xfId="1" applyNumberFormat="1" applyFont="1" applyFill="1" applyBorder="1"/>
    <xf numFmtId="0" fontId="0" fillId="0" borderId="0" xfId="0" applyFont="1" applyAlignment="1">
      <alignment horizontal="right"/>
    </xf>
    <xf numFmtId="0" fontId="0" fillId="0" borderId="0" xfId="0" applyFont="1"/>
    <xf numFmtId="14" fontId="0" fillId="0" borderId="4" xfId="0" applyNumberFormat="1" applyBorder="1"/>
    <xf numFmtId="165" fontId="3" fillId="0" borderId="7" xfId="1" applyNumberFormat="1" applyFont="1" applyFill="1" applyBorder="1"/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1" fontId="0" fillId="0" borderId="3" xfId="0" applyNumberFormat="1" applyBorder="1"/>
    <xf numFmtId="43" fontId="0" fillId="0" borderId="0" xfId="0" applyNumberFormat="1"/>
    <xf numFmtId="14" fontId="0" fillId="0" borderId="38" xfId="0" applyNumberFormat="1" applyBorder="1"/>
    <xf numFmtId="0" fontId="19" fillId="7" borderId="51" xfId="0" applyFont="1" applyFill="1" applyBorder="1" applyAlignment="1">
      <alignment horizontal="right" vertical="center" wrapText="1"/>
    </xf>
    <xf numFmtId="165" fontId="0" fillId="0" borderId="14" xfId="0" applyNumberFormat="1" applyBorder="1"/>
    <xf numFmtId="0" fontId="0" fillId="0" borderId="39" xfId="0" applyFill="1" applyBorder="1"/>
    <xf numFmtId="0" fontId="20" fillId="0" borderId="0" xfId="0" applyFont="1"/>
    <xf numFmtId="0" fontId="21" fillId="0" borderId="0" xfId="0" applyFont="1"/>
    <xf numFmtId="0" fontId="0" fillId="6" borderId="39" xfId="0" applyFill="1" applyBorder="1"/>
    <xf numFmtId="1" fontId="0" fillId="0" borderId="0" xfId="0" applyNumberFormat="1"/>
    <xf numFmtId="0" fontId="0" fillId="6" borderId="40" xfId="0" applyFill="1" applyBorder="1"/>
    <xf numFmtId="14" fontId="0" fillId="0" borderId="9" xfId="0" applyNumberFormat="1" applyBorder="1"/>
    <xf numFmtId="0" fontId="0" fillId="0" borderId="10" xfId="0" applyBorder="1"/>
    <xf numFmtId="0" fontId="0" fillId="6" borderId="11" xfId="0" applyFill="1" applyBorder="1"/>
    <xf numFmtId="0" fontId="23" fillId="0" borderId="0" xfId="0" applyFont="1"/>
    <xf numFmtId="0" fontId="0" fillId="0" borderId="20" xfId="0" applyFill="1" applyBorder="1"/>
    <xf numFmtId="2" fontId="0" fillId="0" borderId="39" xfId="0" applyNumberFormat="1" applyBorder="1"/>
    <xf numFmtId="0" fontId="0" fillId="0" borderId="39" xfId="0" applyNumberFormat="1" applyBorder="1"/>
    <xf numFmtId="165" fontId="0" fillId="5" borderId="14" xfId="0" applyNumberFormat="1" applyFill="1" applyBorder="1"/>
    <xf numFmtId="0" fontId="12" fillId="0" borderId="0" xfId="2" applyFont="1" applyBorder="1" applyAlignment="1">
      <alignment horizontal="right"/>
    </xf>
    <xf numFmtId="165" fontId="0" fillId="6" borderId="0" xfId="0" applyNumberFormat="1" applyFill="1" applyBorder="1"/>
    <xf numFmtId="165" fontId="0" fillId="6" borderId="0" xfId="0" applyNumberFormat="1" applyFill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/>
    </xf>
    <xf numFmtId="14" fontId="0" fillId="0" borderId="53" xfId="0" applyNumberFormat="1" applyBorder="1"/>
    <xf numFmtId="14" fontId="0" fillId="0" borderId="54" xfId="0" applyNumberFormat="1" applyBorder="1"/>
    <xf numFmtId="0" fontId="6" fillId="3" borderId="0" xfId="0" applyFont="1" applyFill="1" applyAlignment="1">
      <alignment horizontal="center"/>
    </xf>
    <xf numFmtId="0" fontId="0" fillId="0" borderId="48" xfId="0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0" fillId="0" borderId="22" xfId="0" applyBorder="1"/>
    <xf numFmtId="2" fontId="0" fillId="0" borderId="22" xfId="0" applyNumberFormat="1" applyBorder="1"/>
    <xf numFmtId="0" fontId="0" fillId="0" borderId="55" xfId="0" applyBorder="1"/>
    <xf numFmtId="0" fontId="0" fillId="0" borderId="56" xfId="0" applyBorder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6" borderId="39" xfId="0" applyNumberFormat="1" applyFill="1" applyBorder="1"/>
    <xf numFmtId="14" fontId="0" fillId="6" borderId="39" xfId="0" applyNumberFormat="1" applyFill="1" applyBorder="1"/>
    <xf numFmtId="2" fontId="0" fillId="6" borderId="39" xfId="0" applyNumberFormat="1" applyFill="1" applyBorder="1"/>
    <xf numFmtId="0" fontId="0" fillId="6" borderId="38" xfId="0" applyFill="1" applyBorder="1"/>
    <xf numFmtId="0" fontId="0" fillId="6" borderId="55" xfId="0" applyFill="1" applyBorder="1"/>
    <xf numFmtId="0" fontId="0" fillId="8" borderId="38" xfId="0" applyFill="1" applyBorder="1"/>
    <xf numFmtId="0" fontId="0" fillId="8" borderId="39" xfId="0" applyNumberFormat="1" applyFill="1" applyBorder="1"/>
    <xf numFmtId="0" fontId="0" fillId="8" borderId="39" xfId="0" applyFill="1" applyBorder="1"/>
    <xf numFmtId="2" fontId="0" fillId="8" borderId="39" xfId="0" applyNumberFormat="1" applyFill="1" applyBorder="1"/>
    <xf numFmtId="0" fontId="0" fillId="8" borderId="55" xfId="0" applyFill="1" applyBorder="1"/>
    <xf numFmtId="0" fontId="0" fillId="8" borderId="40" xfId="0" applyFill="1" applyBorder="1"/>
    <xf numFmtId="0" fontId="0" fillId="8" borderId="0" xfId="0" applyFill="1"/>
    <xf numFmtId="14" fontId="3" fillId="8" borderId="39" xfId="0" applyNumberFormat="1" applyFont="1" applyFill="1" applyBorder="1"/>
    <xf numFmtId="14" fontId="0" fillId="8" borderId="39" xfId="0" applyNumberFormat="1" applyFill="1" applyBorder="1"/>
    <xf numFmtId="0" fontId="3" fillId="8" borderId="0" xfId="0" applyFont="1" applyFill="1"/>
    <xf numFmtId="0" fontId="0" fillId="9" borderId="0" xfId="0" applyFill="1"/>
    <xf numFmtId="0" fontId="0" fillId="8" borderId="12" xfId="0" applyFill="1" applyBorder="1"/>
    <xf numFmtId="0" fontId="0" fillId="8" borderId="13" xfId="0" applyFill="1" applyBorder="1"/>
    <xf numFmtId="1" fontId="0" fillId="8" borderId="13" xfId="0" applyNumberFormat="1" applyFill="1" applyBorder="1"/>
    <xf numFmtId="14" fontId="0" fillId="8" borderId="13" xfId="0" applyNumberFormat="1" applyFill="1" applyBorder="1"/>
    <xf numFmtId="0" fontId="0" fillId="8" borderId="22" xfId="0" applyFill="1" applyBorder="1"/>
    <xf numFmtId="0" fontId="0" fillId="8" borderId="14" xfId="0" applyFill="1" applyBorder="1"/>
    <xf numFmtId="0" fontId="0" fillId="8" borderId="0" xfId="0" applyFill="1" applyBorder="1" applyAlignment="1"/>
    <xf numFmtId="0" fontId="0" fillId="8" borderId="13" xfId="0" applyFill="1" applyBorder="1" applyAlignment="1"/>
    <xf numFmtId="16" fontId="0" fillId="0" borderId="0" xfId="0" applyNumberFormat="1"/>
    <xf numFmtId="0" fontId="0" fillId="6" borderId="19" xfId="0" applyFill="1" applyBorder="1"/>
    <xf numFmtId="0" fontId="0" fillId="6" borderId="20" xfId="0" applyNumberFormat="1" applyFill="1" applyBorder="1"/>
    <xf numFmtId="0" fontId="0" fillId="6" borderId="20" xfId="0" applyFill="1" applyBorder="1"/>
    <xf numFmtId="14" fontId="0" fillId="6" borderId="20" xfId="0" applyNumberFormat="1" applyFill="1" applyBorder="1"/>
    <xf numFmtId="0" fontId="0" fillId="6" borderId="56" xfId="0" applyFill="1" applyBorder="1"/>
    <xf numFmtId="0" fontId="0" fillId="6" borderId="21" xfId="0" applyFill="1" applyBorder="1"/>
    <xf numFmtId="0" fontId="0" fillId="0" borderId="5" xfId="0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3" xfId="0" applyBorder="1" applyAlignment="1">
      <alignment horizontal="center"/>
    </xf>
    <xf numFmtId="0" fontId="20" fillId="0" borderId="30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2" fontId="0" fillId="0" borderId="30" xfId="0" applyNumberFormat="1" applyBorder="1" applyAlignment="1">
      <alignment horizontal="right"/>
    </xf>
    <xf numFmtId="0" fontId="10" fillId="0" borderId="27" xfId="2" applyFont="1" applyBorder="1" applyAlignment="1">
      <alignment horizontal="center"/>
    </xf>
    <xf numFmtId="0" fontId="10" fillId="0" borderId="28" xfId="2" applyFont="1" applyBorder="1" applyAlignment="1">
      <alignment horizontal="center"/>
    </xf>
    <xf numFmtId="0" fontId="10" fillId="0" borderId="49" xfId="2" applyFont="1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4" fontId="0" fillId="0" borderId="39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9" xfId="0" applyBorder="1" applyAlignment="1">
      <alignment horizontal="center"/>
    </xf>
    <xf numFmtId="165" fontId="0" fillId="5" borderId="40" xfId="0" applyNumberFormat="1" applyFill="1" applyBorder="1" applyAlignment="1">
      <alignment horizontal="center"/>
    </xf>
    <xf numFmtId="0" fontId="0" fillId="5" borderId="43" xfId="0" applyFill="1" applyBorder="1" applyAlignment="1">
      <alignment horizontal="center"/>
    </xf>
  </cellXfs>
  <cellStyles count="4">
    <cellStyle name="Comma" xfId="1" builtinId="3"/>
    <cellStyle name="Comma 3" xfId="3" xr:uid="{DF82BF03-C3AF-4FBB-B5E5-1D3FCA8D4E0A}"/>
    <cellStyle name="Normal" xfId="0" builtinId="0"/>
    <cellStyle name="Normal 2" xfId="2" xr:uid="{6B860281-A829-4E01-B293-6E7C28041C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7D37-11DA-49E3-A5F7-029FD2F84343}">
  <dimension ref="B6:S232"/>
  <sheetViews>
    <sheetView topLeftCell="A220" zoomScaleNormal="100" workbookViewId="0">
      <selection activeCell="K222" sqref="K222"/>
    </sheetView>
  </sheetViews>
  <sheetFormatPr defaultRowHeight="14.4"/>
  <cols>
    <col min="3" max="3" width="17.33203125" bestFit="1" customWidth="1"/>
    <col min="5" max="5" width="12.88671875" bestFit="1" customWidth="1"/>
    <col min="7" max="7" width="12.44140625" bestFit="1" customWidth="1"/>
    <col min="11" max="11" width="17.88671875" bestFit="1" customWidth="1"/>
    <col min="13" max="13" width="32.88671875" bestFit="1" customWidth="1"/>
    <col min="17" max="17" width="12.44140625" bestFit="1" customWidth="1"/>
  </cols>
  <sheetData>
    <row r="6" spans="2:13" ht="23.4">
      <c r="C6" s="230" t="s">
        <v>10</v>
      </c>
      <c r="D6" s="231"/>
      <c r="E6" s="231"/>
      <c r="F6" s="231"/>
      <c r="G6" s="231"/>
      <c r="H6" s="231"/>
      <c r="I6" s="231"/>
      <c r="J6" s="231"/>
      <c r="K6" s="231"/>
      <c r="L6" s="231"/>
      <c r="M6" s="232"/>
    </row>
    <row r="7" spans="2:13">
      <c r="B7" s="25" t="s">
        <v>17</v>
      </c>
      <c r="C7" s="1" t="s">
        <v>0</v>
      </c>
      <c r="D7" s="2" t="s">
        <v>1</v>
      </c>
      <c r="E7" s="2" t="s">
        <v>2</v>
      </c>
      <c r="F7" s="2" t="s">
        <v>3</v>
      </c>
      <c r="G7" s="3" t="s">
        <v>4</v>
      </c>
      <c r="H7" s="2" t="s">
        <v>5</v>
      </c>
      <c r="I7" s="2" t="s">
        <v>19</v>
      </c>
      <c r="J7" s="2"/>
      <c r="K7" s="4" t="s">
        <v>0</v>
      </c>
      <c r="L7" s="2" t="s">
        <v>4</v>
      </c>
      <c r="M7" s="5"/>
    </row>
    <row r="8" spans="2:13">
      <c r="B8" s="25"/>
      <c r="C8" s="1"/>
      <c r="D8" s="2"/>
      <c r="E8" s="2"/>
      <c r="F8" s="2"/>
      <c r="G8" s="3"/>
      <c r="H8" s="2"/>
      <c r="I8" s="2"/>
      <c r="J8" s="2"/>
      <c r="K8" s="4"/>
      <c r="L8" s="2"/>
      <c r="M8" s="5"/>
    </row>
    <row r="9" spans="2:13">
      <c r="B9">
        <v>26.7</v>
      </c>
      <c r="C9" s="6">
        <v>44315</v>
      </c>
      <c r="D9" s="7">
        <v>45</v>
      </c>
      <c r="E9" s="151">
        <f t="shared" ref="E9:E20" si="0">B9-B9*0.005</f>
        <v>26.566499999999998</v>
      </c>
      <c r="F9" s="7">
        <v>2550</v>
      </c>
      <c r="G9" s="8">
        <f t="shared" ref="G9:G31" si="1">F9*E9</f>
        <v>67744.574999999997</v>
      </c>
      <c r="H9" s="7">
        <v>3</v>
      </c>
      <c r="I9" s="7" t="s">
        <v>6</v>
      </c>
      <c r="J9" s="9"/>
      <c r="K9" s="10">
        <v>44344</v>
      </c>
      <c r="L9" s="7">
        <v>500000</v>
      </c>
      <c r="M9" s="11" t="s">
        <v>178</v>
      </c>
    </row>
    <row r="10" spans="2:13">
      <c r="B10">
        <v>42.6</v>
      </c>
      <c r="C10" s="12">
        <v>44323</v>
      </c>
      <c r="D10">
        <v>72</v>
      </c>
      <c r="E10" s="151">
        <f t="shared" si="0"/>
        <v>42.387</v>
      </c>
      <c r="F10">
        <v>2500</v>
      </c>
      <c r="G10" s="8">
        <f t="shared" si="1"/>
        <v>105967.5</v>
      </c>
      <c r="H10">
        <v>1</v>
      </c>
      <c r="I10" s="7" t="s">
        <v>21</v>
      </c>
      <c r="K10" s="13">
        <v>44344</v>
      </c>
      <c r="L10">
        <v>200000</v>
      </c>
      <c r="M10" s="11" t="s">
        <v>178</v>
      </c>
    </row>
    <row r="11" spans="2:13">
      <c r="B11">
        <v>51.6</v>
      </c>
      <c r="C11" s="12">
        <v>44328</v>
      </c>
      <c r="D11">
        <v>97</v>
      </c>
      <c r="E11" s="151">
        <f t="shared" si="0"/>
        <v>51.341999999999999</v>
      </c>
      <c r="F11">
        <v>2500</v>
      </c>
      <c r="G11" s="8">
        <f t="shared" si="1"/>
        <v>128355</v>
      </c>
      <c r="H11">
        <v>8</v>
      </c>
      <c r="I11" s="7" t="s">
        <v>21</v>
      </c>
      <c r="K11" s="13">
        <v>44364</v>
      </c>
      <c r="L11">
        <v>450000</v>
      </c>
      <c r="M11" s="11" t="s">
        <v>261</v>
      </c>
    </row>
    <row r="12" spans="2:13">
      <c r="B12">
        <v>102.4</v>
      </c>
      <c r="C12" s="12">
        <v>44336</v>
      </c>
      <c r="D12">
        <v>190</v>
      </c>
      <c r="E12" s="151">
        <f t="shared" si="0"/>
        <v>101.88800000000001</v>
      </c>
      <c r="F12">
        <v>2580</v>
      </c>
      <c r="G12" s="8">
        <f t="shared" si="1"/>
        <v>262871.04000000004</v>
      </c>
      <c r="H12">
        <v>9</v>
      </c>
      <c r="I12" s="7" t="s">
        <v>118</v>
      </c>
      <c r="K12" s="13">
        <v>44365</v>
      </c>
      <c r="L12">
        <v>150000</v>
      </c>
      <c r="M12" s="11" t="s">
        <v>261</v>
      </c>
    </row>
    <row r="13" spans="2:13">
      <c r="B13">
        <v>33.35</v>
      </c>
      <c r="C13" s="12">
        <v>44340</v>
      </c>
      <c r="D13">
        <v>60</v>
      </c>
      <c r="E13" s="151">
        <f t="shared" si="0"/>
        <v>33.183250000000001</v>
      </c>
      <c r="F13">
        <v>2450</v>
      </c>
      <c r="G13" s="8">
        <f t="shared" si="1"/>
        <v>81298.962500000009</v>
      </c>
      <c r="H13">
        <v>13</v>
      </c>
      <c r="I13" s="7" t="s">
        <v>6</v>
      </c>
      <c r="K13" s="13">
        <v>44385</v>
      </c>
      <c r="L13">
        <v>127488</v>
      </c>
      <c r="M13" s="11" t="s">
        <v>178</v>
      </c>
    </row>
    <row r="14" spans="2:13">
      <c r="B14">
        <v>59.5</v>
      </c>
      <c r="C14" s="12">
        <v>44344</v>
      </c>
      <c r="D14">
        <v>97</v>
      </c>
      <c r="E14" s="151">
        <f t="shared" si="0"/>
        <v>59.202500000000001</v>
      </c>
      <c r="F14">
        <v>2430</v>
      </c>
      <c r="G14" s="14">
        <f t="shared" si="1"/>
        <v>143862.07500000001</v>
      </c>
      <c r="H14">
        <v>18</v>
      </c>
      <c r="I14" s="7" t="s">
        <v>6</v>
      </c>
      <c r="K14" s="13">
        <v>44414</v>
      </c>
      <c r="L14">
        <v>150000</v>
      </c>
      <c r="M14" s="11" t="s">
        <v>370</v>
      </c>
    </row>
    <row r="15" spans="2:13">
      <c r="B15">
        <v>21.2</v>
      </c>
      <c r="C15" s="12">
        <v>44347</v>
      </c>
      <c r="D15">
        <v>37</v>
      </c>
      <c r="E15" s="152">
        <f t="shared" si="0"/>
        <v>21.093999999999998</v>
      </c>
      <c r="F15">
        <v>2420</v>
      </c>
      <c r="G15" s="14">
        <f t="shared" si="1"/>
        <v>51047.479999999996</v>
      </c>
      <c r="H15">
        <v>22</v>
      </c>
      <c r="I15" s="7" t="s">
        <v>6</v>
      </c>
      <c r="K15" s="13">
        <v>44431</v>
      </c>
      <c r="L15">
        <v>164500</v>
      </c>
      <c r="M15" s="11" t="s">
        <v>407</v>
      </c>
    </row>
    <row r="16" spans="2:13">
      <c r="B16">
        <v>95.15</v>
      </c>
      <c r="C16" s="12">
        <v>44354</v>
      </c>
      <c r="D16">
        <v>180</v>
      </c>
      <c r="E16" s="152">
        <f t="shared" si="0"/>
        <v>94.674250000000001</v>
      </c>
      <c r="F16">
        <v>2300</v>
      </c>
      <c r="G16" s="14">
        <f t="shared" si="1"/>
        <v>217750.77499999999</v>
      </c>
      <c r="H16">
        <v>31</v>
      </c>
      <c r="I16" s="7" t="s">
        <v>6</v>
      </c>
      <c r="K16" s="51">
        <v>44515</v>
      </c>
      <c r="L16">
        <v>46655</v>
      </c>
      <c r="M16" s="11" t="s">
        <v>631</v>
      </c>
    </row>
    <row r="17" spans="2:13">
      <c r="B17">
        <v>49.05</v>
      </c>
      <c r="C17" s="12">
        <v>44358</v>
      </c>
      <c r="D17">
        <v>84</v>
      </c>
      <c r="E17" s="152">
        <f t="shared" si="0"/>
        <v>48.804749999999999</v>
      </c>
      <c r="F17">
        <v>2150</v>
      </c>
      <c r="G17" s="14">
        <f t="shared" si="1"/>
        <v>104930.21249999999</v>
      </c>
      <c r="H17">
        <v>35</v>
      </c>
      <c r="I17" s="7" t="s">
        <v>6</v>
      </c>
      <c r="K17" s="13">
        <v>44535</v>
      </c>
      <c r="L17">
        <v>96900</v>
      </c>
      <c r="M17" s="11" t="s">
        <v>502</v>
      </c>
    </row>
    <row r="18" spans="2:13">
      <c r="B18">
        <v>67.099999999999994</v>
      </c>
      <c r="C18" s="12">
        <v>44363</v>
      </c>
      <c r="D18">
        <v>114</v>
      </c>
      <c r="E18" s="152">
        <f t="shared" si="0"/>
        <v>66.764499999999998</v>
      </c>
      <c r="F18">
        <v>1900</v>
      </c>
      <c r="G18" s="14">
        <f t="shared" si="1"/>
        <v>126852.55</v>
      </c>
      <c r="H18">
        <v>40</v>
      </c>
      <c r="I18" s="7" t="s">
        <v>6</v>
      </c>
      <c r="K18" s="13">
        <v>44548</v>
      </c>
      <c r="L18">
        <v>200000</v>
      </c>
      <c r="M18" s="11" t="s">
        <v>534</v>
      </c>
    </row>
    <row r="19" spans="2:13">
      <c r="B19">
        <v>19.05</v>
      </c>
      <c r="C19" s="12">
        <v>44368</v>
      </c>
      <c r="D19">
        <v>36</v>
      </c>
      <c r="E19" s="152">
        <f t="shared" si="0"/>
        <v>18.954750000000001</v>
      </c>
      <c r="F19">
        <v>1950</v>
      </c>
      <c r="G19" s="14">
        <f t="shared" si="1"/>
        <v>36961.762500000004</v>
      </c>
      <c r="H19">
        <v>43</v>
      </c>
      <c r="I19" s="7" t="s">
        <v>6</v>
      </c>
      <c r="K19" s="13">
        <v>44553</v>
      </c>
      <c r="L19">
        <v>200000</v>
      </c>
      <c r="M19" s="11" t="s">
        <v>534</v>
      </c>
    </row>
    <row r="20" spans="2:13">
      <c r="B20">
        <v>33.950000000000003</v>
      </c>
      <c r="C20" s="12">
        <v>44376</v>
      </c>
      <c r="D20">
        <v>65</v>
      </c>
      <c r="E20" s="152">
        <f t="shared" si="0"/>
        <v>33.780250000000002</v>
      </c>
      <c r="F20">
        <v>2050</v>
      </c>
      <c r="G20" s="14">
        <f t="shared" si="1"/>
        <v>69249.512500000012</v>
      </c>
      <c r="H20">
        <v>47</v>
      </c>
      <c r="I20" s="7" t="s">
        <v>6</v>
      </c>
      <c r="K20" s="13">
        <v>44567</v>
      </c>
      <c r="L20">
        <v>600000</v>
      </c>
      <c r="M20" s="11" t="s">
        <v>261</v>
      </c>
    </row>
    <row r="21" spans="2:13">
      <c r="C21" s="12">
        <v>44383</v>
      </c>
      <c r="D21">
        <v>30</v>
      </c>
      <c r="E21" s="152">
        <v>15</v>
      </c>
      <c r="F21">
        <v>2050</v>
      </c>
      <c r="G21" s="14">
        <f t="shared" si="1"/>
        <v>30750</v>
      </c>
      <c r="H21">
        <v>24</v>
      </c>
      <c r="I21" s="7" t="s">
        <v>118</v>
      </c>
      <c r="K21" s="13"/>
      <c r="M21" s="11"/>
    </row>
    <row r="22" spans="2:13">
      <c r="C22" s="12">
        <v>44393</v>
      </c>
      <c r="D22">
        <v>180</v>
      </c>
      <c r="E22" s="152">
        <f>D22/2</f>
        <v>90</v>
      </c>
      <c r="F22">
        <v>2050</v>
      </c>
      <c r="G22" s="14">
        <f t="shared" si="1"/>
        <v>184500</v>
      </c>
      <c r="H22" t="s">
        <v>369</v>
      </c>
      <c r="I22" s="7"/>
      <c r="K22" s="13"/>
      <c r="M22" s="11"/>
    </row>
    <row r="23" spans="2:13">
      <c r="C23" s="12"/>
      <c r="D23">
        <v>130</v>
      </c>
      <c r="E23" s="152">
        <f>D23/2</f>
        <v>65</v>
      </c>
      <c r="F23">
        <v>2000</v>
      </c>
      <c r="G23" s="14">
        <f t="shared" si="1"/>
        <v>130000</v>
      </c>
      <c r="H23" t="s">
        <v>369</v>
      </c>
      <c r="I23" s="7"/>
      <c r="K23" s="13"/>
      <c r="M23" s="11"/>
    </row>
    <row r="24" spans="2:13">
      <c r="C24" s="12"/>
      <c r="D24">
        <v>102</v>
      </c>
      <c r="E24" s="26">
        <f>D24/2</f>
        <v>51</v>
      </c>
      <c r="F24">
        <v>1900</v>
      </c>
      <c r="G24" s="14">
        <f t="shared" si="1"/>
        <v>96900</v>
      </c>
      <c r="H24" t="s">
        <v>369</v>
      </c>
      <c r="K24" s="13"/>
      <c r="M24" s="11"/>
    </row>
    <row r="25" spans="2:13">
      <c r="C25" s="12">
        <v>44514</v>
      </c>
      <c r="D25">
        <v>14</v>
      </c>
      <c r="E25" s="26">
        <v>7</v>
      </c>
      <c r="F25">
        <v>1550</v>
      </c>
      <c r="G25" s="14">
        <f t="shared" si="1"/>
        <v>10850</v>
      </c>
      <c r="H25" t="s">
        <v>632</v>
      </c>
      <c r="K25" s="13"/>
      <c r="M25" s="11"/>
    </row>
    <row r="26" spans="2:13">
      <c r="C26" s="12">
        <v>44514</v>
      </c>
      <c r="D26">
        <v>11</v>
      </c>
      <c r="E26" s="26">
        <v>5.5</v>
      </c>
      <c r="F26">
        <v>1550</v>
      </c>
      <c r="G26" s="14">
        <f t="shared" si="1"/>
        <v>8525</v>
      </c>
      <c r="H26" t="s">
        <v>245</v>
      </c>
      <c r="K26" s="13"/>
      <c r="M26" s="11"/>
    </row>
    <row r="27" spans="2:13">
      <c r="B27">
        <v>34.65</v>
      </c>
      <c r="C27" s="12">
        <v>44531</v>
      </c>
      <c r="D27">
        <v>65</v>
      </c>
      <c r="E27" s="152">
        <f t="shared" ref="E27:E36" si="2">B27-B27*0.005</f>
        <v>34.476749999999996</v>
      </c>
      <c r="F27">
        <v>2300</v>
      </c>
      <c r="G27" s="14">
        <f t="shared" si="1"/>
        <v>79296.524999999994</v>
      </c>
      <c r="I27" t="s">
        <v>485</v>
      </c>
      <c r="K27" s="13"/>
      <c r="M27" s="11"/>
    </row>
    <row r="28" spans="2:13">
      <c r="B28">
        <v>58.05</v>
      </c>
      <c r="C28" s="12">
        <v>44534</v>
      </c>
      <c r="D28">
        <v>110</v>
      </c>
      <c r="E28" s="152">
        <f t="shared" si="2"/>
        <v>57.759749999999997</v>
      </c>
      <c r="F28">
        <v>2050</v>
      </c>
      <c r="G28" s="14">
        <f t="shared" si="1"/>
        <v>118407.48749999999</v>
      </c>
      <c r="H28">
        <v>59</v>
      </c>
      <c r="I28" t="s">
        <v>6</v>
      </c>
      <c r="K28" s="13"/>
      <c r="M28" s="11"/>
    </row>
    <row r="29" spans="2:13">
      <c r="B29">
        <v>21</v>
      </c>
      <c r="C29" s="12">
        <v>44539</v>
      </c>
      <c r="D29">
        <v>35</v>
      </c>
      <c r="E29" s="152">
        <f t="shared" si="2"/>
        <v>20.895</v>
      </c>
      <c r="F29">
        <v>2200</v>
      </c>
      <c r="G29" s="14">
        <f t="shared" si="1"/>
        <v>45969</v>
      </c>
      <c r="H29">
        <v>62</v>
      </c>
      <c r="I29" t="s">
        <v>6</v>
      </c>
      <c r="K29" s="13"/>
      <c r="M29" s="11"/>
    </row>
    <row r="30" spans="2:13">
      <c r="B30">
        <v>34.85</v>
      </c>
      <c r="C30" s="12">
        <v>44539</v>
      </c>
      <c r="D30">
        <v>65</v>
      </c>
      <c r="E30" s="152">
        <f t="shared" si="2"/>
        <v>34.675750000000001</v>
      </c>
      <c r="F30">
        <v>2200</v>
      </c>
      <c r="G30" s="14">
        <f t="shared" si="1"/>
        <v>76286.650000000009</v>
      </c>
      <c r="H30">
        <v>61</v>
      </c>
      <c r="I30" t="s">
        <v>6</v>
      </c>
      <c r="K30" s="13"/>
      <c r="M30" s="11"/>
    </row>
    <row r="31" spans="2:13">
      <c r="B31">
        <v>33.25</v>
      </c>
      <c r="C31" s="12">
        <v>44547</v>
      </c>
      <c r="D31">
        <v>67</v>
      </c>
      <c r="E31" s="152">
        <f t="shared" si="2"/>
        <v>33.083750000000002</v>
      </c>
      <c r="F31">
        <v>1750</v>
      </c>
      <c r="G31" s="14">
        <f t="shared" si="1"/>
        <v>57896.5625</v>
      </c>
      <c r="H31">
        <v>95</v>
      </c>
      <c r="I31" t="s">
        <v>118</v>
      </c>
      <c r="K31" s="13"/>
      <c r="M31" s="11"/>
    </row>
    <row r="32" spans="2:13">
      <c r="B32">
        <v>85.55</v>
      </c>
      <c r="C32" s="12">
        <v>44544</v>
      </c>
      <c r="D32">
        <v>150</v>
      </c>
      <c r="E32" s="26">
        <f t="shared" si="2"/>
        <v>85.122249999999994</v>
      </c>
      <c r="F32">
        <v>1950</v>
      </c>
      <c r="G32" s="14">
        <f>F32*E32</f>
        <v>165988.38749999998</v>
      </c>
      <c r="H32">
        <v>87</v>
      </c>
      <c r="I32" t="s">
        <v>118</v>
      </c>
      <c r="K32" s="13"/>
      <c r="M32" s="11"/>
    </row>
    <row r="33" spans="2:13">
      <c r="B33">
        <v>60.9</v>
      </c>
      <c r="C33" s="12">
        <v>44552</v>
      </c>
      <c r="D33">
        <v>113</v>
      </c>
      <c r="E33" s="26">
        <f>B33-B33*0.005</f>
        <v>60.595500000000001</v>
      </c>
      <c r="F33">
        <v>1700</v>
      </c>
      <c r="G33" s="14">
        <f>F33*E33</f>
        <v>103012.35</v>
      </c>
      <c r="H33">
        <v>78</v>
      </c>
      <c r="I33" t="s">
        <v>6</v>
      </c>
    </row>
    <row r="34" spans="2:13">
      <c r="B34">
        <v>17.75</v>
      </c>
      <c r="C34" s="12">
        <v>44553</v>
      </c>
      <c r="D34">
        <v>30</v>
      </c>
      <c r="E34" s="26">
        <f t="shared" si="2"/>
        <v>17.661249999999999</v>
      </c>
      <c r="F34">
        <v>1650</v>
      </c>
      <c r="G34" s="14">
        <f>F34*E34</f>
        <v>29141.0625</v>
      </c>
      <c r="H34">
        <v>79</v>
      </c>
      <c r="I34" t="s">
        <v>6</v>
      </c>
      <c r="K34" s="13"/>
      <c r="M34" s="11"/>
    </row>
    <row r="35" spans="2:13">
      <c r="B35">
        <v>89.15</v>
      </c>
      <c r="C35" s="222">
        <v>44558</v>
      </c>
      <c r="D35">
        <v>157</v>
      </c>
      <c r="E35" s="26">
        <f t="shared" si="2"/>
        <v>88.704250000000002</v>
      </c>
      <c r="F35">
        <v>1720</v>
      </c>
      <c r="G35" s="14">
        <f>F35*E35</f>
        <v>152571.31</v>
      </c>
      <c r="H35">
        <v>90</v>
      </c>
      <c r="I35" t="s">
        <v>6</v>
      </c>
      <c r="K35" s="13"/>
      <c r="M35" s="11"/>
    </row>
    <row r="36" spans="2:13">
      <c r="B36">
        <v>93.6</v>
      </c>
      <c r="C36" s="12">
        <v>44565</v>
      </c>
      <c r="D36">
        <v>170</v>
      </c>
      <c r="E36" s="26">
        <f t="shared" si="2"/>
        <v>93.131999999999991</v>
      </c>
      <c r="F36">
        <v>1800</v>
      </c>
      <c r="G36" s="14">
        <f>F36*E36</f>
        <v>167637.59999999998</v>
      </c>
      <c r="H36">
        <v>100</v>
      </c>
      <c r="I36" t="s">
        <v>6</v>
      </c>
      <c r="K36" s="13"/>
      <c r="M36" s="11"/>
    </row>
    <row r="37" spans="2:13">
      <c r="C37" s="12"/>
      <c r="E37" s="26"/>
      <c r="G37" s="14"/>
      <c r="K37" s="13"/>
      <c r="M37" s="11"/>
    </row>
    <row r="38" spans="2:13">
      <c r="C38" s="12"/>
      <c r="E38" s="101"/>
      <c r="F38" s="15"/>
      <c r="G38" s="16"/>
      <c r="K38" s="13"/>
      <c r="L38" s="16"/>
      <c r="M38" s="11"/>
    </row>
    <row r="39" spans="2:13">
      <c r="C39" s="17" t="s">
        <v>7</v>
      </c>
      <c r="D39" s="15">
        <f>SUM(D9:D38)</f>
        <v>2506</v>
      </c>
      <c r="E39" s="15">
        <f>SUM(E9:E38)</f>
        <v>1358.248</v>
      </c>
      <c r="F39" s="15"/>
      <c r="G39" s="127">
        <f>SUM(G9:G38)</f>
        <v>2854623.38</v>
      </c>
      <c r="H39" s="15"/>
      <c r="I39" s="15"/>
      <c r="J39" s="15"/>
      <c r="K39" s="18" t="s">
        <v>8</v>
      </c>
      <c r="L39" s="15">
        <f>SUM(L9:L38)</f>
        <v>2885543</v>
      </c>
      <c r="M39" s="11"/>
    </row>
    <row r="40" spans="2:13">
      <c r="C40" s="19"/>
      <c r="D40" s="20"/>
      <c r="E40" s="20"/>
      <c r="F40" s="21" t="s">
        <v>9</v>
      </c>
      <c r="G40" s="22">
        <f>G39-L39</f>
        <v>-30919.620000000112</v>
      </c>
      <c r="H40" s="20"/>
      <c r="I40" s="20"/>
      <c r="J40" s="20"/>
      <c r="K40" s="23"/>
      <c r="L40" s="20"/>
      <c r="M40" s="24"/>
    </row>
    <row r="44" spans="2:13" ht="23.4">
      <c r="C44" s="230" t="s">
        <v>11</v>
      </c>
      <c r="D44" s="231"/>
      <c r="E44" s="231"/>
      <c r="F44" s="231"/>
      <c r="G44" s="231"/>
      <c r="H44" s="231"/>
      <c r="I44" s="231"/>
      <c r="J44" s="231"/>
      <c r="K44" s="231"/>
      <c r="L44" s="231"/>
      <c r="M44" s="232"/>
    </row>
    <row r="45" spans="2:13">
      <c r="C45" s="1" t="s">
        <v>0</v>
      </c>
      <c r="D45" s="2" t="s">
        <v>1</v>
      </c>
      <c r="E45" s="2" t="s">
        <v>2</v>
      </c>
      <c r="F45" s="2" t="s">
        <v>3</v>
      </c>
      <c r="G45" s="3" t="s">
        <v>4</v>
      </c>
      <c r="H45" s="2" t="s">
        <v>5</v>
      </c>
      <c r="I45" s="2" t="s">
        <v>19</v>
      </c>
      <c r="J45" s="2"/>
      <c r="K45" s="4" t="s">
        <v>0</v>
      </c>
      <c r="L45" s="2" t="s">
        <v>4</v>
      </c>
      <c r="M45" s="5"/>
    </row>
    <row r="46" spans="2:13">
      <c r="C46" s="6"/>
      <c r="D46" s="7"/>
      <c r="E46" s="7"/>
      <c r="F46" s="7"/>
      <c r="G46" s="8"/>
      <c r="H46" s="7"/>
      <c r="I46" s="7"/>
      <c r="J46" s="9"/>
      <c r="K46" s="10"/>
      <c r="L46" s="7"/>
      <c r="M46" s="11"/>
    </row>
    <row r="47" spans="2:13">
      <c r="C47" s="12">
        <v>44322</v>
      </c>
      <c r="D47">
        <v>22</v>
      </c>
      <c r="E47" s="7">
        <f>D47/2</f>
        <v>11</v>
      </c>
      <c r="F47">
        <v>2300</v>
      </c>
      <c r="G47" s="8">
        <f>F47*E47</f>
        <v>25300</v>
      </c>
      <c r="H47">
        <v>1</v>
      </c>
      <c r="I47" s="7" t="s">
        <v>21</v>
      </c>
      <c r="K47" s="13">
        <v>44332</v>
      </c>
      <c r="L47">
        <v>25300</v>
      </c>
      <c r="M47" s="11" t="s">
        <v>40</v>
      </c>
    </row>
    <row r="48" spans="2:13">
      <c r="C48" s="12">
        <v>44332</v>
      </c>
      <c r="D48">
        <v>32</v>
      </c>
      <c r="E48" s="7">
        <f>D48/2</f>
        <v>16</v>
      </c>
      <c r="F48">
        <v>2300</v>
      </c>
      <c r="G48" s="8">
        <f>F48*E48</f>
        <v>36800</v>
      </c>
      <c r="H48">
        <v>14</v>
      </c>
      <c r="I48" s="7" t="s">
        <v>21</v>
      </c>
      <c r="K48" s="13">
        <v>44337</v>
      </c>
      <c r="L48">
        <v>36800</v>
      </c>
      <c r="M48" s="11" t="s">
        <v>124</v>
      </c>
    </row>
    <row r="49" spans="3:13">
      <c r="C49" s="12">
        <v>44346</v>
      </c>
      <c r="D49">
        <v>55</v>
      </c>
      <c r="E49" s="7">
        <v>26.6</v>
      </c>
      <c r="F49">
        <v>2250</v>
      </c>
      <c r="G49" s="8">
        <f>F49*E49</f>
        <v>59850</v>
      </c>
      <c r="H49">
        <v>20</v>
      </c>
      <c r="I49" s="7" t="s">
        <v>6</v>
      </c>
      <c r="K49" s="13">
        <v>44350</v>
      </c>
      <c r="L49">
        <v>59850</v>
      </c>
      <c r="M49" s="11" t="s">
        <v>124</v>
      </c>
    </row>
    <row r="50" spans="3:13">
      <c r="C50" s="12"/>
      <c r="G50" s="14"/>
      <c r="K50" s="13"/>
      <c r="M50" s="11"/>
    </row>
    <row r="51" spans="3:13">
      <c r="C51" s="12"/>
      <c r="G51" s="14"/>
      <c r="K51" s="13"/>
      <c r="M51" s="11"/>
    </row>
    <row r="52" spans="3:13">
      <c r="C52" s="12"/>
      <c r="G52" s="14"/>
      <c r="K52" s="13"/>
      <c r="M52" s="11"/>
    </row>
    <row r="53" spans="3:13">
      <c r="C53" s="12"/>
      <c r="G53" s="14"/>
      <c r="K53" s="13"/>
      <c r="M53" s="11"/>
    </row>
    <row r="54" spans="3:13">
      <c r="C54" s="12"/>
      <c r="G54" s="14"/>
      <c r="K54" s="13"/>
      <c r="M54" s="11"/>
    </row>
    <row r="55" spans="3:13">
      <c r="C55" s="12"/>
      <c r="E55" s="15"/>
      <c r="F55" s="15"/>
      <c r="G55" s="16"/>
      <c r="K55" s="13"/>
      <c r="L55" s="16"/>
      <c r="M55" s="11"/>
    </row>
    <row r="56" spans="3:13">
      <c r="C56" s="17" t="s">
        <v>7</v>
      </c>
      <c r="D56" s="15">
        <f>SUM(D46:D55)</f>
        <v>109</v>
      </c>
      <c r="E56" s="15">
        <f>SUM(E46:E55)</f>
        <v>53.6</v>
      </c>
      <c r="F56" s="15"/>
      <c r="G56" s="15">
        <f>SUM(G46:G55)</f>
        <v>121950</v>
      </c>
      <c r="H56" s="15"/>
      <c r="I56" s="15"/>
      <c r="J56" s="15"/>
      <c r="K56" s="18" t="s">
        <v>8</v>
      </c>
      <c r="L56" s="15">
        <f>SUM(L46:L55)</f>
        <v>121950</v>
      </c>
      <c r="M56" s="11"/>
    </row>
    <row r="57" spans="3:13">
      <c r="C57" s="19"/>
      <c r="D57" s="20"/>
      <c r="E57" s="20"/>
      <c r="F57" s="21" t="s">
        <v>9</v>
      </c>
      <c r="G57" s="22">
        <f>G56-L56</f>
        <v>0</v>
      </c>
      <c r="H57" s="20"/>
      <c r="I57" s="20"/>
      <c r="J57" s="20"/>
      <c r="K57" s="23"/>
      <c r="L57" s="20"/>
      <c r="M57" s="24"/>
    </row>
    <row r="61" spans="3:13" ht="23.4">
      <c r="C61" s="230" t="s">
        <v>12</v>
      </c>
      <c r="D61" s="231"/>
      <c r="E61" s="231"/>
      <c r="F61" s="231"/>
      <c r="G61" s="231"/>
      <c r="H61" s="231"/>
      <c r="I61" s="231"/>
      <c r="J61" s="231"/>
      <c r="K61" s="231"/>
      <c r="L61" s="231"/>
      <c r="M61" s="232"/>
    </row>
    <row r="62" spans="3:13">
      <c r="C62" s="1" t="s">
        <v>0</v>
      </c>
      <c r="D62" s="2" t="s">
        <v>1</v>
      </c>
      <c r="E62" s="2" t="s">
        <v>2</v>
      </c>
      <c r="F62" s="2" t="s">
        <v>3</v>
      </c>
      <c r="G62" s="3" t="s">
        <v>4</v>
      </c>
      <c r="H62" s="2" t="s">
        <v>5</v>
      </c>
      <c r="I62" s="2" t="s">
        <v>19</v>
      </c>
      <c r="J62" s="2"/>
      <c r="K62" s="4" t="s">
        <v>0</v>
      </c>
      <c r="L62" s="2" t="s">
        <v>4</v>
      </c>
      <c r="M62" s="5"/>
    </row>
    <row r="63" spans="3:13">
      <c r="C63" s="6"/>
      <c r="D63" s="7"/>
      <c r="E63" s="7"/>
      <c r="F63" s="7"/>
      <c r="G63" s="8"/>
      <c r="H63" s="7"/>
      <c r="I63" s="7"/>
      <c r="J63" s="9"/>
      <c r="K63" s="10"/>
      <c r="L63" s="7"/>
      <c r="M63" s="11"/>
    </row>
    <row r="64" spans="3:13">
      <c r="C64" s="12">
        <v>44318</v>
      </c>
      <c r="D64">
        <v>89</v>
      </c>
      <c r="E64" s="7">
        <f t="shared" ref="E64:E79" si="3">D64/2</f>
        <v>44.5</v>
      </c>
      <c r="F64">
        <v>2500</v>
      </c>
      <c r="G64" s="8">
        <f t="shared" ref="G64:G93" si="4">F64*E64</f>
        <v>111250</v>
      </c>
      <c r="H64">
        <v>4</v>
      </c>
      <c r="I64" s="7" t="s">
        <v>6</v>
      </c>
      <c r="J64" t="s">
        <v>256</v>
      </c>
      <c r="K64" s="13">
        <v>44326</v>
      </c>
      <c r="L64">
        <v>200000</v>
      </c>
      <c r="M64" s="11" t="s">
        <v>38</v>
      </c>
    </row>
    <row r="65" spans="2:19">
      <c r="C65" s="12">
        <v>44322</v>
      </c>
      <c r="D65">
        <v>95</v>
      </c>
      <c r="E65" s="7">
        <f t="shared" si="3"/>
        <v>47.5</v>
      </c>
      <c r="F65">
        <v>2400</v>
      </c>
      <c r="G65" s="8">
        <f t="shared" si="4"/>
        <v>114000</v>
      </c>
      <c r="H65">
        <v>1</v>
      </c>
      <c r="I65" s="7" t="s">
        <v>21</v>
      </c>
      <c r="J65" t="s">
        <v>256</v>
      </c>
      <c r="K65" s="13">
        <v>44334</v>
      </c>
      <c r="L65">
        <v>200000</v>
      </c>
      <c r="M65" s="11" t="s">
        <v>39</v>
      </c>
    </row>
    <row r="66" spans="2:19">
      <c r="B66">
        <v>2570</v>
      </c>
      <c r="C66" s="12">
        <v>44324</v>
      </c>
      <c r="D66">
        <v>140</v>
      </c>
      <c r="E66" s="7">
        <f t="shared" si="3"/>
        <v>70</v>
      </c>
      <c r="F66">
        <v>2400</v>
      </c>
      <c r="G66" s="8">
        <f t="shared" si="4"/>
        <v>168000</v>
      </c>
      <c r="H66">
        <v>3</v>
      </c>
      <c r="I66" s="7" t="s">
        <v>21</v>
      </c>
      <c r="K66" s="13">
        <v>44340</v>
      </c>
      <c r="L66">
        <v>300000</v>
      </c>
      <c r="M66" s="11" t="s">
        <v>39</v>
      </c>
    </row>
    <row r="67" spans="2:19">
      <c r="B67">
        <v>2520</v>
      </c>
      <c r="C67" s="12">
        <v>44327</v>
      </c>
      <c r="D67">
        <v>136</v>
      </c>
      <c r="E67" s="7">
        <f t="shared" si="3"/>
        <v>68</v>
      </c>
      <c r="F67">
        <v>2520</v>
      </c>
      <c r="G67" s="8">
        <f t="shared" si="4"/>
        <v>171360</v>
      </c>
      <c r="H67">
        <v>6</v>
      </c>
      <c r="I67" s="7" t="s">
        <v>21</v>
      </c>
      <c r="K67" s="13">
        <v>44344</v>
      </c>
      <c r="L67">
        <v>300000</v>
      </c>
      <c r="M67" s="11" t="s">
        <v>39</v>
      </c>
    </row>
    <row r="68" spans="2:19">
      <c r="C68" s="12">
        <v>44329</v>
      </c>
      <c r="D68">
        <v>110</v>
      </c>
      <c r="E68" s="7">
        <f t="shared" si="3"/>
        <v>55</v>
      </c>
      <c r="F68">
        <v>2600</v>
      </c>
      <c r="G68" s="14">
        <f t="shared" si="4"/>
        <v>143000</v>
      </c>
      <c r="H68">
        <v>9</v>
      </c>
      <c r="I68" s="7" t="s">
        <v>21</v>
      </c>
      <c r="K68" s="13">
        <v>44350</v>
      </c>
      <c r="L68">
        <v>300000</v>
      </c>
      <c r="M68" s="11" t="s">
        <v>39</v>
      </c>
    </row>
    <row r="69" spans="2:19">
      <c r="C69" s="12">
        <v>44332</v>
      </c>
      <c r="D69">
        <v>160</v>
      </c>
      <c r="E69" s="7">
        <f t="shared" si="3"/>
        <v>80</v>
      </c>
      <c r="F69">
        <v>2600</v>
      </c>
      <c r="G69" s="14">
        <f t="shared" si="4"/>
        <v>208000</v>
      </c>
      <c r="H69">
        <v>14</v>
      </c>
      <c r="I69" s="7" t="s">
        <v>21</v>
      </c>
      <c r="K69" s="13">
        <v>44350</v>
      </c>
      <c r="L69">
        <v>25000</v>
      </c>
      <c r="M69" s="11" t="s">
        <v>242</v>
      </c>
    </row>
    <row r="70" spans="2:19">
      <c r="C70" s="12">
        <v>44335</v>
      </c>
      <c r="D70">
        <v>168</v>
      </c>
      <c r="E70" s="7">
        <f t="shared" si="3"/>
        <v>84</v>
      </c>
      <c r="F70">
        <v>2650</v>
      </c>
      <c r="G70" s="14">
        <f t="shared" si="4"/>
        <v>222600</v>
      </c>
      <c r="H70">
        <v>7</v>
      </c>
      <c r="I70" s="7" t="s">
        <v>118</v>
      </c>
      <c r="K70" s="13">
        <v>44350</v>
      </c>
      <c r="L70">
        <v>200000</v>
      </c>
      <c r="M70" s="11" t="s">
        <v>39</v>
      </c>
    </row>
    <row r="71" spans="2:19">
      <c r="B71">
        <v>2550</v>
      </c>
      <c r="C71" s="12">
        <v>44338</v>
      </c>
      <c r="D71">
        <v>185</v>
      </c>
      <c r="E71" s="7">
        <f t="shared" si="3"/>
        <v>92.5</v>
      </c>
      <c r="F71">
        <v>2500</v>
      </c>
      <c r="G71" s="14">
        <f t="shared" si="4"/>
        <v>231250</v>
      </c>
      <c r="H71">
        <v>10</v>
      </c>
      <c r="I71" s="7" t="s">
        <v>6</v>
      </c>
      <c r="K71" s="13">
        <v>44354</v>
      </c>
      <c r="L71">
        <v>400000</v>
      </c>
      <c r="M71" s="11" t="s">
        <v>39</v>
      </c>
    </row>
    <row r="72" spans="2:19">
      <c r="B72">
        <v>2550</v>
      </c>
      <c r="C72" s="12">
        <v>44341</v>
      </c>
      <c r="D72">
        <v>164</v>
      </c>
      <c r="E72" s="7">
        <f t="shared" si="3"/>
        <v>82</v>
      </c>
      <c r="F72">
        <v>2450</v>
      </c>
      <c r="G72" s="14">
        <f t="shared" si="4"/>
        <v>200900</v>
      </c>
      <c r="H72">
        <v>15</v>
      </c>
      <c r="I72" s="7" t="s">
        <v>6</v>
      </c>
      <c r="K72" s="13">
        <v>44367</v>
      </c>
      <c r="L72">
        <v>300000</v>
      </c>
      <c r="M72" s="11" t="s">
        <v>242</v>
      </c>
    </row>
    <row r="73" spans="2:19">
      <c r="C73" s="12">
        <v>44345</v>
      </c>
      <c r="D73">
        <v>196</v>
      </c>
      <c r="E73" s="7">
        <f t="shared" si="3"/>
        <v>98</v>
      </c>
      <c r="F73">
        <v>2410</v>
      </c>
      <c r="G73" s="14">
        <f t="shared" si="4"/>
        <v>236180</v>
      </c>
      <c r="H73">
        <v>19</v>
      </c>
      <c r="I73" s="7" t="s">
        <v>6</v>
      </c>
      <c r="J73" t="s">
        <v>256</v>
      </c>
      <c r="K73" s="13">
        <v>44376</v>
      </c>
      <c r="L73">
        <v>200000</v>
      </c>
      <c r="M73" s="11" t="s">
        <v>39</v>
      </c>
    </row>
    <row r="74" spans="2:19">
      <c r="C74" s="12">
        <v>44348</v>
      </c>
      <c r="D74">
        <v>146</v>
      </c>
      <c r="E74" s="7">
        <f t="shared" si="3"/>
        <v>73</v>
      </c>
      <c r="F74">
        <v>2410</v>
      </c>
      <c r="G74" s="14">
        <f t="shared" si="4"/>
        <v>175930</v>
      </c>
      <c r="H74">
        <v>24</v>
      </c>
      <c r="I74" s="7" t="s">
        <v>6</v>
      </c>
      <c r="K74" s="13">
        <v>44382</v>
      </c>
      <c r="L74">
        <v>138000</v>
      </c>
      <c r="M74" s="11" t="s">
        <v>242</v>
      </c>
    </row>
    <row r="75" spans="2:19">
      <c r="C75" s="12">
        <v>44351</v>
      </c>
      <c r="D75">
        <v>176</v>
      </c>
      <c r="E75" s="7">
        <f t="shared" si="3"/>
        <v>88</v>
      </c>
      <c r="F75">
        <v>2410</v>
      </c>
      <c r="G75" s="14">
        <f t="shared" si="4"/>
        <v>212080</v>
      </c>
      <c r="H75">
        <v>28</v>
      </c>
      <c r="I75" s="7" t="s">
        <v>6</v>
      </c>
      <c r="K75" s="13">
        <v>44411</v>
      </c>
      <c r="L75">
        <v>100000</v>
      </c>
      <c r="M75" s="11" t="s">
        <v>359</v>
      </c>
      <c r="Q75">
        <v>30</v>
      </c>
      <c r="R75">
        <v>2200</v>
      </c>
      <c r="S75">
        <f>R75*Q75</f>
        <v>66000</v>
      </c>
    </row>
    <row r="76" spans="2:19">
      <c r="C76" s="12">
        <v>44355</v>
      </c>
      <c r="D76">
        <v>172</v>
      </c>
      <c r="E76" s="7">
        <f t="shared" si="3"/>
        <v>86</v>
      </c>
      <c r="F76">
        <v>2410</v>
      </c>
      <c r="G76" s="14">
        <f t="shared" si="4"/>
        <v>207260</v>
      </c>
      <c r="H76">
        <v>34</v>
      </c>
      <c r="I76" s="7" t="s">
        <v>6</v>
      </c>
      <c r="K76" s="13">
        <v>44393</v>
      </c>
      <c r="L76">
        <v>70000</v>
      </c>
      <c r="M76" s="11" t="s">
        <v>39</v>
      </c>
    </row>
    <row r="77" spans="2:19">
      <c r="C77" s="12">
        <v>44360</v>
      </c>
      <c r="D77">
        <v>122</v>
      </c>
      <c r="E77" s="7">
        <f t="shared" si="3"/>
        <v>61</v>
      </c>
      <c r="F77">
        <v>1950</v>
      </c>
      <c r="G77" s="14">
        <f t="shared" si="4"/>
        <v>118950</v>
      </c>
      <c r="H77">
        <v>22</v>
      </c>
      <c r="I77" s="7" t="s">
        <v>118</v>
      </c>
      <c r="J77" t="s">
        <v>256</v>
      </c>
      <c r="K77" s="13">
        <v>44431</v>
      </c>
      <c r="L77">
        <v>172980</v>
      </c>
      <c r="M77" s="11" t="s">
        <v>405</v>
      </c>
    </row>
    <row r="78" spans="2:19">
      <c r="C78" s="12">
        <v>44376</v>
      </c>
      <c r="D78">
        <v>86</v>
      </c>
      <c r="E78" s="7">
        <f t="shared" si="3"/>
        <v>43</v>
      </c>
      <c r="F78">
        <v>1950</v>
      </c>
      <c r="G78" s="14">
        <f t="shared" si="4"/>
        <v>83850</v>
      </c>
      <c r="H78">
        <v>44</v>
      </c>
      <c r="I78" s="7" t="s">
        <v>6</v>
      </c>
      <c r="J78" t="s">
        <v>256</v>
      </c>
      <c r="K78" s="13">
        <v>44534</v>
      </c>
      <c r="L78">
        <v>100000</v>
      </c>
      <c r="M78" s="11" t="s">
        <v>501</v>
      </c>
    </row>
    <row r="79" spans="2:19">
      <c r="C79" s="12">
        <v>44386</v>
      </c>
      <c r="D79">
        <v>35</v>
      </c>
      <c r="E79" s="7">
        <f t="shared" si="3"/>
        <v>17.5</v>
      </c>
      <c r="F79">
        <v>2100</v>
      </c>
      <c r="G79" s="14">
        <f t="shared" si="4"/>
        <v>36750</v>
      </c>
      <c r="H79">
        <v>25</v>
      </c>
      <c r="I79" s="7" t="s">
        <v>118</v>
      </c>
      <c r="K79" s="13">
        <v>44534</v>
      </c>
      <c r="L79">
        <v>100000</v>
      </c>
      <c r="M79" s="11" t="s">
        <v>501</v>
      </c>
    </row>
    <row r="80" spans="2:19">
      <c r="C80" s="12">
        <v>44402</v>
      </c>
      <c r="D80">
        <v>90</v>
      </c>
      <c r="E80" s="7">
        <f>54.5-0.3</f>
        <v>54.2</v>
      </c>
      <c r="F80">
        <v>1600</v>
      </c>
      <c r="G80" s="14">
        <f t="shared" si="4"/>
        <v>86720</v>
      </c>
      <c r="H80" t="s">
        <v>371</v>
      </c>
      <c r="I80" s="7"/>
      <c r="K80" s="13">
        <v>44545</v>
      </c>
      <c r="L80">
        <v>150000</v>
      </c>
      <c r="M80" s="11" t="s">
        <v>39</v>
      </c>
    </row>
    <row r="81" spans="3:13">
      <c r="C81" s="12">
        <v>44402</v>
      </c>
      <c r="D81">
        <v>60</v>
      </c>
      <c r="E81" s="7">
        <f t="shared" ref="E81:E93" si="5">D81/2</f>
        <v>30</v>
      </c>
      <c r="F81">
        <v>2200</v>
      </c>
      <c r="G81" s="14">
        <f t="shared" si="4"/>
        <v>66000</v>
      </c>
      <c r="H81" t="s">
        <v>369</v>
      </c>
      <c r="I81" s="7"/>
      <c r="K81" s="13">
        <v>44544</v>
      </c>
      <c r="L81">
        <v>150000</v>
      </c>
      <c r="M81" s="11" t="s">
        <v>405</v>
      </c>
    </row>
    <row r="82" spans="3:13">
      <c r="C82" s="12">
        <v>44411</v>
      </c>
      <c r="D82">
        <v>70</v>
      </c>
      <c r="E82" s="7">
        <f t="shared" si="5"/>
        <v>35</v>
      </c>
      <c r="F82">
        <v>2100</v>
      </c>
      <c r="G82" s="14">
        <f t="shared" si="4"/>
        <v>73500</v>
      </c>
      <c r="H82" t="s">
        <v>369</v>
      </c>
      <c r="I82" s="7"/>
      <c r="K82" s="13">
        <v>44548</v>
      </c>
      <c r="L82">
        <v>200000</v>
      </c>
      <c r="M82" s="11" t="s">
        <v>242</v>
      </c>
    </row>
    <row r="83" spans="3:13">
      <c r="C83" s="12">
        <v>44411</v>
      </c>
      <c r="D83">
        <v>32</v>
      </c>
      <c r="E83" s="7">
        <f t="shared" si="5"/>
        <v>16</v>
      </c>
      <c r="F83">
        <v>2400</v>
      </c>
      <c r="G83" s="14">
        <f t="shared" si="4"/>
        <v>38400</v>
      </c>
      <c r="H83">
        <v>48</v>
      </c>
      <c r="I83" s="7" t="s">
        <v>6</v>
      </c>
      <c r="K83" s="13">
        <v>44558</v>
      </c>
      <c r="L83">
        <v>60000</v>
      </c>
      <c r="M83" s="11" t="s">
        <v>603</v>
      </c>
    </row>
    <row r="84" spans="3:13">
      <c r="C84" s="12">
        <v>44527</v>
      </c>
      <c r="D84">
        <v>180</v>
      </c>
      <c r="E84" s="7">
        <f t="shared" si="5"/>
        <v>90</v>
      </c>
      <c r="F84">
        <v>2350</v>
      </c>
      <c r="G84" s="14">
        <f t="shared" si="4"/>
        <v>211500</v>
      </c>
      <c r="H84" t="s">
        <v>485</v>
      </c>
      <c r="I84" s="7"/>
      <c r="K84" s="13">
        <v>44560</v>
      </c>
      <c r="L84">
        <v>300000</v>
      </c>
      <c r="M84" s="11" t="s">
        <v>39</v>
      </c>
    </row>
    <row r="85" spans="3:13">
      <c r="C85" s="12">
        <v>44531</v>
      </c>
      <c r="D85">
        <v>170</v>
      </c>
      <c r="E85" s="7">
        <f t="shared" si="5"/>
        <v>85</v>
      </c>
      <c r="F85">
        <v>2420</v>
      </c>
      <c r="G85" s="14">
        <f t="shared" si="4"/>
        <v>205700</v>
      </c>
      <c r="H85" t="s">
        <v>485</v>
      </c>
      <c r="I85" s="7"/>
      <c r="K85" s="13"/>
      <c r="M85" s="11"/>
    </row>
    <row r="86" spans="3:13">
      <c r="C86" s="12">
        <v>44533</v>
      </c>
      <c r="D86">
        <v>180</v>
      </c>
      <c r="E86" s="7">
        <f t="shared" si="5"/>
        <v>90</v>
      </c>
      <c r="F86">
        <v>2200</v>
      </c>
      <c r="G86" s="14">
        <f t="shared" si="4"/>
        <v>198000</v>
      </c>
      <c r="H86">
        <v>58</v>
      </c>
      <c r="I86" s="7" t="s">
        <v>6</v>
      </c>
      <c r="K86" s="13"/>
      <c r="M86" s="11"/>
    </row>
    <row r="87" spans="3:13">
      <c r="C87" s="12">
        <v>44539</v>
      </c>
      <c r="D87">
        <v>160</v>
      </c>
      <c r="E87" s="7">
        <f t="shared" si="5"/>
        <v>80</v>
      </c>
      <c r="F87">
        <v>2250</v>
      </c>
      <c r="G87" s="14">
        <f t="shared" si="4"/>
        <v>180000</v>
      </c>
      <c r="H87">
        <v>63</v>
      </c>
      <c r="I87" s="7" t="s">
        <v>6</v>
      </c>
      <c r="K87" s="13"/>
      <c r="M87" s="11"/>
    </row>
    <row r="88" spans="3:13">
      <c r="C88" s="12">
        <v>44542</v>
      </c>
      <c r="D88">
        <v>172</v>
      </c>
      <c r="E88" s="7">
        <f t="shared" si="5"/>
        <v>86</v>
      </c>
      <c r="F88">
        <v>2150</v>
      </c>
      <c r="G88" s="14">
        <f t="shared" si="4"/>
        <v>184900</v>
      </c>
      <c r="H88">
        <v>68</v>
      </c>
      <c r="I88" s="7" t="s">
        <v>6</v>
      </c>
      <c r="K88" s="13"/>
      <c r="M88" s="11"/>
    </row>
    <row r="89" spans="3:13">
      <c r="C89" s="12">
        <v>44546</v>
      </c>
      <c r="D89">
        <v>168</v>
      </c>
      <c r="E89" s="7">
        <f t="shared" si="5"/>
        <v>84</v>
      </c>
      <c r="F89">
        <v>1900</v>
      </c>
      <c r="G89" s="14">
        <f t="shared" si="4"/>
        <v>159600</v>
      </c>
      <c r="H89">
        <v>92</v>
      </c>
      <c r="I89" s="7" t="s">
        <v>6</v>
      </c>
      <c r="K89" s="13"/>
      <c r="M89" s="11"/>
    </row>
    <row r="90" spans="3:13">
      <c r="C90" s="12">
        <v>44549</v>
      </c>
      <c r="D90">
        <v>145</v>
      </c>
      <c r="E90" s="7">
        <f t="shared" si="5"/>
        <v>72.5</v>
      </c>
      <c r="F90">
        <v>1850</v>
      </c>
      <c r="G90" s="14">
        <f t="shared" si="4"/>
        <v>134125</v>
      </c>
      <c r="H90">
        <v>74</v>
      </c>
      <c r="I90" s="7" t="s">
        <v>6</v>
      </c>
      <c r="K90" s="13"/>
      <c r="M90" s="11"/>
    </row>
    <row r="91" spans="3:13">
      <c r="C91" s="12">
        <v>44554</v>
      </c>
      <c r="D91">
        <v>126</v>
      </c>
      <c r="E91" s="7">
        <f t="shared" si="5"/>
        <v>63</v>
      </c>
      <c r="F91">
        <v>1730</v>
      </c>
      <c r="G91" s="14">
        <f t="shared" si="4"/>
        <v>108990</v>
      </c>
      <c r="H91">
        <v>83</v>
      </c>
      <c r="I91" s="7" t="s">
        <v>6</v>
      </c>
      <c r="K91" s="13"/>
      <c r="M91" s="11"/>
    </row>
    <row r="92" spans="3:13">
      <c r="C92" s="12">
        <v>44558</v>
      </c>
      <c r="D92">
        <v>180</v>
      </c>
      <c r="E92" s="7">
        <f t="shared" si="5"/>
        <v>90</v>
      </c>
      <c r="F92">
        <v>1750</v>
      </c>
      <c r="G92" s="14">
        <f t="shared" si="4"/>
        <v>157500</v>
      </c>
      <c r="H92">
        <v>89</v>
      </c>
      <c r="I92" s="7" t="s">
        <v>6</v>
      </c>
      <c r="K92" s="13"/>
      <c r="M92" s="11"/>
    </row>
    <row r="93" spans="3:13">
      <c r="C93" s="12">
        <v>44563</v>
      </c>
      <c r="D93">
        <v>120</v>
      </c>
      <c r="E93" s="7">
        <f t="shared" si="5"/>
        <v>60</v>
      </c>
      <c r="F93">
        <v>1870</v>
      </c>
      <c r="G93" s="14">
        <f t="shared" si="4"/>
        <v>112200</v>
      </c>
      <c r="H93">
        <v>96</v>
      </c>
      <c r="I93" s="7" t="s">
        <v>6</v>
      </c>
      <c r="K93" s="13"/>
      <c r="M93" s="11"/>
    </row>
    <row r="94" spans="3:13">
      <c r="C94" s="12"/>
      <c r="E94" s="7"/>
      <c r="G94" s="14"/>
      <c r="I94" s="7"/>
      <c r="K94" s="13"/>
      <c r="M94" s="11"/>
    </row>
    <row r="95" spans="3:13">
      <c r="C95" s="12"/>
      <c r="E95" s="7"/>
      <c r="G95" s="14"/>
      <c r="I95" s="7"/>
      <c r="K95" s="13"/>
      <c r="M95" s="11"/>
    </row>
    <row r="96" spans="3:13">
      <c r="C96" s="12"/>
      <c r="E96" s="7"/>
      <c r="G96" s="14"/>
      <c r="I96" s="7"/>
      <c r="K96" s="13"/>
      <c r="M96" s="11"/>
    </row>
    <row r="97" spans="3:13">
      <c r="C97" s="12"/>
      <c r="E97" s="15"/>
      <c r="F97" s="15"/>
      <c r="G97" s="16"/>
      <c r="K97" s="13"/>
      <c r="L97" s="16"/>
      <c r="M97" s="11"/>
    </row>
    <row r="98" spans="3:13">
      <c r="C98" s="17" t="s">
        <v>7</v>
      </c>
      <c r="D98" s="15">
        <f>SUM(D63:D97)</f>
        <v>4033</v>
      </c>
      <c r="E98" s="15">
        <f>SUM(E63:E97)</f>
        <v>2025.7</v>
      </c>
      <c r="F98" s="15"/>
      <c r="G98" s="15">
        <f>SUM(G63:G97)</f>
        <v>4558495</v>
      </c>
      <c r="H98" s="15"/>
      <c r="I98" s="15"/>
      <c r="J98" s="15"/>
      <c r="K98" s="18" t="s">
        <v>8</v>
      </c>
      <c r="L98" s="15">
        <f>SUM(L63:L97)</f>
        <v>3965980</v>
      </c>
      <c r="M98" s="11"/>
    </row>
    <row r="99" spans="3:13">
      <c r="C99" s="19"/>
      <c r="D99" s="20"/>
      <c r="E99" s="20"/>
      <c r="F99" s="21" t="s">
        <v>9</v>
      </c>
      <c r="G99" s="22">
        <f>G98-L98</f>
        <v>592515</v>
      </c>
      <c r="H99" s="20"/>
      <c r="I99" s="20"/>
      <c r="J99" s="20"/>
      <c r="K99" s="23"/>
      <c r="L99" s="20"/>
      <c r="M99" s="24"/>
    </row>
    <row r="103" spans="3:13" ht="23.4">
      <c r="C103" s="230" t="s">
        <v>13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2"/>
    </row>
    <row r="104" spans="3:13">
      <c r="C104" s="1" t="s">
        <v>0</v>
      </c>
      <c r="D104" s="2" t="s">
        <v>1</v>
      </c>
      <c r="E104" s="2" t="s">
        <v>2</v>
      </c>
      <c r="F104" s="2" t="s">
        <v>3</v>
      </c>
      <c r="G104" s="3" t="s">
        <v>4</v>
      </c>
      <c r="H104" s="2" t="s">
        <v>5</v>
      </c>
      <c r="I104" s="2" t="s">
        <v>19</v>
      </c>
      <c r="J104" s="2"/>
      <c r="K104" s="4" t="s">
        <v>0</v>
      </c>
      <c r="L104" s="2" t="s">
        <v>4</v>
      </c>
      <c r="M104" s="5"/>
    </row>
    <row r="105" spans="3:13">
      <c r="C105" s="6"/>
      <c r="D105" s="7"/>
      <c r="E105" s="7"/>
      <c r="F105" s="7"/>
      <c r="G105" s="8"/>
      <c r="H105" s="7"/>
      <c r="I105" s="7"/>
      <c r="J105" s="9"/>
      <c r="K105" s="10"/>
      <c r="L105" s="7"/>
      <c r="M105" s="11"/>
    </row>
    <row r="106" spans="3:13">
      <c r="C106" s="12">
        <v>44315</v>
      </c>
      <c r="D106">
        <v>11</v>
      </c>
      <c r="E106" s="156">
        <f t="shared" ref="E106:E113" si="6">D106/2</f>
        <v>5.5</v>
      </c>
      <c r="F106">
        <v>2500</v>
      </c>
      <c r="G106" s="153">
        <f t="shared" ref="G106:G135" si="7">F106*E106</f>
        <v>13750</v>
      </c>
      <c r="H106">
        <v>3</v>
      </c>
      <c r="I106" s="7" t="s">
        <v>6</v>
      </c>
      <c r="K106" s="13">
        <v>44335</v>
      </c>
      <c r="L106">
        <v>100000</v>
      </c>
      <c r="M106" s="11" t="s">
        <v>117</v>
      </c>
    </row>
    <row r="107" spans="3:13">
      <c r="C107" s="12">
        <v>44323</v>
      </c>
      <c r="D107">
        <v>42</v>
      </c>
      <c r="E107" s="156">
        <f t="shared" si="6"/>
        <v>21</v>
      </c>
      <c r="F107">
        <v>2400</v>
      </c>
      <c r="G107" s="153">
        <f t="shared" si="7"/>
        <v>50400</v>
      </c>
      <c r="H107">
        <v>2</v>
      </c>
      <c r="I107" s="7" t="s">
        <v>21</v>
      </c>
      <c r="K107" s="13">
        <v>44342</v>
      </c>
      <c r="L107">
        <v>300000</v>
      </c>
      <c r="M107" s="11" t="s">
        <v>127</v>
      </c>
    </row>
    <row r="108" spans="3:13">
      <c r="C108" s="12">
        <v>44328</v>
      </c>
      <c r="D108">
        <v>60</v>
      </c>
      <c r="E108" s="156">
        <f>D108*45/100</f>
        <v>27</v>
      </c>
      <c r="F108">
        <v>2450</v>
      </c>
      <c r="G108" s="154">
        <f t="shared" si="7"/>
        <v>66150</v>
      </c>
      <c r="H108">
        <v>7</v>
      </c>
      <c r="I108" s="7" t="s">
        <v>21</v>
      </c>
      <c r="K108" s="13">
        <v>44346</v>
      </c>
      <c r="L108">
        <v>200000</v>
      </c>
      <c r="M108" s="11" t="s">
        <v>127</v>
      </c>
    </row>
    <row r="109" spans="3:13">
      <c r="C109" s="12">
        <v>44331</v>
      </c>
      <c r="D109">
        <v>120</v>
      </c>
      <c r="E109" s="157">
        <f t="shared" si="6"/>
        <v>60</v>
      </c>
      <c r="F109">
        <v>2500</v>
      </c>
      <c r="G109" s="153">
        <f t="shared" si="7"/>
        <v>150000</v>
      </c>
      <c r="H109">
        <v>11</v>
      </c>
      <c r="I109" s="7" t="s">
        <v>21</v>
      </c>
      <c r="K109" s="13">
        <v>44350</v>
      </c>
      <c r="L109">
        <v>100000</v>
      </c>
      <c r="M109" s="11" t="s">
        <v>127</v>
      </c>
    </row>
    <row r="110" spans="3:13">
      <c r="C110" s="12">
        <v>44337</v>
      </c>
      <c r="D110">
        <v>161</v>
      </c>
      <c r="E110" s="156">
        <f t="shared" si="6"/>
        <v>80.5</v>
      </c>
      <c r="F110">
        <v>2500</v>
      </c>
      <c r="G110" s="155">
        <f t="shared" si="7"/>
        <v>201250</v>
      </c>
      <c r="H110">
        <v>8</v>
      </c>
      <c r="I110" s="7" t="s">
        <v>6</v>
      </c>
      <c r="K110" s="13">
        <v>44355</v>
      </c>
      <c r="L110">
        <v>200000</v>
      </c>
      <c r="M110" s="11" t="s">
        <v>127</v>
      </c>
    </row>
    <row r="111" spans="3:13">
      <c r="C111" s="51">
        <v>44341</v>
      </c>
      <c r="D111">
        <v>123</v>
      </c>
      <c r="E111" s="156">
        <f t="shared" si="6"/>
        <v>61.5</v>
      </c>
      <c r="F111">
        <v>2320</v>
      </c>
      <c r="G111" s="153">
        <f t="shared" si="7"/>
        <v>142680</v>
      </c>
      <c r="H111">
        <v>14</v>
      </c>
      <c r="I111" s="7" t="s">
        <v>6</v>
      </c>
      <c r="K111" s="13">
        <v>44370</v>
      </c>
      <c r="L111">
        <v>200000</v>
      </c>
      <c r="M111" s="11" t="s">
        <v>117</v>
      </c>
    </row>
    <row r="112" spans="3:13">
      <c r="C112" s="12">
        <v>44344</v>
      </c>
      <c r="D112">
        <v>67</v>
      </c>
      <c r="E112" s="156">
        <f t="shared" si="6"/>
        <v>33.5</v>
      </c>
      <c r="F112">
        <v>2350</v>
      </c>
      <c r="G112" s="153">
        <f t="shared" si="7"/>
        <v>78725</v>
      </c>
      <c r="H112">
        <v>18</v>
      </c>
      <c r="I112" s="7" t="s">
        <v>6</v>
      </c>
      <c r="K112" s="13">
        <v>44376</v>
      </c>
      <c r="L112">
        <v>238330</v>
      </c>
      <c r="M112" s="11" t="s">
        <v>117</v>
      </c>
    </row>
    <row r="113" spans="3:13">
      <c r="C113" s="12">
        <v>44353</v>
      </c>
      <c r="D113">
        <v>180</v>
      </c>
      <c r="E113" s="156">
        <f t="shared" si="6"/>
        <v>90</v>
      </c>
      <c r="F113">
        <v>2220</v>
      </c>
      <c r="G113" s="155">
        <f t="shared" si="7"/>
        <v>199800</v>
      </c>
      <c r="H113">
        <v>30</v>
      </c>
      <c r="I113" s="7" t="s">
        <v>6</v>
      </c>
      <c r="K113" s="13">
        <v>44386</v>
      </c>
      <c r="L113">
        <v>83800</v>
      </c>
      <c r="M113" s="11" t="s">
        <v>117</v>
      </c>
    </row>
    <row r="114" spans="3:13">
      <c r="C114" s="12">
        <v>44354</v>
      </c>
      <c r="D114">
        <v>114</v>
      </c>
      <c r="E114" s="156">
        <v>55.5</v>
      </c>
      <c r="F114">
        <v>2220</v>
      </c>
      <c r="G114" s="155">
        <f t="shared" si="7"/>
        <v>123210</v>
      </c>
      <c r="H114">
        <v>32</v>
      </c>
      <c r="I114" s="7" t="s">
        <v>6</v>
      </c>
      <c r="K114" s="13">
        <v>44386</v>
      </c>
      <c r="L114">
        <v>25890</v>
      </c>
      <c r="M114" s="11" t="s">
        <v>117</v>
      </c>
    </row>
    <row r="115" spans="3:13">
      <c r="C115" s="12">
        <v>44360</v>
      </c>
      <c r="D115">
        <v>163</v>
      </c>
      <c r="E115" s="156">
        <f t="shared" ref="E115:E126" si="8">D115/2</f>
        <v>81.5</v>
      </c>
      <c r="F115">
        <v>2000</v>
      </c>
      <c r="G115" s="155">
        <f t="shared" si="7"/>
        <v>163000</v>
      </c>
      <c r="H115">
        <v>37</v>
      </c>
      <c r="I115" s="7" t="s">
        <v>6</v>
      </c>
      <c r="K115" s="13">
        <v>44542</v>
      </c>
      <c r="L115">
        <v>90000</v>
      </c>
      <c r="M115" s="11" t="s">
        <v>117</v>
      </c>
    </row>
    <row r="116" spans="3:13">
      <c r="C116" s="12">
        <v>44363</v>
      </c>
      <c r="D116">
        <v>55</v>
      </c>
      <c r="E116" s="156">
        <f t="shared" si="8"/>
        <v>27.5</v>
      </c>
      <c r="F116">
        <v>1870</v>
      </c>
      <c r="G116" s="155">
        <f t="shared" si="7"/>
        <v>51425</v>
      </c>
      <c r="H116">
        <v>40</v>
      </c>
      <c r="I116" s="7" t="s">
        <v>6</v>
      </c>
      <c r="K116" s="13">
        <v>44545</v>
      </c>
      <c r="L116">
        <v>110000</v>
      </c>
      <c r="M116" s="11" t="s">
        <v>117</v>
      </c>
    </row>
    <row r="117" spans="3:13">
      <c r="C117" s="12">
        <v>44366</v>
      </c>
      <c r="D117">
        <v>63</v>
      </c>
      <c r="E117" s="156">
        <f t="shared" si="8"/>
        <v>31.5</v>
      </c>
      <c r="F117">
        <v>1860</v>
      </c>
      <c r="G117" s="155">
        <f t="shared" si="7"/>
        <v>58590</v>
      </c>
      <c r="H117">
        <v>41</v>
      </c>
      <c r="I117" s="7" t="s">
        <v>6</v>
      </c>
      <c r="K117" s="13">
        <v>44552</v>
      </c>
      <c r="L117">
        <v>200000</v>
      </c>
      <c r="M117" s="11" t="s">
        <v>117</v>
      </c>
    </row>
    <row r="118" spans="3:13">
      <c r="C118" s="12">
        <v>44368</v>
      </c>
      <c r="D118">
        <v>44</v>
      </c>
      <c r="E118" s="156">
        <f t="shared" si="8"/>
        <v>22</v>
      </c>
      <c r="F118">
        <v>1850</v>
      </c>
      <c r="G118" s="155">
        <f t="shared" si="7"/>
        <v>40700</v>
      </c>
      <c r="H118">
        <v>43</v>
      </c>
      <c r="I118" s="7" t="s">
        <v>6</v>
      </c>
      <c r="K118" s="13">
        <v>44558</v>
      </c>
      <c r="L118">
        <v>100000</v>
      </c>
      <c r="M118" s="11" t="s">
        <v>117</v>
      </c>
    </row>
    <row r="119" spans="3:13">
      <c r="C119" s="12">
        <v>44375</v>
      </c>
      <c r="D119">
        <v>86</v>
      </c>
      <c r="E119" s="156">
        <f t="shared" si="8"/>
        <v>43</v>
      </c>
      <c r="F119">
        <v>1930</v>
      </c>
      <c r="G119" s="155">
        <f t="shared" si="7"/>
        <v>82990</v>
      </c>
      <c r="H119">
        <v>46</v>
      </c>
      <c r="I119" s="7" t="s">
        <v>6</v>
      </c>
      <c r="K119" s="13">
        <v>44559</v>
      </c>
      <c r="L119">
        <v>100000</v>
      </c>
      <c r="M119" s="11" t="s">
        <v>117</v>
      </c>
    </row>
    <row r="120" spans="3:13">
      <c r="C120" s="12">
        <v>44383</v>
      </c>
      <c r="D120">
        <v>26</v>
      </c>
      <c r="E120" s="156">
        <f t="shared" si="8"/>
        <v>13</v>
      </c>
      <c r="F120">
        <v>1950</v>
      </c>
      <c r="G120" s="155">
        <f t="shared" si="7"/>
        <v>25350</v>
      </c>
      <c r="H120">
        <v>24</v>
      </c>
      <c r="I120" s="7" t="s">
        <v>118</v>
      </c>
      <c r="K120" s="13">
        <v>44197</v>
      </c>
      <c r="L120">
        <v>200000</v>
      </c>
      <c r="M120" s="11" t="s">
        <v>117</v>
      </c>
    </row>
    <row r="121" spans="3:13">
      <c r="C121" s="12">
        <v>44530</v>
      </c>
      <c r="D121">
        <v>80</v>
      </c>
      <c r="E121" s="156">
        <f t="shared" si="8"/>
        <v>40</v>
      </c>
      <c r="F121">
        <v>2300</v>
      </c>
      <c r="G121" s="155">
        <f t="shared" si="7"/>
        <v>92000</v>
      </c>
      <c r="H121" t="s">
        <v>485</v>
      </c>
      <c r="I121" s="7"/>
      <c r="K121" s="13"/>
      <c r="M121" s="11"/>
    </row>
    <row r="122" spans="3:13">
      <c r="C122" s="12">
        <v>44531</v>
      </c>
      <c r="D122">
        <v>66</v>
      </c>
      <c r="E122" s="156">
        <f t="shared" si="8"/>
        <v>33</v>
      </c>
      <c r="F122">
        <v>2200</v>
      </c>
      <c r="G122" s="155">
        <f t="shared" si="7"/>
        <v>72600</v>
      </c>
      <c r="H122" t="s">
        <v>485</v>
      </c>
      <c r="I122" s="7"/>
      <c r="K122" s="13"/>
      <c r="M122" s="11"/>
    </row>
    <row r="123" spans="3:13">
      <c r="C123" s="12">
        <v>44535</v>
      </c>
      <c r="D123">
        <v>75</v>
      </c>
      <c r="E123" s="156">
        <f t="shared" si="8"/>
        <v>37.5</v>
      </c>
      <c r="F123">
        <v>2020</v>
      </c>
      <c r="G123" s="155">
        <f t="shared" si="7"/>
        <v>75750</v>
      </c>
      <c r="H123">
        <v>86</v>
      </c>
      <c r="I123" s="7" t="s">
        <v>118</v>
      </c>
      <c r="K123" s="13"/>
      <c r="M123" s="11"/>
    </row>
    <row r="124" spans="3:13">
      <c r="C124" s="12">
        <v>44539</v>
      </c>
      <c r="D124">
        <v>146</v>
      </c>
      <c r="E124" s="156">
        <f t="shared" si="8"/>
        <v>73</v>
      </c>
      <c r="F124">
        <v>2150</v>
      </c>
      <c r="G124" s="155">
        <f t="shared" si="7"/>
        <v>156950</v>
      </c>
      <c r="H124">
        <v>62</v>
      </c>
      <c r="I124" s="7" t="s">
        <v>6</v>
      </c>
      <c r="K124" s="13"/>
      <c r="M124" s="11"/>
    </row>
    <row r="125" spans="3:13">
      <c r="C125" s="12">
        <v>44541</v>
      </c>
      <c r="D125">
        <v>70</v>
      </c>
      <c r="E125" s="156">
        <f t="shared" si="8"/>
        <v>35</v>
      </c>
      <c r="F125">
        <v>2150</v>
      </c>
      <c r="G125" s="155">
        <f t="shared" si="7"/>
        <v>75250</v>
      </c>
      <c r="H125">
        <v>64</v>
      </c>
      <c r="I125" s="7" t="s">
        <v>6</v>
      </c>
      <c r="K125" s="13"/>
      <c r="M125" s="11"/>
    </row>
    <row r="126" spans="3:13">
      <c r="C126" s="12">
        <v>44542</v>
      </c>
      <c r="D126">
        <v>70</v>
      </c>
      <c r="E126" s="156">
        <f t="shared" si="8"/>
        <v>35</v>
      </c>
      <c r="F126">
        <v>2000</v>
      </c>
      <c r="G126" s="155">
        <f t="shared" si="7"/>
        <v>70000</v>
      </c>
      <c r="H126">
        <v>67</v>
      </c>
      <c r="I126" s="7" t="s">
        <v>6</v>
      </c>
      <c r="K126" s="13"/>
      <c r="M126" s="11"/>
    </row>
    <row r="127" spans="3:13">
      <c r="C127" s="12">
        <v>44548</v>
      </c>
      <c r="D127">
        <v>159</v>
      </c>
      <c r="E127" s="156">
        <f>D127*45/100</f>
        <v>71.55</v>
      </c>
      <c r="F127">
        <v>1700</v>
      </c>
      <c r="G127" s="155">
        <f t="shared" si="7"/>
        <v>121635</v>
      </c>
      <c r="H127">
        <v>94</v>
      </c>
      <c r="I127" s="7" t="s">
        <v>118</v>
      </c>
      <c r="K127" s="13"/>
      <c r="M127" s="11"/>
    </row>
    <row r="128" spans="3:13">
      <c r="C128" s="12">
        <v>44552</v>
      </c>
      <c r="D128">
        <v>113</v>
      </c>
      <c r="E128" s="7">
        <f>D128*45/100</f>
        <v>50.85</v>
      </c>
      <c r="F128">
        <v>1670</v>
      </c>
      <c r="G128" s="155">
        <f t="shared" si="7"/>
        <v>84919.5</v>
      </c>
      <c r="H128">
        <v>78</v>
      </c>
      <c r="I128" s="7" t="s">
        <v>6</v>
      </c>
      <c r="K128" s="13"/>
      <c r="M128" s="11"/>
    </row>
    <row r="129" spans="3:13">
      <c r="C129" s="12">
        <v>44555</v>
      </c>
      <c r="D129">
        <v>150</v>
      </c>
      <c r="E129" s="7">
        <v>75</v>
      </c>
      <c r="F129">
        <v>1650</v>
      </c>
      <c r="G129" s="155">
        <f>F129*E129</f>
        <v>123750</v>
      </c>
      <c r="H129">
        <v>85</v>
      </c>
      <c r="I129" s="7" t="s">
        <v>6</v>
      </c>
      <c r="K129" s="13"/>
      <c r="M129" s="11"/>
    </row>
    <row r="130" spans="3:13">
      <c r="C130" s="12">
        <v>44559</v>
      </c>
      <c r="D130">
        <v>70</v>
      </c>
      <c r="E130" s="7">
        <f>D130/2</f>
        <v>35</v>
      </c>
      <c r="F130">
        <v>1630</v>
      </c>
      <c r="G130" s="155">
        <f>F130*E130</f>
        <v>57050</v>
      </c>
      <c r="H130">
        <v>90</v>
      </c>
      <c r="I130" s="7" t="s">
        <v>6</v>
      </c>
      <c r="K130" s="13"/>
      <c r="M130" s="11"/>
    </row>
    <row r="131" spans="3:13">
      <c r="C131" s="12">
        <v>44926</v>
      </c>
      <c r="D131">
        <v>70</v>
      </c>
      <c r="E131" s="7">
        <f>D131/2</f>
        <v>35</v>
      </c>
      <c r="F131">
        <v>1650</v>
      </c>
      <c r="G131" s="155">
        <f>F131*E131</f>
        <v>57750</v>
      </c>
      <c r="H131">
        <v>93</v>
      </c>
      <c r="I131" s="7" t="s">
        <v>6</v>
      </c>
      <c r="K131" s="13"/>
      <c r="M131" s="11"/>
    </row>
    <row r="132" spans="3:13">
      <c r="C132" s="12">
        <v>44563</v>
      </c>
      <c r="D132">
        <v>91</v>
      </c>
      <c r="E132" s="7">
        <f>D132/2</f>
        <v>45.5</v>
      </c>
      <c r="F132">
        <v>1660</v>
      </c>
      <c r="G132" s="155">
        <f>F132*E132</f>
        <v>75530</v>
      </c>
      <c r="H132">
        <v>96</v>
      </c>
      <c r="I132" s="7" t="s">
        <v>6</v>
      </c>
      <c r="K132" s="13"/>
      <c r="M132" s="11"/>
    </row>
    <row r="133" spans="3:13">
      <c r="C133" s="12">
        <v>44566</v>
      </c>
      <c r="D133">
        <v>158</v>
      </c>
      <c r="E133" s="7">
        <f>D133/2</f>
        <v>79</v>
      </c>
      <c r="F133">
        <v>1730</v>
      </c>
      <c r="G133" s="155">
        <f>F133*E133</f>
        <v>136670</v>
      </c>
      <c r="H133">
        <v>103</v>
      </c>
      <c r="I133" s="7" t="s">
        <v>6</v>
      </c>
      <c r="K133" s="13"/>
      <c r="M133" s="11"/>
    </row>
    <row r="134" spans="3:13">
      <c r="C134" s="12"/>
      <c r="E134" s="7">
        <f>D134/2</f>
        <v>0</v>
      </c>
      <c r="G134" s="155"/>
      <c r="I134" s="7"/>
      <c r="K134" s="13"/>
      <c r="M134" s="11"/>
    </row>
    <row r="135" spans="3:13">
      <c r="C135" s="12"/>
      <c r="E135" s="15"/>
      <c r="F135" s="15"/>
      <c r="G135" s="155">
        <f t="shared" si="7"/>
        <v>0</v>
      </c>
      <c r="K135" s="13"/>
      <c r="L135" s="16"/>
      <c r="M135" s="11"/>
    </row>
    <row r="136" spans="3:13">
      <c r="C136" s="17" t="s">
        <v>7</v>
      </c>
      <c r="D136" s="15">
        <f>SUM(D105:D135)</f>
        <v>2633</v>
      </c>
      <c r="E136" s="15">
        <f>SUM(E105:E135)</f>
        <v>1298.3999999999999</v>
      </c>
      <c r="F136" s="15"/>
      <c r="G136" s="120">
        <f>SUM(G105:G135)</f>
        <v>2647874.5</v>
      </c>
      <c r="H136" s="15"/>
      <c r="I136" s="15"/>
      <c r="J136" s="15"/>
      <c r="K136" s="18" t="s">
        <v>8</v>
      </c>
      <c r="L136" s="15">
        <f>SUM(L105:L135)</f>
        <v>2248020</v>
      </c>
      <c r="M136" s="11"/>
    </row>
    <row r="137" spans="3:13">
      <c r="C137" s="19"/>
      <c r="D137" s="20"/>
      <c r="E137" s="20"/>
      <c r="F137" s="21" t="s">
        <v>9</v>
      </c>
      <c r="G137" s="22">
        <f>G136-L136</f>
        <v>399854.5</v>
      </c>
      <c r="H137" s="20"/>
      <c r="I137" s="20"/>
      <c r="J137" s="20"/>
      <c r="K137" s="23"/>
      <c r="L137" s="20"/>
      <c r="M137" s="24"/>
    </row>
    <row r="141" spans="3:13" ht="23.4">
      <c r="C141" s="230" t="s">
        <v>14</v>
      </c>
      <c r="D141" s="231"/>
      <c r="E141" s="231"/>
      <c r="F141" s="231"/>
      <c r="G141" s="231"/>
      <c r="H141" s="231"/>
      <c r="I141" s="231"/>
      <c r="J141" s="231"/>
      <c r="K141" s="231"/>
      <c r="L141" s="231"/>
      <c r="M141" s="232"/>
    </row>
    <row r="142" spans="3:13">
      <c r="C142" s="1" t="s">
        <v>0</v>
      </c>
      <c r="D142" s="2" t="s">
        <v>1</v>
      </c>
      <c r="E142" s="2" t="s">
        <v>2</v>
      </c>
      <c r="F142" s="2" t="s">
        <v>3</v>
      </c>
      <c r="G142" s="3" t="s">
        <v>4</v>
      </c>
      <c r="H142" s="2" t="s">
        <v>5</v>
      </c>
      <c r="I142" s="2" t="s">
        <v>19</v>
      </c>
      <c r="J142" s="2"/>
      <c r="K142" s="4" t="s">
        <v>0</v>
      </c>
      <c r="L142" s="2" t="s">
        <v>4</v>
      </c>
      <c r="M142" s="5"/>
    </row>
    <row r="143" spans="3:13">
      <c r="C143" s="6"/>
      <c r="D143" s="7"/>
      <c r="E143" s="7"/>
      <c r="F143" s="7"/>
      <c r="G143" s="8">
        <v>9600</v>
      </c>
      <c r="H143" s="7"/>
      <c r="I143" s="7"/>
      <c r="J143" s="9"/>
      <c r="K143" s="10"/>
      <c r="L143" s="7"/>
      <c r="M143" s="11"/>
    </row>
    <row r="144" spans="3:13">
      <c r="C144" s="12">
        <v>44323</v>
      </c>
      <c r="D144">
        <v>26</v>
      </c>
      <c r="E144" s="7">
        <f>D144/2</f>
        <v>13</v>
      </c>
      <c r="F144">
        <v>2400</v>
      </c>
      <c r="G144" s="8">
        <f t="shared" ref="G144:G155" si="9">F144*E144</f>
        <v>31200</v>
      </c>
      <c r="H144">
        <v>2</v>
      </c>
      <c r="I144" s="7" t="s">
        <v>21</v>
      </c>
      <c r="K144" s="13">
        <v>44327</v>
      </c>
      <c r="L144">
        <v>40800</v>
      </c>
      <c r="M144" s="11" t="s">
        <v>37</v>
      </c>
    </row>
    <row r="145" spans="3:13">
      <c r="C145" s="12">
        <v>44330</v>
      </c>
      <c r="D145">
        <v>90</v>
      </c>
      <c r="E145" s="7">
        <f>D145/2</f>
        <v>45</v>
      </c>
      <c r="F145">
        <v>2500</v>
      </c>
      <c r="G145" s="8">
        <f t="shared" si="9"/>
        <v>112500</v>
      </c>
      <c r="H145">
        <v>9</v>
      </c>
      <c r="I145" s="7" t="s">
        <v>21</v>
      </c>
      <c r="K145" s="13">
        <v>44334</v>
      </c>
      <c r="L145">
        <v>112500</v>
      </c>
      <c r="M145" s="11" t="s">
        <v>37</v>
      </c>
    </row>
    <row r="146" spans="3:13">
      <c r="C146" s="12">
        <v>44346</v>
      </c>
      <c r="D146">
        <v>65</v>
      </c>
      <c r="E146" s="7">
        <f>D146/2</f>
        <v>32.5</v>
      </c>
      <c r="F146">
        <v>2450</v>
      </c>
      <c r="G146" s="8">
        <f t="shared" si="9"/>
        <v>79625</v>
      </c>
      <c r="H146">
        <v>20</v>
      </c>
      <c r="I146" s="7" t="s">
        <v>6</v>
      </c>
      <c r="K146" s="13">
        <v>44350</v>
      </c>
      <c r="L146">
        <v>188585</v>
      </c>
      <c r="M146" s="11" t="s">
        <v>240</v>
      </c>
    </row>
    <row r="147" spans="3:13">
      <c r="C147" s="12">
        <v>44349</v>
      </c>
      <c r="D147">
        <v>96</v>
      </c>
      <c r="E147">
        <f>D147/2</f>
        <v>48</v>
      </c>
      <c r="F147">
        <v>2270</v>
      </c>
      <c r="G147" s="8">
        <f t="shared" si="9"/>
        <v>108960</v>
      </c>
      <c r="H147">
        <v>25</v>
      </c>
      <c r="I147" s="7" t="s">
        <v>6</v>
      </c>
      <c r="K147" s="13">
        <v>44367</v>
      </c>
      <c r="L147">
        <v>150000</v>
      </c>
      <c r="M147" s="11" t="s">
        <v>37</v>
      </c>
    </row>
    <row r="148" spans="3:13">
      <c r="C148" s="12">
        <v>44354</v>
      </c>
      <c r="D148">
        <v>99</v>
      </c>
      <c r="E148" s="7">
        <v>48</v>
      </c>
      <c r="F148">
        <v>2300</v>
      </c>
      <c r="G148" s="14">
        <f t="shared" si="9"/>
        <v>110400</v>
      </c>
      <c r="H148">
        <v>32</v>
      </c>
      <c r="I148" s="7" t="s">
        <v>6</v>
      </c>
      <c r="K148" s="13">
        <v>44393</v>
      </c>
      <c r="L148">
        <v>21400</v>
      </c>
      <c r="M148" s="11" t="s">
        <v>37</v>
      </c>
    </row>
    <row r="149" spans="3:13">
      <c r="C149" s="12">
        <v>44359</v>
      </c>
      <c r="D149">
        <v>61</v>
      </c>
      <c r="E149" s="7">
        <f t="shared" ref="E149:E155" si="10">D149/2</f>
        <v>30.5</v>
      </c>
      <c r="F149">
        <v>2000</v>
      </c>
      <c r="G149" s="14">
        <f t="shared" si="9"/>
        <v>61000</v>
      </c>
      <c r="H149">
        <v>22</v>
      </c>
      <c r="I149" s="7" t="s">
        <v>118</v>
      </c>
      <c r="K149" s="13">
        <v>44546</v>
      </c>
      <c r="L149">
        <v>98000</v>
      </c>
      <c r="M149" s="11" t="s">
        <v>504</v>
      </c>
    </row>
    <row r="150" spans="3:13">
      <c r="C150" s="12">
        <v>44533</v>
      </c>
      <c r="D150">
        <v>47</v>
      </c>
      <c r="E150" s="7">
        <f t="shared" si="10"/>
        <v>23.5</v>
      </c>
      <c r="F150">
        <v>2200</v>
      </c>
      <c r="G150" s="14">
        <f t="shared" si="9"/>
        <v>51700</v>
      </c>
      <c r="I150" s="7"/>
      <c r="K150" s="13"/>
      <c r="M150" s="11" t="s">
        <v>300</v>
      </c>
    </row>
    <row r="151" spans="3:13">
      <c r="C151" s="12">
        <v>44535</v>
      </c>
      <c r="D151">
        <v>46</v>
      </c>
      <c r="E151" s="7">
        <f t="shared" si="10"/>
        <v>23</v>
      </c>
      <c r="F151">
        <v>2050</v>
      </c>
      <c r="G151" s="14">
        <f t="shared" si="9"/>
        <v>47150</v>
      </c>
      <c r="H151">
        <v>86</v>
      </c>
      <c r="I151" s="7" t="s">
        <v>118</v>
      </c>
      <c r="K151" s="13"/>
      <c r="M151" s="11"/>
    </row>
    <row r="152" spans="3:13">
      <c r="C152" s="12">
        <v>44553</v>
      </c>
      <c r="D152">
        <v>57</v>
      </c>
      <c r="E152" s="7">
        <f t="shared" si="10"/>
        <v>28.5</v>
      </c>
      <c r="F152">
        <v>1650</v>
      </c>
      <c r="G152" s="14">
        <f t="shared" si="9"/>
        <v>47025</v>
      </c>
      <c r="H152">
        <v>81</v>
      </c>
      <c r="I152" s="7" t="s">
        <v>6</v>
      </c>
      <c r="K152" s="13"/>
      <c r="M152" s="11"/>
    </row>
    <row r="153" spans="3:13">
      <c r="C153" s="12">
        <v>44925</v>
      </c>
      <c r="D153">
        <v>54</v>
      </c>
      <c r="E153" s="7">
        <f t="shared" si="10"/>
        <v>27</v>
      </c>
      <c r="F153">
        <v>1700</v>
      </c>
      <c r="G153" s="14">
        <f t="shared" si="9"/>
        <v>45900</v>
      </c>
      <c r="H153">
        <v>92</v>
      </c>
      <c r="I153" s="7" t="s">
        <v>6</v>
      </c>
      <c r="K153" s="13"/>
      <c r="M153" s="11"/>
    </row>
    <row r="154" spans="3:13">
      <c r="C154" s="12">
        <v>44564</v>
      </c>
      <c r="D154">
        <v>71</v>
      </c>
      <c r="E154" s="7">
        <f t="shared" si="10"/>
        <v>35.5</v>
      </c>
      <c r="F154">
        <v>1750</v>
      </c>
      <c r="G154" s="14">
        <f t="shared" si="9"/>
        <v>62125</v>
      </c>
      <c r="H154">
        <v>99</v>
      </c>
      <c r="I154" s="7" t="s">
        <v>6</v>
      </c>
      <c r="K154" s="13"/>
      <c r="M154" s="11"/>
    </row>
    <row r="155" spans="3:13">
      <c r="C155" s="12">
        <v>44567</v>
      </c>
      <c r="D155">
        <v>48</v>
      </c>
      <c r="E155" s="7">
        <f t="shared" si="10"/>
        <v>24</v>
      </c>
      <c r="F155">
        <v>1850</v>
      </c>
      <c r="G155" s="14">
        <f t="shared" si="9"/>
        <v>44400</v>
      </c>
      <c r="H155">
        <v>104</v>
      </c>
      <c r="I155" s="7" t="s">
        <v>6</v>
      </c>
      <c r="K155" s="13"/>
      <c r="M155" s="11"/>
    </row>
    <row r="156" spans="3:13">
      <c r="C156" s="12"/>
      <c r="E156" s="7"/>
      <c r="G156" s="14"/>
      <c r="I156" s="7"/>
      <c r="K156" s="13"/>
      <c r="M156" s="11"/>
    </row>
    <row r="157" spans="3:13">
      <c r="C157" s="12"/>
      <c r="E157" s="15"/>
      <c r="F157" s="15"/>
      <c r="G157" s="16"/>
      <c r="K157" s="13"/>
      <c r="L157" s="16"/>
      <c r="M157" s="11"/>
    </row>
    <row r="158" spans="3:13">
      <c r="C158" s="17" t="s">
        <v>7</v>
      </c>
      <c r="D158" s="15">
        <f>SUM(D143:D157)</f>
        <v>760</v>
      </c>
      <c r="E158" s="15">
        <f>SUM(E143:E157)</f>
        <v>378.5</v>
      </c>
      <c r="F158" s="15"/>
      <c r="G158" s="15">
        <f>SUM(G143:G157)</f>
        <v>811585</v>
      </c>
      <c r="H158" s="15"/>
      <c r="I158" s="15"/>
      <c r="J158" s="15"/>
      <c r="K158" s="18" t="s">
        <v>8</v>
      </c>
      <c r="L158" s="15">
        <f>SUM(L143:L157)</f>
        <v>611285</v>
      </c>
      <c r="M158" s="11"/>
    </row>
    <row r="159" spans="3:13">
      <c r="C159" s="19"/>
      <c r="D159" s="20"/>
      <c r="E159" s="20"/>
      <c r="F159" s="21" t="s">
        <v>9</v>
      </c>
      <c r="G159" s="22">
        <f>G158-L158</f>
        <v>200300</v>
      </c>
      <c r="H159" s="20"/>
      <c r="I159" s="20"/>
      <c r="J159" s="20"/>
      <c r="K159" s="23"/>
      <c r="L159" s="20"/>
      <c r="M159" s="24"/>
    </row>
    <row r="163" spans="3:13" ht="23.4">
      <c r="C163" s="230" t="s">
        <v>22</v>
      </c>
      <c r="D163" s="231"/>
      <c r="E163" s="231"/>
      <c r="F163" s="231"/>
      <c r="G163" s="231"/>
      <c r="H163" s="231"/>
      <c r="I163" s="231"/>
      <c r="J163" s="231"/>
      <c r="K163" s="231"/>
      <c r="L163" s="231"/>
      <c r="M163" s="232"/>
    </row>
    <row r="164" spans="3:13">
      <c r="C164" s="1" t="s">
        <v>0</v>
      </c>
      <c r="D164" s="2" t="s">
        <v>1</v>
      </c>
      <c r="E164" s="2" t="s">
        <v>2</v>
      </c>
      <c r="F164" s="2" t="s">
        <v>3</v>
      </c>
      <c r="G164" s="3" t="s">
        <v>4</v>
      </c>
      <c r="H164" s="2" t="s">
        <v>5</v>
      </c>
      <c r="I164" s="2" t="s">
        <v>19</v>
      </c>
      <c r="J164" s="2"/>
      <c r="K164" s="4" t="s">
        <v>0</v>
      </c>
      <c r="L164" s="2" t="s">
        <v>4</v>
      </c>
      <c r="M164" s="5"/>
    </row>
    <row r="165" spans="3:13">
      <c r="C165" s="6"/>
      <c r="D165" s="7"/>
      <c r="E165" s="7"/>
      <c r="F165" s="7"/>
      <c r="G165" s="8"/>
      <c r="H165" s="7"/>
      <c r="I165" s="7"/>
      <c r="J165" s="9"/>
      <c r="K165" s="10"/>
      <c r="L165" s="7"/>
      <c r="M165" s="11"/>
    </row>
    <row r="166" spans="3:13">
      <c r="C166" s="12">
        <v>44323</v>
      </c>
      <c r="D166">
        <v>28</v>
      </c>
      <c r="E166" s="7">
        <f>D166/2</f>
        <v>14</v>
      </c>
      <c r="F166">
        <v>2350</v>
      </c>
      <c r="G166" s="8">
        <f t="shared" ref="G166:G179" si="11">F166*E166</f>
        <v>32900</v>
      </c>
      <c r="H166">
        <v>2</v>
      </c>
      <c r="I166" s="7" t="s">
        <v>21</v>
      </c>
      <c r="K166" s="13">
        <v>44334</v>
      </c>
      <c r="L166">
        <v>412000</v>
      </c>
      <c r="M166" s="11" t="s">
        <v>342</v>
      </c>
    </row>
    <row r="167" spans="3:13">
      <c r="C167" s="12">
        <v>44330</v>
      </c>
      <c r="D167">
        <v>180</v>
      </c>
      <c r="E167">
        <v>96.5</v>
      </c>
      <c r="F167">
        <v>2500</v>
      </c>
      <c r="G167" s="8">
        <f t="shared" si="11"/>
        <v>241250</v>
      </c>
      <c r="H167">
        <v>10</v>
      </c>
      <c r="I167" s="7" t="s">
        <v>21</v>
      </c>
      <c r="K167" s="13">
        <v>44352</v>
      </c>
      <c r="L167">
        <v>50000</v>
      </c>
      <c r="M167" s="11" t="s">
        <v>252</v>
      </c>
    </row>
    <row r="168" spans="3:13">
      <c r="C168" s="12">
        <v>44338</v>
      </c>
      <c r="D168">
        <v>180</v>
      </c>
      <c r="E168">
        <v>97.2</v>
      </c>
      <c r="F168">
        <v>2100</v>
      </c>
      <c r="G168" s="8">
        <f t="shared" si="11"/>
        <v>204120</v>
      </c>
      <c r="H168">
        <v>9</v>
      </c>
      <c r="I168" s="7" t="s">
        <v>6</v>
      </c>
      <c r="K168" s="13">
        <v>44358</v>
      </c>
      <c r="L168">
        <v>400000</v>
      </c>
      <c r="M168" s="11" t="s">
        <v>287</v>
      </c>
    </row>
    <row r="169" spans="3:13">
      <c r="C169" s="12">
        <v>44339</v>
      </c>
      <c r="D169">
        <v>180</v>
      </c>
      <c r="E169">
        <v>97.2</v>
      </c>
      <c r="F169">
        <v>2100</v>
      </c>
      <c r="G169" s="8">
        <f t="shared" si="11"/>
        <v>204120</v>
      </c>
      <c r="H169">
        <v>11</v>
      </c>
      <c r="I169" s="7" t="s">
        <v>6</v>
      </c>
      <c r="K169" s="13">
        <v>44368</v>
      </c>
      <c r="L169">
        <v>500000</v>
      </c>
      <c r="M169" s="11" t="s">
        <v>287</v>
      </c>
    </row>
    <row r="170" spans="3:13">
      <c r="C170" s="12">
        <v>44341</v>
      </c>
      <c r="D170">
        <v>92</v>
      </c>
      <c r="E170">
        <f>D170/2</f>
        <v>46</v>
      </c>
      <c r="F170">
        <v>2300</v>
      </c>
      <c r="G170" s="14">
        <f t="shared" si="11"/>
        <v>105800</v>
      </c>
      <c r="H170">
        <v>14</v>
      </c>
      <c r="I170" s="7" t="s">
        <v>6</v>
      </c>
      <c r="K170" s="13">
        <v>44370</v>
      </c>
      <c r="L170">
        <v>100000</v>
      </c>
      <c r="M170" s="11" t="s">
        <v>287</v>
      </c>
    </row>
    <row r="171" spans="3:13">
      <c r="C171" s="12">
        <v>44344</v>
      </c>
      <c r="D171">
        <v>142</v>
      </c>
      <c r="E171">
        <f>D171/2</f>
        <v>71</v>
      </c>
      <c r="F171">
        <v>2300</v>
      </c>
      <c r="G171" s="14">
        <f t="shared" si="11"/>
        <v>163300</v>
      </c>
      <c r="H171">
        <v>17</v>
      </c>
      <c r="I171" s="7" t="s">
        <v>6</v>
      </c>
      <c r="K171" s="13">
        <v>44406</v>
      </c>
      <c r="L171">
        <v>50000</v>
      </c>
      <c r="M171" s="11" t="s">
        <v>368</v>
      </c>
    </row>
    <row r="172" spans="3:13">
      <c r="C172" s="12">
        <v>44352</v>
      </c>
      <c r="D172">
        <v>250</v>
      </c>
      <c r="E172">
        <v>122.7</v>
      </c>
      <c r="F172">
        <v>2150</v>
      </c>
      <c r="G172" s="14">
        <f t="shared" si="11"/>
        <v>263805</v>
      </c>
      <c r="H172">
        <v>29</v>
      </c>
      <c r="I172" s="7" t="s">
        <v>6</v>
      </c>
      <c r="K172" s="13">
        <v>44489</v>
      </c>
      <c r="L172">
        <v>100000</v>
      </c>
      <c r="M172" s="11" t="s">
        <v>479</v>
      </c>
    </row>
    <row r="173" spans="3:13">
      <c r="C173" s="12">
        <v>44361</v>
      </c>
      <c r="D173">
        <v>190</v>
      </c>
      <c r="E173">
        <v>91.8</v>
      </c>
      <c r="F173">
        <v>1800</v>
      </c>
      <c r="G173" s="14">
        <f t="shared" si="11"/>
        <v>165240</v>
      </c>
      <c r="H173">
        <v>39</v>
      </c>
      <c r="I173" s="7" t="s">
        <v>6</v>
      </c>
      <c r="K173" s="13">
        <v>44493</v>
      </c>
      <c r="L173">
        <v>60000</v>
      </c>
      <c r="M173" s="11" t="s">
        <v>479</v>
      </c>
    </row>
    <row r="174" spans="3:13">
      <c r="C174" s="12">
        <v>44368</v>
      </c>
      <c r="D174">
        <v>75</v>
      </c>
      <c r="E174">
        <v>38.46</v>
      </c>
      <c r="F174">
        <v>1800</v>
      </c>
      <c r="G174" s="14">
        <f t="shared" si="11"/>
        <v>69228</v>
      </c>
      <c r="H174">
        <v>43</v>
      </c>
      <c r="I174" s="7" t="s">
        <v>6</v>
      </c>
      <c r="K174" s="13"/>
      <c r="M174" s="11"/>
    </row>
    <row r="175" spans="3:13">
      <c r="C175" s="12">
        <v>44386</v>
      </c>
      <c r="D175">
        <v>74</v>
      </c>
      <c r="E175">
        <v>37</v>
      </c>
      <c r="F175">
        <v>2000</v>
      </c>
      <c r="G175" s="14">
        <f t="shared" si="11"/>
        <v>74000</v>
      </c>
      <c r="H175">
        <v>25</v>
      </c>
      <c r="I175" s="7" t="s">
        <v>118</v>
      </c>
      <c r="K175" s="13"/>
      <c r="M175" s="11"/>
    </row>
    <row r="176" spans="3:13">
      <c r="C176" s="12">
        <v>44444</v>
      </c>
      <c r="D176">
        <v>76</v>
      </c>
      <c r="E176">
        <f>D176*65/100</f>
        <v>49.4</v>
      </c>
      <c r="F176">
        <v>1500</v>
      </c>
      <c r="G176" s="14">
        <f t="shared" si="11"/>
        <v>74100</v>
      </c>
      <c r="H176" t="s">
        <v>439</v>
      </c>
      <c r="I176" s="7"/>
      <c r="K176" s="13"/>
      <c r="M176" s="11"/>
    </row>
    <row r="177" spans="3:13">
      <c r="C177" s="12">
        <v>44444</v>
      </c>
      <c r="D177">
        <v>31</v>
      </c>
      <c r="E177">
        <f>D177/2</f>
        <v>15.5</v>
      </c>
      <c r="F177">
        <v>1800</v>
      </c>
      <c r="G177" s="14">
        <f t="shared" si="11"/>
        <v>27900</v>
      </c>
      <c r="H177" t="s">
        <v>440</v>
      </c>
      <c r="I177" s="7"/>
      <c r="K177" s="13"/>
      <c r="M177" s="11"/>
    </row>
    <row r="178" spans="3:13">
      <c r="C178" s="12">
        <v>44444</v>
      </c>
      <c r="D178">
        <v>31</v>
      </c>
      <c r="E178">
        <f>D178/2</f>
        <v>15.5</v>
      </c>
      <c r="F178">
        <v>2100</v>
      </c>
      <c r="G178" s="14">
        <f t="shared" si="11"/>
        <v>32550</v>
      </c>
      <c r="H178" t="s">
        <v>245</v>
      </c>
      <c r="I178" s="7"/>
      <c r="K178" s="13"/>
      <c r="M178" s="11"/>
    </row>
    <row r="179" spans="3:13">
      <c r="C179" s="12">
        <v>44444</v>
      </c>
      <c r="D179">
        <v>5</v>
      </c>
      <c r="E179">
        <f>D179/2</f>
        <v>2.5</v>
      </c>
      <c r="F179">
        <v>1400</v>
      </c>
      <c r="G179" s="14">
        <f t="shared" si="11"/>
        <v>3500</v>
      </c>
      <c r="H179" t="s">
        <v>441</v>
      </c>
      <c r="I179" s="7"/>
      <c r="K179" s="13"/>
      <c r="M179" s="11"/>
    </row>
    <row r="180" spans="3:13">
      <c r="C180" s="12"/>
      <c r="E180" s="15"/>
      <c r="F180" s="15"/>
      <c r="G180" s="16"/>
      <c r="K180" s="13"/>
      <c r="L180" s="16"/>
      <c r="M180" s="11"/>
    </row>
    <row r="181" spans="3:13">
      <c r="C181" s="17" t="s">
        <v>7</v>
      </c>
      <c r="D181" s="15">
        <f>SUM(D165:D180)</f>
        <v>1534</v>
      </c>
      <c r="E181" s="15">
        <f>SUM(E165:E180)</f>
        <v>794.76</v>
      </c>
      <c r="F181" s="15"/>
      <c r="G181" s="15">
        <f>SUM(G165:G180)</f>
        <v>1661813</v>
      </c>
      <c r="H181" s="15"/>
      <c r="I181" s="15"/>
      <c r="J181" s="15"/>
      <c r="K181" s="18" t="s">
        <v>8</v>
      </c>
      <c r="L181" s="15">
        <f>SUM(L165:L180)</f>
        <v>1672000</v>
      </c>
      <c r="M181" s="11"/>
    </row>
    <row r="182" spans="3:13">
      <c r="C182" s="19"/>
      <c r="D182" s="20"/>
      <c r="E182" s="20"/>
      <c r="F182" s="21" t="s">
        <v>9</v>
      </c>
      <c r="G182" s="22">
        <f>G181-L181</f>
        <v>-10187</v>
      </c>
      <c r="H182" s="20"/>
      <c r="I182" s="20"/>
      <c r="J182" s="20"/>
      <c r="K182" s="23"/>
      <c r="L182" s="20"/>
      <c r="M182" s="24"/>
    </row>
    <row r="186" spans="3:13" ht="23.4">
      <c r="C186" s="230" t="s">
        <v>73</v>
      </c>
      <c r="D186" s="231"/>
      <c r="E186" s="231"/>
      <c r="F186" s="231"/>
      <c r="G186" s="231"/>
      <c r="H186" s="231"/>
      <c r="I186" s="231"/>
      <c r="J186" s="231"/>
      <c r="K186" s="231"/>
      <c r="L186" s="231"/>
      <c r="M186" s="232"/>
    </row>
    <row r="187" spans="3:13">
      <c r="C187" s="1" t="s">
        <v>0</v>
      </c>
      <c r="D187" s="2" t="s">
        <v>1</v>
      </c>
      <c r="E187" s="2" t="s">
        <v>2</v>
      </c>
      <c r="F187" s="2" t="s">
        <v>3</v>
      </c>
      <c r="G187" s="3" t="s">
        <v>4</v>
      </c>
      <c r="H187" s="2" t="s">
        <v>5</v>
      </c>
      <c r="I187" s="2" t="s">
        <v>19</v>
      </c>
      <c r="J187" s="2"/>
      <c r="K187" s="4" t="s">
        <v>0</v>
      </c>
      <c r="L187" s="2" t="s">
        <v>4</v>
      </c>
      <c r="M187" s="5"/>
    </row>
    <row r="188" spans="3:13">
      <c r="C188" s="6"/>
      <c r="D188" s="7"/>
      <c r="E188" s="7"/>
      <c r="F188" s="7"/>
      <c r="G188" s="8"/>
      <c r="H188" s="7"/>
      <c r="I188" s="7"/>
      <c r="J188" s="9"/>
      <c r="K188" s="10"/>
      <c r="L188" s="7"/>
      <c r="M188" s="11"/>
    </row>
    <row r="189" spans="3:13">
      <c r="C189" s="12">
        <v>44331</v>
      </c>
      <c r="D189">
        <v>80</v>
      </c>
      <c r="E189" s="7">
        <f t="shared" ref="E189:E196" si="12">D189/2</f>
        <v>40</v>
      </c>
      <c r="F189">
        <v>2450</v>
      </c>
      <c r="G189" s="8">
        <f t="shared" ref="G189:G196" si="13">F189*E189</f>
        <v>98000</v>
      </c>
      <c r="H189">
        <v>11</v>
      </c>
      <c r="I189" s="7" t="s">
        <v>21</v>
      </c>
      <c r="K189" s="13">
        <v>44340</v>
      </c>
      <c r="L189">
        <v>200000</v>
      </c>
      <c r="M189" s="11" t="s">
        <v>126</v>
      </c>
    </row>
    <row r="190" spans="3:13">
      <c r="C190" s="12">
        <v>44336</v>
      </c>
      <c r="D190">
        <v>64</v>
      </c>
      <c r="E190" s="7">
        <f t="shared" si="12"/>
        <v>32</v>
      </c>
      <c r="F190">
        <v>2500</v>
      </c>
      <c r="G190" s="8">
        <f t="shared" si="13"/>
        <v>80000</v>
      </c>
      <c r="H190">
        <v>8</v>
      </c>
      <c r="I190" s="7" t="s">
        <v>118</v>
      </c>
      <c r="K190" s="13">
        <v>44350</v>
      </c>
      <c r="L190">
        <v>200000</v>
      </c>
      <c r="M190" s="11" t="s">
        <v>126</v>
      </c>
    </row>
    <row r="191" spans="3:13">
      <c r="C191" s="12">
        <v>44346</v>
      </c>
      <c r="D191">
        <v>150</v>
      </c>
      <c r="E191" s="7">
        <f t="shared" si="12"/>
        <v>75</v>
      </c>
      <c r="F191">
        <v>2300</v>
      </c>
      <c r="G191" s="8">
        <f t="shared" si="13"/>
        <v>172500</v>
      </c>
      <c r="H191">
        <v>21</v>
      </c>
      <c r="I191" s="7" t="s">
        <v>6</v>
      </c>
      <c r="K191" s="13">
        <v>44352</v>
      </c>
      <c r="L191">
        <v>100000</v>
      </c>
      <c r="M191" s="11" t="s">
        <v>126</v>
      </c>
    </row>
    <row r="192" spans="3:13">
      <c r="C192" s="12">
        <v>44351</v>
      </c>
      <c r="D192">
        <v>103</v>
      </c>
      <c r="E192" s="7">
        <f t="shared" si="12"/>
        <v>51.5</v>
      </c>
      <c r="F192">
        <v>2200</v>
      </c>
      <c r="G192" s="8">
        <f t="shared" si="13"/>
        <v>113300</v>
      </c>
      <c r="H192">
        <v>19</v>
      </c>
      <c r="I192" s="7" t="s">
        <v>118</v>
      </c>
      <c r="K192" s="13">
        <v>44370</v>
      </c>
      <c r="L192">
        <v>100000</v>
      </c>
      <c r="M192" s="11" t="s">
        <v>293</v>
      </c>
    </row>
    <row r="193" spans="3:13">
      <c r="C193" s="12">
        <v>44359</v>
      </c>
      <c r="D193">
        <v>139</v>
      </c>
      <c r="E193" s="7">
        <f t="shared" si="12"/>
        <v>69.5</v>
      </c>
      <c r="F193">
        <v>2100</v>
      </c>
      <c r="G193" s="14">
        <f t="shared" si="13"/>
        <v>145950</v>
      </c>
      <c r="H193">
        <v>36</v>
      </c>
      <c r="I193" s="7" t="s">
        <v>6</v>
      </c>
      <c r="K193" s="13">
        <v>44385</v>
      </c>
      <c r="L193">
        <v>150000</v>
      </c>
      <c r="M193" s="11" t="s">
        <v>126</v>
      </c>
    </row>
    <row r="194" spans="3:13">
      <c r="C194" s="12">
        <v>44366</v>
      </c>
      <c r="D194">
        <v>76</v>
      </c>
      <c r="E194" s="7">
        <f t="shared" si="12"/>
        <v>38</v>
      </c>
      <c r="F194">
        <v>1850</v>
      </c>
      <c r="G194" s="14">
        <f t="shared" si="13"/>
        <v>70300</v>
      </c>
      <c r="H194">
        <v>41</v>
      </c>
      <c r="I194" s="7" t="s">
        <v>6</v>
      </c>
      <c r="K194" s="13">
        <v>44418</v>
      </c>
      <c r="L194">
        <v>21125</v>
      </c>
      <c r="M194" s="11" t="s">
        <v>293</v>
      </c>
    </row>
    <row r="195" spans="3:13">
      <c r="C195" s="12">
        <v>44376</v>
      </c>
      <c r="D195">
        <v>77</v>
      </c>
      <c r="E195" s="7">
        <f t="shared" si="12"/>
        <v>38.5</v>
      </c>
      <c r="F195">
        <v>1950</v>
      </c>
      <c r="G195" s="14">
        <f t="shared" si="13"/>
        <v>75075</v>
      </c>
      <c r="H195">
        <v>47</v>
      </c>
      <c r="I195" s="7" t="s">
        <v>6</v>
      </c>
      <c r="K195" s="13"/>
      <c r="M195" s="11"/>
    </row>
    <row r="196" spans="3:13">
      <c r="C196" s="12">
        <v>44386</v>
      </c>
      <c r="D196">
        <v>16</v>
      </c>
      <c r="E196" s="7">
        <f t="shared" si="12"/>
        <v>8</v>
      </c>
      <c r="F196">
        <v>2000</v>
      </c>
      <c r="G196" s="14">
        <f t="shared" si="13"/>
        <v>16000</v>
      </c>
      <c r="H196">
        <v>25</v>
      </c>
      <c r="I196" s="7" t="s">
        <v>118</v>
      </c>
      <c r="K196" s="13"/>
      <c r="M196" s="11"/>
    </row>
    <row r="197" spans="3:13">
      <c r="C197" s="12"/>
      <c r="E197" s="15"/>
      <c r="F197" s="15"/>
      <c r="G197" s="16"/>
      <c r="I197" s="7"/>
      <c r="K197" s="13"/>
      <c r="L197" s="16"/>
      <c r="M197" s="11"/>
    </row>
    <row r="198" spans="3:13">
      <c r="C198" s="17" t="s">
        <v>7</v>
      </c>
      <c r="D198" s="15">
        <f>SUM(D188:D197)</f>
        <v>705</v>
      </c>
      <c r="E198" s="15">
        <f>SUM(E188:E197)</f>
        <v>352.5</v>
      </c>
      <c r="F198" s="15"/>
      <c r="G198" s="15">
        <f>SUM(G188:G197)</f>
        <v>771125</v>
      </c>
      <c r="H198" s="15"/>
      <c r="I198" s="15"/>
      <c r="J198" s="15"/>
      <c r="K198" s="18" t="s">
        <v>8</v>
      </c>
      <c r="L198" s="15">
        <f>SUM(L188:L197)</f>
        <v>771125</v>
      </c>
      <c r="M198" s="11"/>
    </row>
    <row r="199" spans="3:13">
      <c r="C199" s="19"/>
      <c r="D199" s="20"/>
      <c r="E199" s="20"/>
      <c r="F199" s="21" t="s">
        <v>9</v>
      </c>
      <c r="G199" s="22">
        <f>G198-L198</f>
        <v>0</v>
      </c>
      <c r="H199" s="20"/>
      <c r="I199" s="20"/>
      <c r="J199" s="20"/>
      <c r="K199" s="23"/>
      <c r="L199" s="20"/>
      <c r="M199" s="24"/>
    </row>
    <row r="203" spans="3:13" ht="23.4">
      <c r="C203" s="230" t="s">
        <v>74</v>
      </c>
      <c r="D203" s="231"/>
      <c r="E203" s="231"/>
      <c r="F203" s="231"/>
      <c r="G203" s="231"/>
      <c r="H203" s="231"/>
      <c r="I203" s="231"/>
      <c r="J203" s="231"/>
      <c r="K203" s="231"/>
      <c r="L203" s="231"/>
      <c r="M203" s="232"/>
    </row>
    <row r="204" spans="3:13">
      <c r="C204" s="1" t="s">
        <v>0</v>
      </c>
      <c r="D204" s="2" t="s">
        <v>1</v>
      </c>
      <c r="E204" s="2" t="s">
        <v>2</v>
      </c>
      <c r="F204" s="2" t="s">
        <v>3</v>
      </c>
      <c r="G204" s="3" t="s">
        <v>4</v>
      </c>
      <c r="H204" s="2" t="s">
        <v>5</v>
      </c>
      <c r="I204" s="2" t="s">
        <v>19</v>
      </c>
      <c r="J204" s="2"/>
      <c r="K204" s="4" t="s">
        <v>0</v>
      </c>
      <c r="L204" s="2" t="s">
        <v>4</v>
      </c>
      <c r="M204" s="5"/>
    </row>
    <row r="205" spans="3:13">
      <c r="C205" s="6"/>
      <c r="D205" s="7"/>
      <c r="E205" s="7"/>
      <c r="F205" s="7"/>
      <c r="G205" s="8"/>
      <c r="H205" s="7"/>
      <c r="I205" s="7"/>
      <c r="J205" s="9"/>
      <c r="K205" s="10"/>
      <c r="L205" s="7"/>
      <c r="M205" s="11"/>
    </row>
    <row r="206" spans="3:13">
      <c r="C206" s="12">
        <v>44331</v>
      </c>
      <c r="D206">
        <v>60</v>
      </c>
      <c r="E206" s="7">
        <v>30</v>
      </c>
      <c r="F206">
        <v>2400</v>
      </c>
      <c r="G206" s="8">
        <f t="shared" ref="G206:G226" si="14">F206*E206</f>
        <v>72000</v>
      </c>
      <c r="H206">
        <v>13</v>
      </c>
      <c r="I206" s="7" t="s">
        <v>21</v>
      </c>
      <c r="K206" s="13">
        <v>44334</v>
      </c>
      <c r="L206">
        <v>72000</v>
      </c>
      <c r="M206" s="11" t="s">
        <v>75</v>
      </c>
    </row>
    <row r="207" spans="3:13">
      <c r="C207" s="12">
        <v>44337</v>
      </c>
      <c r="D207">
        <v>62</v>
      </c>
      <c r="E207" s="7">
        <f>D207/2</f>
        <v>31</v>
      </c>
      <c r="F207">
        <v>2550</v>
      </c>
      <c r="G207" s="8">
        <f t="shared" si="14"/>
        <v>79050</v>
      </c>
      <c r="H207">
        <v>7</v>
      </c>
      <c r="I207" s="7" t="s">
        <v>6</v>
      </c>
      <c r="K207" s="13">
        <v>44340</v>
      </c>
      <c r="L207">
        <v>77500</v>
      </c>
      <c r="M207" s="11" t="s">
        <v>125</v>
      </c>
    </row>
    <row r="208" spans="3:13">
      <c r="C208" s="12">
        <v>44344</v>
      </c>
      <c r="D208">
        <v>40</v>
      </c>
      <c r="E208" s="7">
        <f>D208/2</f>
        <v>20</v>
      </c>
      <c r="F208">
        <v>2300</v>
      </c>
      <c r="G208" s="8">
        <f t="shared" si="14"/>
        <v>46000</v>
      </c>
      <c r="H208">
        <v>17</v>
      </c>
      <c r="I208" s="7" t="s">
        <v>6</v>
      </c>
      <c r="K208" s="13">
        <v>44347</v>
      </c>
      <c r="L208">
        <v>100000</v>
      </c>
      <c r="M208" s="11" t="s">
        <v>125</v>
      </c>
    </row>
    <row r="209" spans="3:17">
      <c r="C209" s="12">
        <v>44346</v>
      </c>
      <c r="D209">
        <v>39</v>
      </c>
      <c r="E209" s="7">
        <f>D209/2</f>
        <v>19.5</v>
      </c>
      <c r="F209">
        <v>2300</v>
      </c>
      <c r="G209" s="8">
        <f t="shared" si="14"/>
        <v>44850</v>
      </c>
      <c r="H209">
        <v>23</v>
      </c>
      <c r="I209" s="7" t="s">
        <v>6</v>
      </c>
      <c r="K209" s="13">
        <v>44352</v>
      </c>
      <c r="L209">
        <v>150000</v>
      </c>
      <c r="M209" s="11" t="s">
        <v>125</v>
      </c>
    </row>
    <row r="210" spans="3:17">
      <c r="C210" s="12"/>
      <c r="D210">
        <v>60</v>
      </c>
      <c r="E210">
        <v>30</v>
      </c>
      <c r="F210">
        <v>2150</v>
      </c>
      <c r="G210" s="8">
        <f t="shared" si="14"/>
        <v>64500</v>
      </c>
      <c r="H210" t="s">
        <v>245</v>
      </c>
      <c r="K210" s="13">
        <v>44361</v>
      </c>
      <c r="L210">
        <v>90000</v>
      </c>
      <c r="M210" s="11" t="s">
        <v>125</v>
      </c>
    </row>
    <row r="211" spans="3:17">
      <c r="C211" s="12">
        <v>44351</v>
      </c>
      <c r="D211">
        <v>73</v>
      </c>
      <c r="E211">
        <v>36.5</v>
      </c>
      <c r="F211">
        <v>2200</v>
      </c>
      <c r="G211" s="14">
        <f t="shared" si="14"/>
        <v>80300</v>
      </c>
      <c r="H211">
        <v>19</v>
      </c>
      <c r="I211" s="7" t="s">
        <v>118</v>
      </c>
      <c r="K211" s="13">
        <v>44367</v>
      </c>
      <c r="L211">
        <v>50000</v>
      </c>
      <c r="M211" s="11" t="s">
        <v>75</v>
      </c>
    </row>
    <row r="212" spans="3:17">
      <c r="C212" s="12">
        <v>44359</v>
      </c>
      <c r="D212">
        <v>45</v>
      </c>
      <c r="E212">
        <f t="shared" ref="E212:E226" si="15">D212/2</f>
        <v>22.5</v>
      </c>
      <c r="F212">
        <v>2250</v>
      </c>
      <c r="G212" s="14">
        <f t="shared" si="14"/>
        <v>50625</v>
      </c>
      <c r="H212">
        <v>36</v>
      </c>
      <c r="I212" s="7" t="s">
        <v>6</v>
      </c>
      <c r="K212" s="13">
        <v>44377</v>
      </c>
      <c r="L212">
        <v>60000</v>
      </c>
      <c r="M212" s="11" t="s">
        <v>75</v>
      </c>
    </row>
    <row r="213" spans="3:17">
      <c r="C213" s="12">
        <v>44360</v>
      </c>
      <c r="D213">
        <v>40</v>
      </c>
      <c r="E213">
        <f t="shared" si="15"/>
        <v>20</v>
      </c>
      <c r="F213">
        <v>1900</v>
      </c>
      <c r="G213" s="14">
        <f t="shared" si="14"/>
        <v>38000</v>
      </c>
      <c r="H213">
        <v>37</v>
      </c>
      <c r="I213" s="7" t="s">
        <v>6</v>
      </c>
      <c r="K213" s="13">
        <v>44386</v>
      </c>
      <c r="L213">
        <v>40000</v>
      </c>
      <c r="M213" s="11" t="s">
        <v>125</v>
      </c>
    </row>
    <row r="214" spans="3:17">
      <c r="C214" s="12">
        <v>44366</v>
      </c>
      <c r="D214">
        <v>58</v>
      </c>
      <c r="E214">
        <f t="shared" si="15"/>
        <v>29</v>
      </c>
      <c r="F214">
        <v>1850</v>
      </c>
      <c r="G214" s="14">
        <f t="shared" si="14"/>
        <v>53650</v>
      </c>
      <c r="H214">
        <v>41</v>
      </c>
      <c r="I214" s="7" t="s">
        <v>6</v>
      </c>
      <c r="K214" s="13">
        <v>44391</v>
      </c>
      <c r="L214">
        <v>30000</v>
      </c>
      <c r="M214" s="11" t="s">
        <v>75</v>
      </c>
    </row>
    <row r="215" spans="3:17">
      <c r="C215" s="12">
        <v>44370</v>
      </c>
      <c r="D215">
        <v>40</v>
      </c>
      <c r="E215">
        <f t="shared" si="15"/>
        <v>20</v>
      </c>
      <c r="F215">
        <v>1900</v>
      </c>
      <c r="G215" s="14">
        <f t="shared" si="14"/>
        <v>38000</v>
      </c>
      <c r="H215">
        <v>44</v>
      </c>
      <c r="I215" s="7" t="s">
        <v>6</v>
      </c>
      <c r="K215" s="13">
        <v>44545</v>
      </c>
      <c r="L215">
        <v>6000</v>
      </c>
      <c r="M215" s="11" t="s">
        <v>498</v>
      </c>
    </row>
    <row r="216" spans="3:17">
      <c r="C216" s="12">
        <v>44373</v>
      </c>
      <c r="D216">
        <v>35</v>
      </c>
      <c r="E216">
        <f t="shared" si="15"/>
        <v>17.5</v>
      </c>
      <c r="F216">
        <v>1920</v>
      </c>
      <c r="G216" s="14">
        <f t="shared" si="14"/>
        <v>33600</v>
      </c>
      <c r="H216">
        <v>46</v>
      </c>
      <c r="I216" s="7" t="s">
        <v>6</v>
      </c>
      <c r="K216" s="13">
        <v>44535</v>
      </c>
      <c r="L216">
        <v>30000</v>
      </c>
      <c r="M216" s="11" t="s">
        <v>500</v>
      </c>
    </row>
    <row r="217" spans="3:17">
      <c r="C217" s="12">
        <v>44386</v>
      </c>
      <c r="D217">
        <v>39</v>
      </c>
      <c r="E217">
        <f t="shared" si="15"/>
        <v>19.5</v>
      </c>
      <c r="F217">
        <v>2000</v>
      </c>
      <c r="G217" s="14">
        <f t="shared" si="14"/>
        <v>39000</v>
      </c>
      <c r="H217">
        <v>25</v>
      </c>
      <c r="I217" s="7" t="s">
        <v>118</v>
      </c>
      <c r="K217" s="13">
        <v>44535</v>
      </c>
      <c r="L217">
        <v>20000</v>
      </c>
      <c r="M217" s="11" t="s">
        <v>500</v>
      </c>
    </row>
    <row r="218" spans="3:17">
      <c r="C218" s="12">
        <v>44534</v>
      </c>
      <c r="D218">
        <v>51</v>
      </c>
      <c r="E218">
        <f t="shared" si="15"/>
        <v>25.5</v>
      </c>
      <c r="F218">
        <v>2100</v>
      </c>
      <c r="G218" s="14">
        <f t="shared" si="14"/>
        <v>53550</v>
      </c>
      <c r="H218">
        <v>59</v>
      </c>
      <c r="I218" s="7" t="s">
        <v>6</v>
      </c>
      <c r="K218" s="13">
        <v>44536</v>
      </c>
      <c r="L218">
        <v>20000</v>
      </c>
      <c r="M218" s="11" t="s">
        <v>500</v>
      </c>
    </row>
    <row r="219" spans="3:17">
      <c r="C219" s="12">
        <v>44541</v>
      </c>
      <c r="D219">
        <v>66</v>
      </c>
      <c r="E219">
        <f t="shared" si="15"/>
        <v>33</v>
      </c>
      <c r="F219">
        <v>2100</v>
      </c>
      <c r="G219" s="14">
        <f t="shared" si="14"/>
        <v>69300</v>
      </c>
      <c r="H219">
        <v>65</v>
      </c>
      <c r="I219" s="7" t="s">
        <v>6</v>
      </c>
      <c r="K219" s="13">
        <v>44541</v>
      </c>
      <c r="L219">
        <v>40000</v>
      </c>
      <c r="M219" s="11" t="s">
        <v>500</v>
      </c>
      <c r="Q219">
        <v>20064139097</v>
      </c>
    </row>
    <row r="220" spans="3:17">
      <c r="C220" s="12">
        <v>44535</v>
      </c>
      <c r="D220">
        <v>56</v>
      </c>
      <c r="E220">
        <f t="shared" si="15"/>
        <v>28</v>
      </c>
      <c r="F220">
        <v>2000</v>
      </c>
      <c r="G220" s="14">
        <f t="shared" si="14"/>
        <v>56000</v>
      </c>
      <c r="I220" s="7"/>
      <c r="K220" s="13">
        <v>44546</v>
      </c>
      <c r="L220">
        <v>100000</v>
      </c>
      <c r="M220" s="11" t="s">
        <v>499</v>
      </c>
      <c r="Q220">
        <v>52201131417</v>
      </c>
    </row>
    <row r="221" spans="3:17">
      <c r="C221" s="12">
        <v>44545</v>
      </c>
      <c r="D221">
        <v>50</v>
      </c>
      <c r="E221">
        <f t="shared" si="15"/>
        <v>25</v>
      </c>
      <c r="F221">
        <v>2000</v>
      </c>
      <c r="G221" s="14">
        <f t="shared" si="14"/>
        <v>50000</v>
      </c>
      <c r="I221" s="7"/>
      <c r="K221" s="13">
        <v>44551</v>
      </c>
      <c r="L221">
        <v>50000</v>
      </c>
      <c r="M221" s="11" t="s">
        <v>499</v>
      </c>
    </row>
    <row r="222" spans="3:17">
      <c r="C222" s="12">
        <v>44547</v>
      </c>
      <c r="D222">
        <v>51</v>
      </c>
      <c r="E222">
        <f t="shared" si="15"/>
        <v>25.5</v>
      </c>
      <c r="F222">
        <v>1750</v>
      </c>
      <c r="G222" s="14">
        <f t="shared" si="14"/>
        <v>44625</v>
      </c>
      <c r="H222">
        <v>95</v>
      </c>
      <c r="I222" s="7" t="s">
        <v>118</v>
      </c>
      <c r="K222" s="51">
        <v>44555</v>
      </c>
      <c r="L222">
        <v>50000</v>
      </c>
      <c r="M222" s="229" t="s">
        <v>500</v>
      </c>
    </row>
    <row r="223" spans="3:17">
      <c r="C223" s="12">
        <v>44553</v>
      </c>
      <c r="D223">
        <v>55</v>
      </c>
      <c r="E223">
        <f t="shared" si="15"/>
        <v>27.5</v>
      </c>
      <c r="F223">
        <v>1700</v>
      </c>
      <c r="G223" s="14">
        <f t="shared" si="14"/>
        <v>46750</v>
      </c>
      <c r="H223">
        <v>79</v>
      </c>
      <c r="I223" s="7" t="s">
        <v>6</v>
      </c>
      <c r="K223" s="13">
        <v>44559</v>
      </c>
      <c r="L223">
        <v>50000</v>
      </c>
      <c r="M223" s="11" t="s">
        <v>499</v>
      </c>
    </row>
    <row r="224" spans="3:17">
      <c r="C224" s="12">
        <v>44557</v>
      </c>
      <c r="D224">
        <v>25</v>
      </c>
      <c r="E224">
        <f t="shared" si="15"/>
        <v>12.5</v>
      </c>
      <c r="F224">
        <v>1630</v>
      </c>
      <c r="G224" s="14">
        <f t="shared" si="14"/>
        <v>20375</v>
      </c>
      <c r="H224">
        <v>87</v>
      </c>
      <c r="I224" s="7" t="s">
        <v>6</v>
      </c>
      <c r="K224" s="13">
        <v>44201</v>
      </c>
      <c r="L224">
        <v>100000</v>
      </c>
      <c r="M224" s="11" t="s">
        <v>499</v>
      </c>
    </row>
    <row r="225" spans="3:13">
      <c r="C225" s="12">
        <v>44566</v>
      </c>
      <c r="D225">
        <v>113</v>
      </c>
      <c r="E225">
        <f t="shared" si="15"/>
        <v>56.5</v>
      </c>
      <c r="F225">
        <v>1740</v>
      </c>
      <c r="G225" s="14">
        <f t="shared" si="14"/>
        <v>98310</v>
      </c>
      <c r="H225">
        <v>101</v>
      </c>
      <c r="I225" s="7" t="s">
        <v>6</v>
      </c>
      <c r="K225" s="13"/>
      <c r="M225" s="11"/>
    </row>
    <row r="226" spans="3:13">
      <c r="C226" s="12">
        <v>44200</v>
      </c>
      <c r="D226">
        <v>60</v>
      </c>
      <c r="E226">
        <f t="shared" si="15"/>
        <v>30</v>
      </c>
      <c r="F226">
        <v>2050</v>
      </c>
      <c r="G226" s="14">
        <f t="shared" si="14"/>
        <v>61500</v>
      </c>
      <c r="H226" t="s">
        <v>245</v>
      </c>
      <c r="I226" s="7"/>
      <c r="K226" s="13"/>
      <c r="M226" s="11"/>
    </row>
    <row r="227" spans="3:13">
      <c r="C227" s="12"/>
      <c r="G227" s="14"/>
      <c r="I227" s="7"/>
      <c r="K227" s="13"/>
      <c r="M227" s="11"/>
    </row>
    <row r="228" spans="3:13">
      <c r="C228" s="12"/>
      <c r="G228" s="14"/>
      <c r="I228" s="7"/>
      <c r="K228" s="13"/>
      <c r="M228" s="11"/>
    </row>
    <row r="229" spans="3:13">
      <c r="C229" s="12"/>
      <c r="G229" s="14"/>
      <c r="I229" s="7"/>
      <c r="K229" s="13"/>
      <c r="M229" s="11"/>
    </row>
    <row r="230" spans="3:13">
      <c r="C230" s="12"/>
      <c r="E230" s="15"/>
      <c r="F230" s="15"/>
      <c r="G230" s="16"/>
      <c r="K230" s="13"/>
      <c r="L230" s="16"/>
      <c r="M230" s="11"/>
    </row>
    <row r="231" spans="3:13">
      <c r="C231" s="17" t="s">
        <v>7</v>
      </c>
      <c r="D231" s="15">
        <f>SUM(D205:D230)</f>
        <v>1118</v>
      </c>
      <c r="E231" s="15">
        <f>SUM(E205:E230)</f>
        <v>559</v>
      </c>
      <c r="F231" s="15"/>
      <c r="G231" s="120">
        <f>SUM(G205:G230)</f>
        <v>1139985</v>
      </c>
      <c r="H231" s="15"/>
      <c r="I231" s="15"/>
      <c r="J231" s="15"/>
      <c r="K231" s="18" t="s">
        <v>8</v>
      </c>
      <c r="L231" s="15">
        <f>SUM(L205:L230)</f>
        <v>1135500</v>
      </c>
      <c r="M231" s="11"/>
    </row>
    <row r="232" spans="3:13">
      <c r="C232" s="19"/>
      <c r="D232" s="20"/>
      <c r="E232" s="20"/>
      <c r="F232" s="21" t="s">
        <v>9</v>
      </c>
      <c r="G232" s="22">
        <f>G231-L231</f>
        <v>4485</v>
      </c>
      <c r="H232" s="20"/>
      <c r="I232" s="20"/>
      <c r="J232" s="20"/>
      <c r="K232" s="23"/>
      <c r="L232" s="20"/>
      <c r="M232" s="24"/>
    </row>
  </sheetData>
  <mergeCells count="8">
    <mergeCell ref="C186:M186"/>
    <mergeCell ref="C203:M203"/>
    <mergeCell ref="C6:M6"/>
    <mergeCell ref="C44:M44"/>
    <mergeCell ref="C61:M61"/>
    <mergeCell ref="C103:M103"/>
    <mergeCell ref="C141:M141"/>
    <mergeCell ref="C163:M163"/>
  </mergeCells>
  <pageMargins left="0.7" right="0.7" top="0.75" bottom="0.75" header="0.3" footer="0.3"/>
  <pageSetup orientation="portrait" r:id="rId1"/>
  <ignoredErrors>
    <ignoredError sqref="E10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4111-4A34-47F1-9F6E-4ED825D68C5D}">
  <dimension ref="B6:Q205"/>
  <sheetViews>
    <sheetView topLeftCell="A48" zoomScale="85" zoomScaleNormal="85" workbookViewId="0">
      <selection activeCell="N64" sqref="N64"/>
    </sheetView>
  </sheetViews>
  <sheetFormatPr defaultRowHeight="14.4"/>
  <cols>
    <col min="3" max="3" width="20.6640625" customWidth="1"/>
    <col min="7" max="7" width="12" bestFit="1" customWidth="1"/>
    <col min="8" max="8" width="12.6640625" bestFit="1" customWidth="1"/>
    <col min="11" max="11" width="17.33203125" bestFit="1" customWidth="1"/>
    <col min="13" max="13" width="20.33203125" bestFit="1" customWidth="1"/>
  </cols>
  <sheetData>
    <row r="6" spans="3:13" ht="23.4">
      <c r="C6" s="230" t="s">
        <v>18</v>
      </c>
      <c r="D6" s="231"/>
      <c r="E6" s="231"/>
      <c r="F6" s="231"/>
      <c r="G6" s="231"/>
      <c r="H6" s="231"/>
      <c r="I6" s="231"/>
      <c r="J6" s="231"/>
      <c r="K6" s="231"/>
      <c r="L6" s="231"/>
      <c r="M6" s="232"/>
    </row>
    <row r="7" spans="3:13">
      <c r="C7" s="1" t="s">
        <v>0</v>
      </c>
      <c r="D7" s="2" t="s">
        <v>1</v>
      </c>
      <c r="E7" s="2" t="s">
        <v>2</v>
      </c>
      <c r="F7" s="2" t="s">
        <v>3</v>
      </c>
      <c r="G7" s="3" t="s">
        <v>4</v>
      </c>
      <c r="H7" s="2" t="s">
        <v>5</v>
      </c>
      <c r="I7" s="2" t="s">
        <v>19</v>
      </c>
      <c r="J7" s="2"/>
      <c r="K7" s="4" t="s">
        <v>0</v>
      </c>
      <c r="L7" s="2" t="s">
        <v>4</v>
      </c>
      <c r="M7" s="5"/>
    </row>
    <row r="8" spans="3:13">
      <c r="C8" s="6"/>
      <c r="D8" s="7"/>
      <c r="E8" s="7"/>
      <c r="F8" s="7"/>
      <c r="G8" s="8"/>
      <c r="H8" s="7"/>
      <c r="I8" s="7"/>
      <c r="J8" s="9"/>
      <c r="K8" s="10"/>
      <c r="L8" s="7"/>
      <c r="M8" s="11"/>
    </row>
    <row r="9" spans="3:13">
      <c r="C9" s="12">
        <v>44315</v>
      </c>
      <c r="D9">
        <v>17</v>
      </c>
      <c r="E9" s="7">
        <f>D9/2</f>
        <v>8.5</v>
      </c>
      <c r="F9">
        <v>2550</v>
      </c>
      <c r="G9" s="153">
        <f t="shared" ref="G9:G16" si="0">F9*E9</f>
        <v>21675</v>
      </c>
      <c r="H9">
        <v>3</v>
      </c>
      <c r="I9" s="7" t="s">
        <v>6</v>
      </c>
      <c r="K9" s="13">
        <v>44327</v>
      </c>
      <c r="L9">
        <v>21675</v>
      </c>
      <c r="M9" s="11" t="s">
        <v>122</v>
      </c>
    </row>
    <row r="10" spans="3:13">
      <c r="C10" s="12">
        <v>44328</v>
      </c>
      <c r="D10">
        <v>43</v>
      </c>
      <c r="E10" s="7">
        <f>D10/2</f>
        <v>21.5</v>
      </c>
      <c r="F10">
        <v>2550</v>
      </c>
      <c r="G10" s="153">
        <f t="shared" si="0"/>
        <v>54825</v>
      </c>
      <c r="H10">
        <v>8</v>
      </c>
      <c r="I10" s="7" t="s">
        <v>21</v>
      </c>
      <c r="K10" s="13">
        <v>44336</v>
      </c>
      <c r="L10">
        <v>50000</v>
      </c>
      <c r="M10" s="11" t="s">
        <v>122</v>
      </c>
    </row>
    <row r="11" spans="3:13">
      <c r="C11" s="12">
        <v>44340</v>
      </c>
      <c r="D11">
        <v>89</v>
      </c>
      <c r="E11" s="7">
        <f>D11/2</f>
        <v>44.5</v>
      </c>
      <c r="F11">
        <v>2500</v>
      </c>
      <c r="G11" s="153">
        <f t="shared" si="0"/>
        <v>111250</v>
      </c>
      <c r="H11">
        <v>13</v>
      </c>
      <c r="I11" s="7" t="s">
        <v>6</v>
      </c>
      <c r="K11" s="13">
        <v>44343</v>
      </c>
      <c r="L11">
        <v>100000</v>
      </c>
      <c r="M11" s="11" t="s">
        <v>179</v>
      </c>
    </row>
    <row r="12" spans="3:13">
      <c r="C12" s="12">
        <v>44347</v>
      </c>
      <c r="D12">
        <v>139</v>
      </c>
      <c r="E12" s="15">
        <v>62.55</v>
      </c>
      <c r="F12">
        <v>2420</v>
      </c>
      <c r="G12" s="153">
        <f t="shared" si="0"/>
        <v>151371</v>
      </c>
      <c r="H12">
        <v>22</v>
      </c>
      <c r="I12" s="7" t="s">
        <v>6</v>
      </c>
      <c r="K12" s="13">
        <v>44348</v>
      </c>
      <c r="L12">
        <v>150000</v>
      </c>
      <c r="M12" s="11" t="s">
        <v>181</v>
      </c>
    </row>
    <row r="13" spans="3:13">
      <c r="C13" s="12">
        <v>44354</v>
      </c>
      <c r="D13">
        <v>63</v>
      </c>
      <c r="E13" s="15">
        <f>D13/2</f>
        <v>31.5</v>
      </c>
      <c r="F13">
        <v>2300</v>
      </c>
      <c r="G13" s="153">
        <f t="shared" si="0"/>
        <v>72450</v>
      </c>
      <c r="H13">
        <v>32</v>
      </c>
      <c r="I13" s="7" t="s">
        <v>6</v>
      </c>
      <c r="K13" s="13">
        <v>44356</v>
      </c>
      <c r="L13">
        <v>72000</v>
      </c>
      <c r="M13" s="11" t="s">
        <v>179</v>
      </c>
    </row>
    <row r="14" spans="3:13">
      <c r="C14" s="12">
        <v>44358</v>
      </c>
      <c r="D14">
        <v>80</v>
      </c>
      <c r="E14" s="7">
        <f>D14/2</f>
        <v>40</v>
      </c>
      <c r="F14">
        <v>2150</v>
      </c>
      <c r="G14" s="14">
        <f t="shared" si="0"/>
        <v>86000</v>
      </c>
      <c r="H14">
        <v>35</v>
      </c>
      <c r="I14" s="7" t="s">
        <v>6</v>
      </c>
      <c r="K14" s="13">
        <v>44366</v>
      </c>
      <c r="L14">
        <v>100000</v>
      </c>
      <c r="M14" s="11" t="s">
        <v>179</v>
      </c>
    </row>
    <row r="15" spans="3:13">
      <c r="C15" s="12">
        <v>44557</v>
      </c>
      <c r="D15">
        <v>106</v>
      </c>
      <c r="E15" s="7">
        <f>D15/2</f>
        <v>53</v>
      </c>
      <c r="F15">
        <v>1700</v>
      </c>
      <c r="G15" s="14">
        <f t="shared" si="0"/>
        <v>90100</v>
      </c>
      <c r="H15">
        <v>87</v>
      </c>
      <c r="I15" s="7" t="s">
        <v>6</v>
      </c>
      <c r="K15" s="13">
        <v>44201</v>
      </c>
      <c r="L15">
        <v>200000</v>
      </c>
      <c r="M15" s="11" t="s">
        <v>179</v>
      </c>
    </row>
    <row r="16" spans="3:13">
      <c r="C16" s="12">
        <v>44565</v>
      </c>
      <c r="D16">
        <v>140</v>
      </c>
      <c r="E16" s="7">
        <f>D16/2</f>
        <v>70</v>
      </c>
      <c r="F16">
        <v>1800</v>
      </c>
      <c r="G16" s="14">
        <f t="shared" si="0"/>
        <v>126000</v>
      </c>
      <c r="H16">
        <v>99</v>
      </c>
      <c r="I16" s="7" t="s">
        <v>6</v>
      </c>
      <c r="K16" s="13"/>
      <c r="M16" s="11"/>
    </row>
    <row r="17" spans="3:13">
      <c r="C17" s="12"/>
      <c r="E17" s="7"/>
      <c r="G17" s="14"/>
      <c r="I17" s="7"/>
      <c r="K17" s="13"/>
      <c r="M17" s="11"/>
    </row>
    <row r="18" spans="3:13">
      <c r="C18" s="12"/>
      <c r="G18" s="14"/>
      <c r="K18" s="13"/>
      <c r="M18" s="11"/>
    </row>
    <row r="19" spans="3:13">
      <c r="C19" s="12"/>
      <c r="E19" s="15"/>
      <c r="F19" s="15"/>
      <c r="G19" s="16"/>
      <c r="K19" s="13"/>
      <c r="L19" s="16"/>
      <c r="M19" s="11"/>
    </row>
    <row r="20" spans="3:13">
      <c r="C20" s="17" t="s">
        <v>7</v>
      </c>
      <c r="D20" s="15">
        <f>SUM(D8:D19)</f>
        <v>677</v>
      </c>
      <c r="E20" s="15">
        <f>SUM(E8:E19)</f>
        <v>331.55</v>
      </c>
      <c r="F20" s="15"/>
      <c r="G20" s="15">
        <f>SUM(G8:G19)</f>
        <v>713671</v>
      </c>
      <c r="H20" s="15"/>
      <c r="I20" s="15"/>
      <c r="J20" s="15"/>
      <c r="K20" s="18" t="s">
        <v>8</v>
      </c>
      <c r="L20" s="15">
        <f>SUM(L8:L19)</f>
        <v>693675</v>
      </c>
      <c r="M20" s="11"/>
    </row>
    <row r="21" spans="3:13">
      <c r="C21" s="19"/>
      <c r="D21" s="20"/>
      <c r="E21" s="20"/>
      <c r="F21" s="21" t="s">
        <v>9</v>
      </c>
      <c r="G21" s="22">
        <f>G20-L20</f>
        <v>19996</v>
      </c>
      <c r="H21" s="20"/>
      <c r="I21" s="20"/>
      <c r="J21" s="20"/>
      <c r="K21" s="23"/>
      <c r="L21" s="20"/>
      <c r="M21" s="24"/>
    </row>
    <row r="25" spans="3:13" ht="23.4">
      <c r="C25" s="230" t="s">
        <v>20</v>
      </c>
      <c r="D25" s="231"/>
      <c r="E25" s="231"/>
      <c r="F25" s="231"/>
      <c r="G25" s="231"/>
      <c r="H25" s="231"/>
      <c r="I25" s="231"/>
      <c r="J25" s="231"/>
      <c r="K25" s="231"/>
      <c r="L25" s="231"/>
      <c r="M25" s="232"/>
    </row>
    <row r="26" spans="3:13">
      <c r="C26" s="1" t="s">
        <v>0</v>
      </c>
      <c r="D26" s="2" t="s">
        <v>1</v>
      </c>
      <c r="E26" s="2" t="s">
        <v>2</v>
      </c>
      <c r="F26" s="2" t="s">
        <v>3</v>
      </c>
      <c r="G26" s="3" t="s">
        <v>4</v>
      </c>
      <c r="H26" s="2" t="s">
        <v>5</v>
      </c>
      <c r="I26" s="2" t="s">
        <v>19</v>
      </c>
      <c r="J26" s="2"/>
      <c r="K26" s="4" t="s">
        <v>0</v>
      </c>
      <c r="L26" s="2" t="s">
        <v>4</v>
      </c>
      <c r="M26" s="5"/>
    </row>
    <row r="27" spans="3:13">
      <c r="C27" s="6"/>
      <c r="D27" s="7"/>
      <c r="E27" s="7"/>
      <c r="F27" s="7"/>
      <c r="G27" s="8">
        <v>19000</v>
      </c>
      <c r="H27" s="7" t="s">
        <v>172</v>
      </c>
      <c r="I27" s="7"/>
      <c r="J27" s="9"/>
      <c r="K27" s="10"/>
      <c r="L27" s="7"/>
      <c r="M27" s="11"/>
    </row>
    <row r="28" spans="3:13">
      <c r="C28" s="12">
        <v>44315</v>
      </c>
      <c r="D28">
        <v>30</v>
      </c>
      <c r="E28" s="7">
        <f>D28/2</f>
        <v>15</v>
      </c>
      <c r="F28">
        <v>2500</v>
      </c>
      <c r="G28" s="8">
        <f t="shared" ref="G28:G35" si="1">F28*E28</f>
        <v>37500</v>
      </c>
      <c r="H28">
        <v>3</v>
      </c>
      <c r="I28" s="7" t="s">
        <v>6</v>
      </c>
      <c r="K28" s="13">
        <v>44330</v>
      </c>
      <c r="L28">
        <v>100000</v>
      </c>
      <c r="M28" s="11" t="s">
        <v>173</v>
      </c>
    </row>
    <row r="29" spans="3:13">
      <c r="C29" s="12">
        <v>44325</v>
      </c>
      <c r="D29">
        <v>59</v>
      </c>
      <c r="E29" s="7">
        <f t="shared" ref="E29:E38" si="2">D29/2</f>
        <v>29.5</v>
      </c>
      <c r="F29">
        <v>2400</v>
      </c>
      <c r="G29" s="8">
        <f t="shared" si="1"/>
        <v>70800</v>
      </c>
      <c r="H29">
        <v>4</v>
      </c>
      <c r="I29" s="7" t="s">
        <v>21</v>
      </c>
      <c r="K29" s="13">
        <v>44344</v>
      </c>
      <c r="L29">
        <v>27000</v>
      </c>
      <c r="M29" s="11" t="s">
        <v>173</v>
      </c>
    </row>
    <row r="30" spans="3:13">
      <c r="C30" s="12">
        <v>44533</v>
      </c>
      <c r="D30">
        <v>94</v>
      </c>
      <c r="E30" s="7">
        <f t="shared" si="2"/>
        <v>47</v>
      </c>
      <c r="F30">
        <v>2200</v>
      </c>
      <c r="G30" s="8">
        <f t="shared" si="1"/>
        <v>103400</v>
      </c>
      <c r="I30" s="7" t="s">
        <v>118</v>
      </c>
      <c r="K30" s="13">
        <v>44534</v>
      </c>
      <c r="L30">
        <v>80000</v>
      </c>
      <c r="M30" s="11" t="s">
        <v>503</v>
      </c>
    </row>
    <row r="31" spans="3:13">
      <c r="C31" s="12">
        <v>44541</v>
      </c>
      <c r="D31">
        <v>70</v>
      </c>
      <c r="E31" s="7">
        <f t="shared" si="2"/>
        <v>35</v>
      </c>
      <c r="F31">
        <v>2150</v>
      </c>
      <c r="G31" s="8">
        <f t="shared" si="1"/>
        <v>75250</v>
      </c>
      <c r="H31">
        <v>64</v>
      </c>
      <c r="I31" s="7" t="s">
        <v>6</v>
      </c>
      <c r="K31" s="13">
        <v>44531</v>
      </c>
      <c r="L31">
        <v>100000</v>
      </c>
      <c r="M31" s="11" t="s">
        <v>447</v>
      </c>
    </row>
    <row r="32" spans="3:13">
      <c r="C32" s="12">
        <v>44553</v>
      </c>
      <c r="D32">
        <v>80</v>
      </c>
      <c r="E32" s="7">
        <f t="shared" si="2"/>
        <v>40</v>
      </c>
      <c r="F32">
        <v>1650</v>
      </c>
      <c r="G32" s="14">
        <f t="shared" si="1"/>
        <v>66000</v>
      </c>
      <c r="H32">
        <v>82</v>
      </c>
      <c r="I32" s="7" t="s">
        <v>6</v>
      </c>
      <c r="K32" s="13">
        <v>44560</v>
      </c>
      <c r="L32">
        <v>70000</v>
      </c>
      <c r="M32" s="11" t="s">
        <v>606</v>
      </c>
    </row>
    <row r="33" spans="3:13">
      <c r="C33" s="12">
        <v>44925</v>
      </c>
      <c r="D33">
        <v>28</v>
      </c>
      <c r="E33" s="7">
        <f t="shared" si="2"/>
        <v>14</v>
      </c>
      <c r="F33">
        <v>1700</v>
      </c>
      <c r="G33" s="14">
        <f t="shared" si="1"/>
        <v>23800</v>
      </c>
      <c r="H33">
        <v>92</v>
      </c>
      <c r="I33" s="7" t="s">
        <v>6</v>
      </c>
      <c r="K33" s="13">
        <v>44566</v>
      </c>
      <c r="L33">
        <v>80000</v>
      </c>
      <c r="M33" s="11" t="s">
        <v>616</v>
      </c>
    </row>
    <row r="34" spans="3:13">
      <c r="C34" s="12">
        <v>44564</v>
      </c>
      <c r="D34">
        <v>37</v>
      </c>
      <c r="E34" s="7">
        <f t="shared" si="2"/>
        <v>18.5</v>
      </c>
      <c r="F34">
        <v>1780</v>
      </c>
      <c r="G34" s="14">
        <f t="shared" si="1"/>
        <v>32930</v>
      </c>
      <c r="H34">
        <v>98</v>
      </c>
      <c r="I34" s="7" t="s">
        <v>6</v>
      </c>
      <c r="K34" s="13"/>
      <c r="M34" s="11"/>
    </row>
    <row r="35" spans="3:13">
      <c r="C35" s="12">
        <v>44567</v>
      </c>
      <c r="D35">
        <v>15</v>
      </c>
      <c r="E35" s="7">
        <f t="shared" si="2"/>
        <v>7.5</v>
      </c>
      <c r="F35">
        <v>1820</v>
      </c>
      <c r="G35" s="14">
        <f t="shared" si="1"/>
        <v>13650</v>
      </c>
      <c r="H35">
        <v>104</v>
      </c>
      <c r="I35" s="7" t="s">
        <v>6</v>
      </c>
      <c r="K35" s="13"/>
      <c r="M35" s="11"/>
    </row>
    <row r="36" spans="3:13">
      <c r="C36" s="12"/>
      <c r="E36" s="7"/>
      <c r="G36" s="14"/>
      <c r="I36" s="7"/>
      <c r="K36" s="13"/>
      <c r="M36" s="11"/>
    </row>
    <row r="37" spans="3:13">
      <c r="C37" s="12"/>
      <c r="E37" s="7"/>
      <c r="G37" s="14"/>
      <c r="I37" s="7"/>
      <c r="K37" s="13"/>
      <c r="M37" s="11"/>
    </row>
    <row r="38" spans="3:13">
      <c r="C38" s="12"/>
      <c r="E38" s="7">
        <f t="shared" si="2"/>
        <v>0</v>
      </c>
      <c r="G38" s="14"/>
      <c r="K38" s="13"/>
      <c r="M38" s="11"/>
    </row>
    <row r="39" spans="3:13">
      <c r="C39" s="12"/>
      <c r="E39" s="15"/>
      <c r="F39" s="15"/>
      <c r="G39" s="16"/>
      <c r="K39" s="13"/>
      <c r="L39" s="16"/>
      <c r="M39" s="11"/>
    </row>
    <row r="40" spans="3:13">
      <c r="C40" s="17" t="s">
        <v>7</v>
      </c>
      <c r="D40" s="15">
        <f>SUM(D27:D39)</f>
        <v>413</v>
      </c>
      <c r="E40" s="15">
        <f>SUM(E27:E39)</f>
        <v>206.5</v>
      </c>
      <c r="F40" s="15"/>
      <c r="G40" s="15">
        <f>SUM(G27:G39)</f>
        <v>442330</v>
      </c>
      <c r="H40" s="15"/>
      <c r="I40" s="15"/>
      <c r="J40" s="15"/>
      <c r="K40" s="18" t="s">
        <v>8</v>
      </c>
      <c r="L40" s="15">
        <f>SUM(L27:L39)</f>
        <v>457000</v>
      </c>
      <c r="M40" s="11"/>
    </row>
    <row r="41" spans="3:13">
      <c r="C41" s="19"/>
      <c r="D41" s="20"/>
      <c r="E41" s="20"/>
      <c r="F41" s="21" t="s">
        <v>9</v>
      </c>
      <c r="G41" s="159">
        <f>G40-L40</f>
        <v>-14670</v>
      </c>
      <c r="H41" s="20"/>
      <c r="I41" s="20"/>
      <c r="J41" s="20"/>
      <c r="K41" s="23"/>
      <c r="L41" s="20"/>
      <c r="M41" s="24"/>
    </row>
    <row r="45" spans="3:13" ht="23.4">
      <c r="C45" s="230" t="s">
        <v>23</v>
      </c>
      <c r="D45" s="231"/>
      <c r="E45" s="231"/>
      <c r="F45" s="231"/>
      <c r="G45" s="231"/>
      <c r="H45" s="231"/>
      <c r="I45" s="231"/>
      <c r="J45" s="231"/>
      <c r="K45" s="231"/>
      <c r="L45" s="231"/>
      <c r="M45" s="232"/>
    </row>
    <row r="46" spans="3:13">
      <c r="C46" s="1" t="s">
        <v>0</v>
      </c>
      <c r="D46" s="2" t="s">
        <v>1</v>
      </c>
      <c r="E46" s="2" t="s">
        <v>2</v>
      </c>
      <c r="F46" s="2" t="s">
        <v>3</v>
      </c>
      <c r="G46" s="3" t="s">
        <v>4</v>
      </c>
      <c r="H46" s="2" t="s">
        <v>5</v>
      </c>
      <c r="I46" s="2" t="s">
        <v>19</v>
      </c>
      <c r="J46" s="2"/>
      <c r="K46" s="4" t="s">
        <v>0</v>
      </c>
      <c r="L46" s="2" t="s">
        <v>4</v>
      </c>
      <c r="M46" s="5"/>
    </row>
    <row r="47" spans="3:13">
      <c r="C47" s="6"/>
      <c r="D47" s="7"/>
      <c r="E47" s="7"/>
      <c r="F47" s="7"/>
      <c r="G47" s="8"/>
      <c r="H47" s="7"/>
      <c r="I47" s="7"/>
      <c r="J47" s="9"/>
      <c r="K47" s="10"/>
      <c r="L47" s="7"/>
      <c r="M47" s="11"/>
    </row>
    <row r="48" spans="3:13">
      <c r="C48" s="12">
        <v>44325</v>
      </c>
      <c r="D48">
        <v>43</v>
      </c>
      <c r="E48" s="7">
        <f t="shared" ref="E48:E55" si="3">D48/2</f>
        <v>21.5</v>
      </c>
      <c r="F48">
        <v>2400</v>
      </c>
      <c r="G48" s="8">
        <f t="shared" ref="G48:G60" si="4">F48*E48</f>
        <v>51600</v>
      </c>
      <c r="H48">
        <v>4</v>
      </c>
      <c r="I48" s="7" t="s">
        <v>21</v>
      </c>
      <c r="K48" s="13">
        <v>44336</v>
      </c>
      <c r="L48">
        <v>200000</v>
      </c>
      <c r="M48" s="11" t="s">
        <v>171</v>
      </c>
    </row>
    <row r="49" spans="3:13">
      <c r="C49" s="12">
        <v>44332</v>
      </c>
      <c r="D49">
        <v>110</v>
      </c>
      <c r="E49" s="7">
        <f t="shared" si="3"/>
        <v>55</v>
      </c>
      <c r="F49">
        <v>2500</v>
      </c>
      <c r="G49" s="8">
        <f t="shared" si="4"/>
        <v>137500</v>
      </c>
      <c r="H49">
        <v>12</v>
      </c>
      <c r="I49" s="7" t="s">
        <v>21</v>
      </c>
      <c r="K49" s="13">
        <v>44344</v>
      </c>
      <c r="L49">
        <v>200000</v>
      </c>
      <c r="M49" s="11" t="s">
        <v>171</v>
      </c>
    </row>
    <row r="50" spans="3:13">
      <c r="C50" s="12">
        <v>44338</v>
      </c>
      <c r="D50">
        <v>136</v>
      </c>
      <c r="E50" s="15">
        <f t="shared" si="3"/>
        <v>68</v>
      </c>
      <c r="F50">
        <v>2530</v>
      </c>
      <c r="G50" s="8">
        <f t="shared" si="4"/>
        <v>172040</v>
      </c>
      <c r="H50">
        <v>6</v>
      </c>
      <c r="I50" s="7" t="s">
        <v>6</v>
      </c>
      <c r="K50" s="13">
        <v>44353</v>
      </c>
      <c r="L50">
        <v>180000</v>
      </c>
      <c r="M50" s="11" t="s">
        <v>254</v>
      </c>
    </row>
    <row r="51" spans="3:13">
      <c r="C51" s="158">
        <v>44343</v>
      </c>
      <c r="D51">
        <v>91</v>
      </c>
      <c r="E51" s="15">
        <f t="shared" si="3"/>
        <v>45.5</v>
      </c>
      <c r="F51">
        <v>2330</v>
      </c>
      <c r="G51" s="8">
        <f t="shared" si="4"/>
        <v>106015</v>
      </c>
      <c r="H51">
        <v>16</v>
      </c>
      <c r="I51" s="7" t="s">
        <v>6</v>
      </c>
      <c r="K51" s="13">
        <v>44353</v>
      </c>
      <c r="L51">
        <v>20000</v>
      </c>
      <c r="M51" s="11" t="s">
        <v>255</v>
      </c>
    </row>
    <row r="52" spans="3:13">
      <c r="C52" s="12">
        <v>44349</v>
      </c>
      <c r="D52">
        <v>124</v>
      </c>
      <c r="E52" s="7">
        <f t="shared" si="3"/>
        <v>62</v>
      </c>
      <c r="F52">
        <v>2230</v>
      </c>
      <c r="G52" s="16">
        <f t="shared" si="4"/>
        <v>138260</v>
      </c>
      <c r="H52">
        <v>26</v>
      </c>
      <c r="I52" s="7" t="s">
        <v>6</v>
      </c>
      <c r="K52" s="13">
        <v>44374</v>
      </c>
      <c r="L52">
        <v>100000</v>
      </c>
      <c r="M52" s="11" t="s">
        <v>307</v>
      </c>
    </row>
    <row r="53" spans="3:13">
      <c r="C53" s="12">
        <v>44355</v>
      </c>
      <c r="D53">
        <v>47</v>
      </c>
      <c r="E53" s="7">
        <f t="shared" si="3"/>
        <v>23.5</v>
      </c>
      <c r="F53">
        <v>2230</v>
      </c>
      <c r="G53" s="16">
        <f t="shared" si="4"/>
        <v>52405</v>
      </c>
      <c r="H53">
        <v>33</v>
      </c>
      <c r="I53" s="7" t="s">
        <v>6</v>
      </c>
      <c r="K53" s="13">
        <v>44396</v>
      </c>
      <c r="L53">
        <v>30000</v>
      </c>
      <c r="M53" s="11" t="s">
        <v>349</v>
      </c>
    </row>
    <row r="54" spans="3:13">
      <c r="C54" s="12">
        <v>44360</v>
      </c>
      <c r="D54">
        <v>36</v>
      </c>
      <c r="E54" s="7">
        <f t="shared" si="3"/>
        <v>18</v>
      </c>
      <c r="F54">
        <v>1930</v>
      </c>
      <c r="G54" s="16">
        <f t="shared" si="4"/>
        <v>34740</v>
      </c>
      <c r="H54">
        <v>38</v>
      </c>
      <c r="I54" s="7" t="s">
        <v>6</v>
      </c>
      <c r="K54" s="13">
        <v>44411</v>
      </c>
      <c r="L54">
        <v>26735</v>
      </c>
      <c r="M54" s="11" t="s">
        <v>357</v>
      </c>
    </row>
    <row r="55" spans="3:13">
      <c r="C55" s="12">
        <v>44367</v>
      </c>
      <c r="D55">
        <v>36</v>
      </c>
      <c r="E55" s="7">
        <f t="shared" si="3"/>
        <v>18</v>
      </c>
      <c r="F55">
        <v>1880</v>
      </c>
      <c r="G55" s="16">
        <f t="shared" si="4"/>
        <v>33840</v>
      </c>
      <c r="H55">
        <v>42</v>
      </c>
      <c r="I55" s="7" t="s">
        <v>6</v>
      </c>
      <c r="K55" s="13">
        <v>44418</v>
      </c>
      <c r="L55">
        <v>6000</v>
      </c>
      <c r="M55" s="11" t="s">
        <v>357</v>
      </c>
    </row>
    <row r="56" spans="3:13">
      <c r="C56" s="12">
        <v>44379</v>
      </c>
      <c r="D56">
        <v>38</v>
      </c>
      <c r="E56" s="7">
        <v>19</v>
      </c>
      <c r="F56">
        <v>1920</v>
      </c>
      <c r="G56" s="16">
        <f t="shared" si="4"/>
        <v>36480</v>
      </c>
      <c r="H56">
        <v>23</v>
      </c>
      <c r="I56" s="7" t="s">
        <v>118</v>
      </c>
      <c r="K56" s="13"/>
      <c r="M56" s="11"/>
    </row>
    <row r="57" spans="3:13">
      <c r="C57" s="12">
        <v>44537</v>
      </c>
      <c r="D57">
        <v>36</v>
      </c>
      <c r="E57" s="7">
        <f>D57/2</f>
        <v>18</v>
      </c>
      <c r="F57">
        <v>2000</v>
      </c>
      <c r="G57" s="16">
        <f t="shared" si="4"/>
        <v>36000</v>
      </c>
      <c r="H57">
        <v>60</v>
      </c>
      <c r="I57" s="7" t="s">
        <v>6</v>
      </c>
      <c r="K57" s="13">
        <v>44203</v>
      </c>
      <c r="L57">
        <v>125000</v>
      </c>
      <c r="M57" s="11" t="s">
        <v>633</v>
      </c>
    </row>
    <row r="58" spans="3:13">
      <c r="C58" s="12">
        <v>44553</v>
      </c>
      <c r="D58">
        <v>65</v>
      </c>
      <c r="E58" s="7">
        <f>D58/2</f>
        <v>32.5</v>
      </c>
      <c r="F58">
        <v>1650</v>
      </c>
      <c r="G58" s="16">
        <f t="shared" si="4"/>
        <v>53625</v>
      </c>
      <c r="H58">
        <v>81</v>
      </c>
      <c r="I58" s="7" t="s">
        <v>6</v>
      </c>
      <c r="K58" s="13">
        <v>44203</v>
      </c>
      <c r="L58">
        <v>117000</v>
      </c>
      <c r="M58" s="11" t="s">
        <v>634</v>
      </c>
    </row>
    <row r="59" spans="3:13">
      <c r="C59" s="12">
        <v>44558</v>
      </c>
      <c r="D59">
        <v>100</v>
      </c>
      <c r="E59" s="7">
        <f>D59/2</f>
        <v>50</v>
      </c>
      <c r="F59">
        <v>1670</v>
      </c>
      <c r="G59" s="16">
        <f t="shared" si="4"/>
        <v>83500</v>
      </c>
      <c r="H59">
        <v>88</v>
      </c>
      <c r="I59" s="7" t="s">
        <v>6</v>
      </c>
      <c r="K59" s="13"/>
      <c r="M59" s="11"/>
    </row>
    <row r="60" spans="3:13">
      <c r="C60" s="12">
        <v>44563</v>
      </c>
      <c r="D60">
        <v>148</v>
      </c>
      <c r="E60" s="7">
        <f>D60/2</f>
        <v>74</v>
      </c>
      <c r="F60">
        <v>1740</v>
      </c>
      <c r="G60" s="16">
        <f t="shared" si="4"/>
        <v>128760</v>
      </c>
      <c r="H60">
        <v>97</v>
      </c>
      <c r="I60" s="7" t="s">
        <v>6</v>
      </c>
      <c r="K60" s="13"/>
      <c r="M60" s="11"/>
    </row>
    <row r="61" spans="3:13">
      <c r="C61" s="12"/>
      <c r="E61" s="7"/>
      <c r="G61" s="16"/>
      <c r="I61" s="7"/>
      <c r="K61" s="13"/>
      <c r="M61" s="11"/>
    </row>
    <row r="62" spans="3:13">
      <c r="C62" s="12"/>
      <c r="E62" s="7"/>
      <c r="G62" s="16"/>
      <c r="I62" s="7"/>
      <c r="K62" s="13"/>
      <c r="M62" s="11"/>
    </row>
    <row r="63" spans="3:13">
      <c r="C63" s="12"/>
      <c r="E63" s="7"/>
      <c r="G63" s="16"/>
      <c r="I63" s="7"/>
      <c r="K63" s="13"/>
      <c r="M63" s="11"/>
    </row>
    <row r="64" spans="3:13">
      <c r="C64" s="12"/>
      <c r="E64" s="7"/>
      <c r="G64" s="16"/>
      <c r="I64" s="7"/>
      <c r="K64" s="13"/>
      <c r="M64" s="11"/>
    </row>
    <row r="65" spans="2:13" ht="13.2" customHeight="1">
      <c r="C65" s="12"/>
      <c r="G65" s="14"/>
      <c r="K65" s="13"/>
      <c r="M65" s="11"/>
    </row>
    <row r="66" spans="2:13">
      <c r="C66" s="12"/>
      <c r="E66" s="15"/>
      <c r="F66" s="15"/>
      <c r="G66" s="16"/>
      <c r="K66" s="13"/>
      <c r="L66" s="16"/>
      <c r="M66" s="11"/>
    </row>
    <row r="67" spans="2:13">
      <c r="C67" s="17" t="s">
        <v>7</v>
      </c>
      <c r="D67" s="15">
        <f>SUM(D47:D66)</f>
        <v>1010</v>
      </c>
      <c r="E67" s="15">
        <f>SUM(E47:E66)</f>
        <v>505</v>
      </c>
      <c r="F67" s="15"/>
      <c r="G67" s="15">
        <f>SUM(G47:G66)</f>
        <v>1064765</v>
      </c>
      <c r="H67" s="15"/>
      <c r="I67" s="15"/>
      <c r="J67" s="15"/>
      <c r="K67" s="18" t="s">
        <v>8</v>
      </c>
      <c r="L67" s="15">
        <f>SUM(L47:L66)</f>
        <v>1004735</v>
      </c>
      <c r="M67" s="11"/>
    </row>
    <row r="68" spans="2:13">
      <c r="C68" s="19"/>
      <c r="D68" s="20"/>
      <c r="E68" s="20"/>
      <c r="F68" s="21" t="s">
        <v>9</v>
      </c>
      <c r="G68" s="159">
        <f>G67-L67</f>
        <v>60030</v>
      </c>
      <c r="H68" s="20"/>
      <c r="I68" s="20"/>
      <c r="J68" s="20"/>
      <c r="K68" s="23"/>
      <c r="L68" s="20"/>
      <c r="M68" s="24"/>
    </row>
    <row r="72" spans="2:13" ht="23.4">
      <c r="C72" s="230" t="s">
        <v>24</v>
      </c>
      <c r="D72" s="231"/>
      <c r="E72" s="231"/>
      <c r="F72" s="231"/>
      <c r="G72" s="231"/>
      <c r="H72" s="231"/>
      <c r="I72" s="231"/>
      <c r="J72" s="231"/>
      <c r="K72" s="231"/>
      <c r="L72" s="231"/>
      <c r="M72" s="232"/>
    </row>
    <row r="73" spans="2:13">
      <c r="C73" s="1" t="s">
        <v>0</v>
      </c>
      <c r="D73" s="2" t="s">
        <v>1</v>
      </c>
      <c r="E73" s="2" t="s">
        <v>2</v>
      </c>
      <c r="F73" s="2" t="s">
        <v>3</v>
      </c>
      <c r="G73" s="3" t="s">
        <v>4</v>
      </c>
      <c r="H73" s="2" t="s">
        <v>5</v>
      </c>
      <c r="I73" s="2" t="s">
        <v>19</v>
      </c>
      <c r="J73" s="2"/>
      <c r="K73" s="4" t="s">
        <v>0</v>
      </c>
      <c r="L73" s="2" t="s">
        <v>4</v>
      </c>
      <c r="M73" s="5"/>
    </row>
    <row r="74" spans="2:13">
      <c r="C74" s="6"/>
      <c r="D74" s="7"/>
      <c r="E74" s="7"/>
      <c r="F74" s="7"/>
      <c r="G74" s="8"/>
      <c r="H74" s="7"/>
      <c r="I74" s="7"/>
      <c r="J74" s="9"/>
      <c r="K74" s="10"/>
      <c r="L74" s="7"/>
      <c r="M74" s="11"/>
    </row>
    <row r="75" spans="2:13">
      <c r="C75" s="12">
        <v>44325</v>
      </c>
      <c r="D75">
        <v>76</v>
      </c>
      <c r="E75" s="7">
        <f t="shared" ref="E75:E87" si="5">D75/2</f>
        <v>38</v>
      </c>
      <c r="F75">
        <v>2400</v>
      </c>
      <c r="G75" s="8">
        <f t="shared" ref="G75:G87" si="6">F75*E75</f>
        <v>91200</v>
      </c>
      <c r="H75">
        <v>4</v>
      </c>
      <c r="I75" s="7" t="s">
        <v>21</v>
      </c>
      <c r="K75" s="13">
        <v>44344</v>
      </c>
      <c r="L75">
        <v>500000</v>
      </c>
      <c r="M75" s="11" t="s">
        <v>174</v>
      </c>
    </row>
    <row r="76" spans="2:13">
      <c r="C76" s="12">
        <v>44332</v>
      </c>
      <c r="D76">
        <v>84</v>
      </c>
      <c r="E76" s="7">
        <f t="shared" si="5"/>
        <v>42</v>
      </c>
      <c r="F76">
        <v>2500</v>
      </c>
      <c r="G76" s="8">
        <f t="shared" si="6"/>
        <v>105000</v>
      </c>
      <c r="H76">
        <v>12</v>
      </c>
      <c r="I76" s="7" t="s">
        <v>21</v>
      </c>
      <c r="K76" s="13">
        <v>44397</v>
      </c>
      <c r="L76">
        <v>260000</v>
      </c>
      <c r="M76" s="11" t="s">
        <v>343</v>
      </c>
    </row>
    <row r="77" spans="2:13">
      <c r="C77" s="12">
        <v>44335</v>
      </c>
      <c r="D77">
        <v>59</v>
      </c>
      <c r="E77" s="7">
        <f t="shared" si="5"/>
        <v>29.5</v>
      </c>
      <c r="F77">
        <v>2550</v>
      </c>
      <c r="G77" s="8">
        <f t="shared" si="6"/>
        <v>75225</v>
      </c>
      <c r="H77">
        <v>6</v>
      </c>
      <c r="I77" s="7" t="s">
        <v>118</v>
      </c>
      <c r="K77" s="13">
        <v>44431</v>
      </c>
      <c r="L77">
        <v>30000</v>
      </c>
      <c r="M77" s="11" t="s">
        <v>406</v>
      </c>
    </row>
    <row r="78" spans="2:13">
      <c r="B78">
        <v>2550</v>
      </c>
      <c r="C78" s="12">
        <v>44338</v>
      </c>
      <c r="D78">
        <v>120</v>
      </c>
      <c r="E78" s="7">
        <f t="shared" si="5"/>
        <v>60</v>
      </c>
      <c r="F78">
        <v>2500</v>
      </c>
      <c r="G78" s="8">
        <f t="shared" si="6"/>
        <v>150000</v>
      </c>
      <c r="H78">
        <v>6</v>
      </c>
      <c r="I78" s="7" t="s">
        <v>6</v>
      </c>
      <c r="K78" s="13"/>
      <c r="M78" s="11"/>
    </row>
    <row r="79" spans="2:13">
      <c r="C79" s="12">
        <v>44343</v>
      </c>
      <c r="D79">
        <v>70</v>
      </c>
      <c r="E79" s="7">
        <f t="shared" si="5"/>
        <v>35</v>
      </c>
      <c r="F79">
        <v>2300</v>
      </c>
      <c r="G79" s="14">
        <f t="shared" si="6"/>
        <v>80500</v>
      </c>
      <c r="H79">
        <v>16</v>
      </c>
      <c r="I79" s="7" t="s">
        <v>6</v>
      </c>
      <c r="K79" s="13"/>
      <c r="M79" s="11"/>
    </row>
    <row r="80" spans="2:13">
      <c r="C80" s="12">
        <v>44349</v>
      </c>
      <c r="D80">
        <v>114</v>
      </c>
      <c r="E80" s="7">
        <f t="shared" si="5"/>
        <v>57</v>
      </c>
      <c r="F80">
        <v>2200</v>
      </c>
      <c r="G80" s="14">
        <f t="shared" si="6"/>
        <v>125400</v>
      </c>
      <c r="H80">
        <v>26</v>
      </c>
      <c r="I80" s="7" t="s">
        <v>6</v>
      </c>
      <c r="K80" s="13"/>
      <c r="M80" s="11"/>
    </row>
    <row r="81" spans="3:13">
      <c r="C81" s="12">
        <v>44355</v>
      </c>
      <c r="D81">
        <v>50</v>
      </c>
      <c r="E81" s="7">
        <f t="shared" si="5"/>
        <v>25</v>
      </c>
      <c r="F81">
        <v>2200</v>
      </c>
      <c r="G81" s="14">
        <f t="shared" si="6"/>
        <v>55000</v>
      </c>
      <c r="H81">
        <v>33</v>
      </c>
      <c r="I81" s="7" t="s">
        <v>6</v>
      </c>
      <c r="K81" s="13"/>
      <c r="M81" s="11"/>
    </row>
    <row r="82" spans="3:13">
      <c r="C82" s="12">
        <v>44360</v>
      </c>
      <c r="D82">
        <v>42</v>
      </c>
      <c r="E82" s="7">
        <f t="shared" si="5"/>
        <v>21</v>
      </c>
      <c r="F82">
        <v>1900</v>
      </c>
      <c r="G82" s="14">
        <f t="shared" si="6"/>
        <v>39900</v>
      </c>
      <c r="H82">
        <v>38</v>
      </c>
      <c r="I82" s="7" t="s">
        <v>6</v>
      </c>
      <c r="K82" s="13"/>
      <c r="M82" s="11"/>
    </row>
    <row r="83" spans="3:13">
      <c r="C83" s="12">
        <v>44367</v>
      </c>
      <c r="D83">
        <v>37</v>
      </c>
      <c r="E83" s="7">
        <f t="shared" si="5"/>
        <v>18.5</v>
      </c>
      <c r="F83">
        <v>1850</v>
      </c>
      <c r="G83" s="14">
        <f t="shared" si="6"/>
        <v>34225</v>
      </c>
      <c r="H83">
        <v>42</v>
      </c>
      <c r="I83" s="7" t="s">
        <v>6</v>
      </c>
      <c r="K83" s="13"/>
      <c r="M83" s="11"/>
    </row>
    <row r="84" spans="3:13">
      <c r="C84" s="12">
        <v>44379</v>
      </c>
      <c r="D84">
        <v>36</v>
      </c>
      <c r="E84" s="7">
        <f t="shared" si="5"/>
        <v>18</v>
      </c>
      <c r="F84">
        <v>1900</v>
      </c>
      <c r="G84" s="14">
        <f t="shared" si="6"/>
        <v>34200</v>
      </c>
      <c r="H84">
        <v>23</v>
      </c>
      <c r="I84" s="7" t="s">
        <v>118</v>
      </c>
      <c r="K84" s="13"/>
      <c r="M84" s="11"/>
    </row>
    <row r="85" spans="3:13">
      <c r="C85" s="12">
        <v>44537</v>
      </c>
      <c r="D85">
        <v>44</v>
      </c>
      <c r="E85" s="7">
        <f t="shared" si="5"/>
        <v>22</v>
      </c>
      <c r="F85">
        <v>2000</v>
      </c>
      <c r="G85" s="14">
        <f t="shared" si="6"/>
        <v>44000</v>
      </c>
      <c r="H85">
        <v>60</v>
      </c>
      <c r="I85" s="7" t="s">
        <v>6</v>
      </c>
      <c r="K85" s="13"/>
      <c r="M85" s="11"/>
    </row>
    <row r="86" spans="3:13">
      <c r="C86" s="12">
        <v>44553</v>
      </c>
      <c r="D86">
        <v>62</v>
      </c>
      <c r="E86" s="7">
        <f t="shared" si="5"/>
        <v>31</v>
      </c>
      <c r="F86">
        <v>1650</v>
      </c>
      <c r="G86" s="14">
        <f t="shared" si="6"/>
        <v>51150</v>
      </c>
      <c r="H86">
        <v>81</v>
      </c>
      <c r="I86" s="7" t="s">
        <v>6</v>
      </c>
      <c r="K86" s="13"/>
      <c r="M86" s="11"/>
    </row>
    <row r="87" spans="3:13">
      <c r="C87" s="12">
        <v>44563</v>
      </c>
      <c r="D87">
        <v>112</v>
      </c>
      <c r="E87" s="7">
        <f t="shared" si="5"/>
        <v>56</v>
      </c>
      <c r="F87">
        <v>1740</v>
      </c>
      <c r="G87" s="14">
        <f t="shared" si="6"/>
        <v>97440</v>
      </c>
      <c r="H87">
        <v>97</v>
      </c>
      <c r="I87" s="7" t="s">
        <v>6</v>
      </c>
      <c r="K87" s="13"/>
      <c r="M87" s="11"/>
    </row>
    <row r="88" spans="3:13">
      <c r="C88" s="12"/>
      <c r="E88" s="7"/>
      <c r="G88" s="14"/>
      <c r="I88" s="7"/>
      <c r="K88" s="13"/>
      <c r="M88" s="11"/>
    </row>
    <row r="89" spans="3:13">
      <c r="C89" s="12"/>
      <c r="E89" s="7"/>
      <c r="G89" s="14"/>
      <c r="I89" s="7"/>
      <c r="K89" s="13"/>
      <c r="M89" s="11"/>
    </row>
    <row r="90" spans="3:13">
      <c r="C90" s="12"/>
      <c r="E90" s="15"/>
      <c r="F90" s="15"/>
      <c r="G90" s="16"/>
      <c r="K90" s="13"/>
      <c r="L90" s="16"/>
      <c r="M90" s="11"/>
    </row>
    <row r="91" spans="3:13">
      <c r="C91" s="17" t="s">
        <v>7</v>
      </c>
      <c r="D91" s="15">
        <f>SUM(D74:D90)</f>
        <v>906</v>
      </c>
      <c r="E91" s="15">
        <f>SUM(E74:E90)</f>
        <v>453</v>
      </c>
      <c r="F91" s="15"/>
      <c r="G91" s="15">
        <f>SUM(G74:G90)</f>
        <v>983240</v>
      </c>
      <c r="H91" s="15"/>
      <c r="I91" s="15"/>
      <c r="J91" s="15"/>
      <c r="K91" s="18" t="s">
        <v>8</v>
      </c>
      <c r="L91" s="15">
        <f>SUM(L74:L90)</f>
        <v>790000</v>
      </c>
      <c r="M91" s="11"/>
    </row>
    <row r="92" spans="3:13">
      <c r="C92" s="19"/>
      <c r="D92" s="20"/>
      <c r="E92" s="20"/>
      <c r="F92" s="21" t="s">
        <v>9</v>
      </c>
      <c r="G92" s="22">
        <f>G91-L91</f>
        <v>193240</v>
      </c>
      <c r="H92" s="20"/>
      <c r="I92" s="20"/>
      <c r="J92" s="20"/>
      <c r="K92" s="23"/>
      <c r="L92" s="20"/>
      <c r="M92" s="24"/>
    </row>
    <row r="96" spans="3:13" ht="23.4">
      <c r="C96" s="230" t="s">
        <v>25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2"/>
    </row>
    <row r="97" spans="3:17">
      <c r="C97" s="1" t="s">
        <v>0</v>
      </c>
      <c r="D97" s="2" t="s">
        <v>1</v>
      </c>
      <c r="E97" s="2" t="s">
        <v>2</v>
      </c>
      <c r="F97" s="2" t="s">
        <v>3</v>
      </c>
      <c r="G97" s="3" t="s">
        <v>4</v>
      </c>
      <c r="H97" s="2" t="s">
        <v>5</v>
      </c>
      <c r="I97" s="2" t="s">
        <v>19</v>
      </c>
      <c r="J97" s="2"/>
      <c r="K97" s="4" t="s">
        <v>0</v>
      </c>
      <c r="L97" s="2" t="s">
        <v>4</v>
      </c>
      <c r="M97" s="5"/>
    </row>
    <row r="98" spans="3:17">
      <c r="C98" s="6"/>
      <c r="D98" s="7"/>
      <c r="E98" s="7"/>
      <c r="F98" s="7"/>
      <c r="G98" s="8"/>
      <c r="H98" s="7"/>
      <c r="I98" s="7"/>
      <c r="J98" s="9"/>
      <c r="K98" s="10"/>
      <c r="L98" s="7"/>
      <c r="M98" s="11"/>
    </row>
    <row r="99" spans="3:17">
      <c r="C99" s="12">
        <v>44326</v>
      </c>
      <c r="D99">
        <v>88</v>
      </c>
      <c r="E99" s="7">
        <f t="shared" ref="E99:E111" si="7">D99/2</f>
        <v>44</v>
      </c>
      <c r="F99">
        <v>2300</v>
      </c>
      <c r="G99" s="8">
        <f t="shared" ref="G99:G114" si="8">F99*E99</f>
        <v>101200</v>
      </c>
      <c r="H99">
        <v>5</v>
      </c>
      <c r="I99" s="7" t="s">
        <v>21</v>
      </c>
      <c r="K99" s="13">
        <v>44335</v>
      </c>
      <c r="L99">
        <v>100000</v>
      </c>
      <c r="M99" s="11" t="s">
        <v>120</v>
      </c>
    </row>
    <row r="100" spans="3:17">
      <c r="C100" s="12">
        <v>44335</v>
      </c>
      <c r="D100">
        <v>64</v>
      </c>
      <c r="E100" s="7">
        <f t="shared" si="7"/>
        <v>32</v>
      </c>
      <c r="F100">
        <v>2450</v>
      </c>
      <c r="G100" s="8">
        <f t="shared" si="8"/>
        <v>78400</v>
      </c>
      <c r="H100">
        <v>6</v>
      </c>
      <c r="I100" s="7" t="s">
        <v>118</v>
      </c>
      <c r="K100" s="13">
        <v>44349</v>
      </c>
      <c r="L100">
        <v>100000</v>
      </c>
      <c r="M100" s="11" t="s">
        <v>239</v>
      </c>
    </row>
    <row r="101" spans="3:17">
      <c r="C101" s="12">
        <v>44339</v>
      </c>
      <c r="D101">
        <v>78</v>
      </c>
      <c r="E101" s="7">
        <f t="shared" si="7"/>
        <v>39</v>
      </c>
      <c r="F101">
        <v>2450</v>
      </c>
      <c r="G101" s="8">
        <f t="shared" si="8"/>
        <v>95550</v>
      </c>
      <c r="H101">
        <v>12</v>
      </c>
      <c r="I101" s="7" t="s">
        <v>6</v>
      </c>
      <c r="K101" s="13">
        <v>44353</v>
      </c>
      <c r="L101">
        <v>200000</v>
      </c>
      <c r="M101" s="11" t="s">
        <v>257</v>
      </c>
    </row>
    <row r="102" spans="3:17">
      <c r="C102" s="12">
        <v>44345</v>
      </c>
      <c r="D102">
        <v>62</v>
      </c>
      <c r="E102" s="7">
        <f t="shared" si="7"/>
        <v>31</v>
      </c>
      <c r="F102">
        <v>2300</v>
      </c>
      <c r="G102" s="8">
        <f t="shared" si="8"/>
        <v>71300</v>
      </c>
      <c r="H102">
        <v>20</v>
      </c>
      <c r="I102" s="7" t="s">
        <v>6</v>
      </c>
      <c r="K102" s="13">
        <v>44365</v>
      </c>
      <c r="L102">
        <v>200000</v>
      </c>
      <c r="M102" s="11" t="s">
        <v>262</v>
      </c>
    </row>
    <row r="103" spans="3:17">
      <c r="C103" s="12">
        <v>44350</v>
      </c>
      <c r="D103">
        <v>200</v>
      </c>
      <c r="E103" s="7">
        <f t="shared" si="7"/>
        <v>100</v>
      </c>
      <c r="F103">
        <v>2200</v>
      </c>
      <c r="G103" s="14">
        <f t="shared" si="8"/>
        <v>220000</v>
      </c>
      <c r="H103">
        <v>27</v>
      </c>
      <c r="I103" s="7" t="s">
        <v>6</v>
      </c>
      <c r="K103" s="13">
        <v>44385</v>
      </c>
      <c r="L103">
        <v>100000</v>
      </c>
      <c r="M103" s="11" t="s">
        <v>239</v>
      </c>
    </row>
    <row r="104" spans="3:17">
      <c r="C104" s="12">
        <v>44355</v>
      </c>
      <c r="D104">
        <v>86</v>
      </c>
      <c r="E104" s="7">
        <f t="shared" si="7"/>
        <v>43</v>
      </c>
      <c r="F104">
        <v>2200</v>
      </c>
      <c r="G104" s="14">
        <f t="shared" si="8"/>
        <v>94600</v>
      </c>
      <c r="H104">
        <v>33</v>
      </c>
      <c r="I104" s="7" t="s">
        <v>6</v>
      </c>
      <c r="K104" s="13">
        <v>44385</v>
      </c>
      <c r="L104">
        <v>100000</v>
      </c>
      <c r="M104" s="11" t="s">
        <v>340</v>
      </c>
    </row>
    <row r="105" spans="3:17">
      <c r="C105" s="12">
        <v>44360</v>
      </c>
      <c r="D105">
        <v>101</v>
      </c>
      <c r="E105" s="7">
        <f t="shared" si="7"/>
        <v>50.5</v>
      </c>
      <c r="F105">
        <v>1900</v>
      </c>
      <c r="G105" s="14">
        <f t="shared" si="8"/>
        <v>95950</v>
      </c>
      <c r="H105">
        <v>38</v>
      </c>
      <c r="I105" s="7" t="s">
        <v>6</v>
      </c>
      <c r="K105" s="13">
        <v>44386</v>
      </c>
      <c r="L105">
        <v>29150</v>
      </c>
      <c r="M105" s="11" t="s">
        <v>340</v>
      </c>
    </row>
    <row r="106" spans="3:17">
      <c r="C106" s="12">
        <v>44367</v>
      </c>
      <c r="D106">
        <v>40</v>
      </c>
      <c r="E106" s="7">
        <f t="shared" si="7"/>
        <v>20</v>
      </c>
      <c r="F106">
        <v>1850</v>
      </c>
      <c r="G106" s="14">
        <f t="shared" si="8"/>
        <v>37000</v>
      </c>
      <c r="H106">
        <v>42</v>
      </c>
      <c r="I106" s="7" t="s">
        <v>6</v>
      </c>
      <c r="K106" s="13">
        <v>44544</v>
      </c>
      <c r="L106">
        <v>100000</v>
      </c>
      <c r="M106" s="11" t="s">
        <v>239</v>
      </c>
    </row>
    <row r="107" spans="3:17">
      <c r="C107" s="12">
        <v>44379</v>
      </c>
      <c r="D107">
        <v>37</v>
      </c>
      <c r="E107" s="7">
        <f t="shared" si="7"/>
        <v>18.5</v>
      </c>
      <c r="F107">
        <v>1900</v>
      </c>
      <c r="G107" s="14">
        <f t="shared" si="8"/>
        <v>35150</v>
      </c>
      <c r="H107">
        <v>23</v>
      </c>
      <c r="I107" s="7" t="s">
        <v>118</v>
      </c>
      <c r="K107" s="13">
        <v>44548</v>
      </c>
      <c r="L107">
        <v>100000</v>
      </c>
      <c r="M107" s="11" t="s">
        <v>535</v>
      </c>
      <c r="Q107">
        <v>74</v>
      </c>
    </row>
    <row r="108" spans="3:17">
      <c r="C108" s="12">
        <v>44537</v>
      </c>
      <c r="D108">
        <v>100</v>
      </c>
      <c r="E108" s="7">
        <f t="shared" si="7"/>
        <v>50</v>
      </c>
      <c r="F108">
        <v>2000</v>
      </c>
      <c r="G108" s="14">
        <f t="shared" si="8"/>
        <v>100000</v>
      </c>
      <c r="H108">
        <v>60</v>
      </c>
      <c r="I108" s="7" t="s">
        <v>6</v>
      </c>
      <c r="K108" s="13">
        <v>44557</v>
      </c>
      <c r="L108">
        <v>100000</v>
      </c>
      <c r="M108" s="11" t="s">
        <v>585</v>
      </c>
      <c r="Q108">
        <v>60</v>
      </c>
    </row>
    <row r="109" spans="3:17">
      <c r="C109" s="12">
        <v>44545</v>
      </c>
      <c r="D109">
        <v>165</v>
      </c>
      <c r="E109" s="7">
        <f t="shared" si="7"/>
        <v>82.5</v>
      </c>
      <c r="F109">
        <v>1850</v>
      </c>
      <c r="G109" s="14">
        <f t="shared" si="8"/>
        <v>152625</v>
      </c>
      <c r="H109">
        <v>90</v>
      </c>
      <c r="I109" s="7" t="s">
        <v>118</v>
      </c>
      <c r="K109" s="13">
        <v>44564</v>
      </c>
      <c r="L109">
        <v>200000</v>
      </c>
      <c r="M109" s="11" t="s">
        <v>607</v>
      </c>
      <c r="Q109">
        <v>32</v>
      </c>
    </row>
    <row r="110" spans="3:17">
      <c r="C110" s="12">
        <v>44549</v>
      </c>
      <c r="D110">
        <v>86</v>
      </c>
      <c r="E110" s="7">
        <f t="shared" si="7"/>
        <v>43</v>
      </c>
      <c r="F110">
        <v>1750</v>
      </c>
      <c r="G110" s="14">
        <f t="shared" si="8"/>
        <v>75250</v>
      </c>
      <c r="H110">
        <v>75</v>
      </c>
      <c r="I110" s="7" t="s">
        <v>6</v>
      </c>
      <c r="K110" s="13"/>
      <c r="M110" s="11"/>
      <c r="Q110">
        <v>86</v>
      </c>
    </row>
    <row r="111" spans="3:17">
      <c r="C111" s="12">
        <v>44553</v>
      </c>
      <c r="D111">
        <v>59</v>
      </c>
      <c r="E111" s="7">
        <f t="shared" si="7"/>
        <v>29.5</v>
      </c>
      <c r="F111">
        <v>1650</v>
      </c>
      <c r="G111" s="14">
        <f t="shared" si="8"/>
        <v>48675</v>
      </c>
      <c r="H111">
        <v>80</v>
      </c>
      <c r="I111" s="7" t="s">
        <v>6</v>
      </c>
      <c r="K111" s="13"/>
      <c r="M111" s="11"/>
    </row>
    <row r="112" spans="3:17">
      <c r="C112" s="12">
        <v>44924</v>
      </c>
      <c r="D112">
        <v>208</v>
      </c>
      <c r="E112" s="7">
        <v>105.1</v>
      </c>
      <c r="F112">
        <v>1650</v>
      </c>
      <c r="G112" s="14">
        <f t="shared" si="8"/>
        <v>173415</v>
      </c>
      <c r="H112">
        <v>91</v>
      </c>
      <c r="I112" s="7" t="s">
        <v>6</v>
      </c>
      <c r="K112" s="13"/>
      <c r="M112" s="11"/>
    </row>
    <row r="113" spans="3:13">
      <c r="C113" s="12">
        <v>44563</v>
      </c>
      <c r="D113">
        <v>98</v>
      </c>
      <c r="E113" s="7">
        <v>50</v>
      </c>
      <c r="F113">
        <v>1700</v>
      </c>
      <c r="G113" s="14">
        <f t="shared" si="8"/>
        <v>85000</v>
      </c>
      <c r="H113">
        <v>97</v>
      </c>
      <c r="I113" s="7" t="s">
        <v>6</v>
      </c>
      <c r="K113" s="13"/>
      <c r="M113" s="11"/>
    </row>
    <row r="114" spans="3:13">
      <c r="C114" s="12">
        <v>44566</v>
      </c>
      <c r="D114">
        <v>97</v>
      </c>
      <c r="E114" s="7">
        <v>51.2</v>
      </c>
      <c r="F114">
        <v>1750</v>
      </c>
      <c r="G114" s="14">
        <f t="shared" si="8"/>
        <v>89600</v>
      </c>
      <c r="H114">
        <v>102</v>
      </c>
      <c r="I114" s="7" t="s">
        <v>6</v>
      </c>
      <c r="K114" s="13"/>
      <c r="M114" s="11"/>
    </row>
    <row r="115" spans="3:13">
      <c r="C115" s="12"/>
      <c r="E115" s="7"/>
      <c r="G115" s="14"/>
      <c r="I115" s="7"/>
      <c r="K115" s="13"/>
      <c r="M115" s="11"/>
    </row>
    <row r="116" spans="3:13">
      <c r="C116" s="12"/>
      <c r="E116" s="15"/>
      <c r="F116" s="15"/>
      <c r="G116" s="16"/>
      <c r="K116" s="13"/>
      <c r="L116" s="16"/>
      <c r="M116" s="11"/>
    </row>
    <row r="117" spans="3:13">
      <c r="C117" s="17" t="s">
        <v>7</v>
      </c>
      <c r="D117" s="15">
        <f>SUM(D98:D116)</f>
        <v>1569</v>
      </c>
      <c r="E117" s="15">
        <f>SUM(E98:E116)</f>
        <v>789.30000000000007</v>
      </c>
      <c r="F117" s="15"/>
      <c r="G117" s="15">
        <f>SUM(G98:G116)</f>
        <v>1553715</v>
      </c>
      <c r="H117" s="15"/>
      <c r="I117" s="15"/>
      <c r="J117" s="15"/>
      <c r="K117" s="18" t="s">
        <v>8</v>
      </c>
      <c r="L117" s="15">
        <f>SUM(L98:L116)</f>
        <v>1329150</v>
      </c>
      <c r="M117" s="11"/>
    </row>
    <row r="118" spans="3:13">
      <c r="C118" s="19"/>
      <c r="D118" s="20"/>
      <c r="E118" s="20"/>
      <c r="F118" s="21" t="s">
        <v>9</v>
      </c>
      <c r="G118" s="22">
        <f>G117-L117</f>
        <v>224565</v>
      </c>
      <c r="H118" s="20"/>
      <c r="I118" s="20"/>
      <c r="J118" s="20"/>
      <c r="K118" s="23"/>
      <c r="L118" s="20"/>
      <c r="M118" s="24"/>
    </row>
    <row r="122" spans="3:13" ht="23.4">
      <c r="C122" s="230" t="s">
        <v>26</v>
      </c>
      <c r="D122" s="231"/>
      <c r="E122" s="231"/>
      <c r="F122" s="231"/>
      <c r="G122" s="231"/>
      <c r="H122" s="231"/>
      <c r="I122" s="231"/>
      <c r="J122" s="231"/>
      <c r="K122" s="231"/>
      <c r="L122" s="231"/>
      <c r="M122" s="232"/>
    </row>
    <row r="123" spans="3:13">
      <c r="C123" s="1" t="s">
        <v>0</v>
      </c>
      <c r="D123" s="2" t="s">
        <v>1</v>
      </c>
      <c r="E123" s="2" t="s">
        <v>2</v>
      </c>
      <c r="F123" s="2" t="s">
        <v>3</v>
      </c>
      <c r="G123" s="3" t="s">
        <v>4</v>
      </c>
      <c r="H123" s="2" t="s">
        <v>5</v>
      </c>
      <c r="I123" s="2" t="s">
        <v>19</v>
      </c>
      <c r="J123" s="2"/>
      <c r="K123" s="4" t="s">
        <v>0</v>
      </c>
      <c r="L123" s="2" t="s">
        <v>4</v>
      </c>
      <c r="M123" s="5"/>
    </row>
    <row r="124" spans="3:13">
      <c r="C124" s="6"/>
      <c r="D124" s="7"/>
      <c r="E124" s="7"/>
      <c r="F124" s="7"/>
      <c r="G124" s="8"/>
      <c r="H124" s="7"/>
      <c r="I124" s="7"/>
      <c r="J124" s="9"/>
      <c r="K124" s="10"/>
      <c r="L124" s="7"/>
      <c r="M124" s="11"/>
    </row>
    <row r="125" spans="3:13">
      <c r="C125" s="12">
        <v>44326</v>
      </c>
      <c r="D125">
        <v>30</v>
      </c>
      <c r="E125" s="7">
        <f t="shared" ref="E125:E138" si="9">D125/2</f>
        <v>15</v>
      </c>
      <c r="F125">
        <v>2300</v>
      </c>
      <c r="G125" s="8">
        <f t="shared" ref="G125:G138" si="10">F125*E125</f>
        <v>34500</v>
      </c>
      <c r="H125">
        <v>5</v>
      </c>
      <c r="I125" s="7" t="s">
        <v>21</v>
      </c>
      <c r="K125" s="13">
        <v>44335</v>
      </c>
      <c r="L125">
        <v>68800</v>
      </c>
      <c r="M125" s="11" t="s">
        <v>119</v>
      </c>
    </row>
    <row r="126" spans="3:13">
      <c r="C126" s="12">
        <v>44335</v>
      </c>
      <c r="D126">
        <v>28</v>
      </c>
      <c r="E126" s="7">
        <f t="shared" si="9"/>
        <v>14</v>
      </c>
      <c r="F126">
        <v>2450</v>
      </c>
      <c r="G126" s="8">
        <f t="shared" si="10"/>
        <v>34300</v>
      </c>
      <c r="H126">
        <v>6</v>
      </c>
      <c r="I126" s="7" t="s">
        <v>118</v>
      </c>
      <c r="K126" s="13">
        <v>44347</v>
      </c>
      <c r="L126">
        <v>100000</v>
      </c>
      <c r="M126" s="11" t="s">
        <v>119</v>
      </c>
    </row>
    <row r="127" spans="3:13">
      <c r="C127" s="12">
        <v>44339</v>
      </c>
      <c r="D127">
        <v>20</v>
      </c>
      <c r="E127" s="7">
        <f t="shared" si="9"/>
        <v>10</v>
      </c>
      <c r="F127">
        <v>2450</v>
      </c>
      <c r="G127" s="8">
        <f t="shared" si="10"/>
        <v>24500</v>
      </c>
      <c r="H127">
        <v>12</v>
      </c>
      <c r="I127" s="7" t="s">
        <v>6</v>
      </c>
      <c r="K127" s="13">
        <v>44363</v>
      </c>
      <c r="L127">
        <v>100000</v>
      </c>
      <c r="M127" s="11" t="s">
        <v>119</v>
      </c>
    </row>
    <row r="128" spans="3:13">
      <c r="C128" s="12">
        <v>44345</v>
      </c>
      <c r="D128">
        <v>83</v>
      </c>
      <c r="E128" s="7">
        <f t="shared" si="9"/>
        <v>41.5</v>
      </c>
      <c r="F128">
        <v>2300</v>
      </c>
      <c r="G128" s="8">
        <f t="shared" si="10"/>
        <v>95450</v>
      </c>
      <c r="H128">
        <v>20</v>
      </c>
      <c r="I128" s="7" t="s">
        <v>6</v>
      </c>
      <c r="K128" s="13">
        <v>44373</v>
      </c>
      <c r="L128">
        <v>50000</v>
      </c>
      <c r="M128" s="11" t="s">
        <v>302</v>
      </c>
    </row>
    <row r="129" spans="3:13">
      <c r="C129" s="12">
        <v>44350</v>
      </c>
      <c r="D129">
        <v>38</v>
      </c>
      <c r="E129" s="7">
        <f t="shared" si="9"/>
        <v>19</v>
      </c>
      <c r="F129">
        <v>2200</v>
      </c>
      <c r="G129" s="14">
        <f t="shared" si="10"/>
        <v>41800</v>
      </c>
      <c r="H129">
        <v>27</v>
      </c>
      <c r="I129" s="7" t="s">
        <v>6</v>
      </c>
      <c r="K129" s="13">
        <v>44382</v>
      </c>
      <c r="L129">
        <v>4900</v>
      </c>
      <c r="M129" s="11" t="s">
        <v>119</v>
      </c>
    </row>
    <row r="130" spans="3:13">
      <c r="C130" s="12">
        <v>44355</v>
      </c>
      <c r="D130">
        <v>36</v>
      </c>
      <c r="E130" s="7">
        <f t="shared" si="9"/>
        <v>18</v>
      </c>
      <c r="F130">
        <v>2200</v>
      </c>
      <c r="G130" s="14">
        <f t="shared" si="10"/>
        <v>39600</v>
      </c>
      <c r="H130">
        <v>33</v>
      </c>
      <c r="I130" s="7" t="s">
        <v>6</v>
      </c>
      <c r="K130" s="13">
        <v>44551</v>
      </c>
      <c r="L130">
        <v>96400</v>
      </c>
      <c r="M130" s="11" t="s">
        <v>302</v>
      </c>
    </row>
    <row r="131" spans="3:13">
      <c r="C131" s="12">
        <v>44360</v>
      </c>
      <c r="D131">
        <v>34</v>
      </c>
      <c r="E131" s="7">
        <f t="shared" si="9"/>
        <v>17</v>
      </c>
      <c r="F131">
        <v>1900</v>
      </c>
      <c r="G131" s="14">
        <f t="shared" si="10"/>
        <v>32300</v>
      </c>
      <c r="H131">
        <v>38</v>
      </c>
      <c r="I131" s="7" t="s">
        <v>6</v>
      </c>
      <c r="K131" s="13">
        <v>44197</v>
      </c>
      <c r="L131">
        <v>150000</v>
      </c>
      <c r="M131" s="11" t="s">
        <v>302</v>
      </c>
    </row>
    <row r="132" spans="3:13">
      <c r="C132" s="12">
        <v>44367</v>
      </c>
      <c r="D132">
        <v>23</v>
      </c>
      <c r="E132" s="7">
        <f t="shared" si="9"/>
        <v>11.5</v>
      </c>
      <c r="F132">
        <v>1850</v>
      </c>
      <c r="G132" s="14">
        <f t="shared" si="10"/>
        <v>21275</v>
      </c>
      <c r="H132">
        <v>42</v>
      </c>
      <c r="I132" s="7" t="s">
        <v>6</v>
      </c>
      <c r="K132" s="13"/>
      <c r="M132" s="11"/>
    </row>
    <row r="133" spans="3:13">
      <c r="C133" s="12">
        <v>44545</v>
      </c>
      <c r="D133">
        <v>72</v>
      </c>
      <c r="E133" s="7">
        <f t="shared" si="9"/>
        <v>36</v>
      </c>
      <c r="F133">
        <v>1900</v>
      </c>
      <c r="G133" s="14">
        <f t="shared" si="10"/>
        <v>68400</v>
      </c>
      <c r="H133">
        <v>90</v>
      </c>
      <c r="I133" s="7" t="s">
        <v>118</v>
      </c>
      <c r="K133" s="13"/>
      <c r="M133" s="11"/>
    </row>
    <row r="134" spans="3:13">
      <c r="C134" s="12">
        <v>44549</v>
      </c>
      <c r="D134">
        <v>32</v>
      </c>
      <c r="E134" s="7">
        <f t="shared" si="9"/>
        <v>16</v>
      </c>
      <c r="F134">
        <v>1750</v>
      </c>
      <c r="G134" s="14">
        <f t="shared" si="10"/>
        <v>28000</v>
      </c>
      <c r="H134">
        <v>75</v>
      </c>
      <c r="I134" s="7" t="s">
        <v>6</v>
      </c>
      <c r="K134" s="13"/>
      <c r="M134" s="11"/>
    </row>
    <row r="135" spans="3:13">
      <c r="C135" s="12">
        <v>44553</v>
      </c>
      <c r="D135">
        <v>55</v>
      </c>
      <c r="E135" s="7">
        <f t="shared" si="9"/>
        <v>27.5</v>
      </c>
      <c r="F135">
        <v>1650</v>
      </c>
      <c r="G135" s="14">
        <f t="shared" si="10"/>
        <v>45375</v>
      </c>
      <c r="H135">
        <v>80</v>
      </c>
      <c r="I135" s="7" t="s">
        <v>6</v>
      </c>
      <c r="K135" s="13"/>
      <c r="M135" s="11"/>
    </row>
    <row r="136" spans="3:13">
      <c r="C136" s="12">
        <v>44924</v>
      </c>
      <c r="D136">
        <v>136</v>
      </c>
      <c r="E136" s="7">
        <f t="shared" si="9"/>
        <v>68</v>
      </c>
      <c r="F136">
        <v>1600</v>
      </c>
      <c r="G136" s="14">
        <f t="shared" si="10"/>
        <v>108800</v>
      </c>
      <c r="H136">
        <v>91</v>
      </c>
      <c r="I136" s="7" t="s">
        <v>6</v>
      </c>
      <c r="K136" s="13"/>
      <c r="M136" s="11"/>
    </row>
    <row r="137" spans="3:13">
      <c r="C137" s="12">
        <v>44564</v>
      </c>
      <c r="D137">
        <v>89</v>
      </c>
      <c r="E137" s="7">
        <f t="shared" si="9"/>
        <v>44.5</v>
      </c>
      <c r="F137">
        <v>1700</v>
      </c>
      <c r="G137" s="14">
        <f t="shared" si="10"/>
        <v>75650</v>
      </c>
      <c r="H137">
        <v>98</v>
      </c>
      <c r="I137" s="7" t="s">
        <v>6</v>
      </c>
      <c r="K137" s="13"/>
      <c r="M137" s="11"/>
    </row>
    <row r="138" spans="3:13">
      <c r="C138" s="12">
        <v>44566</v>
      </c>
      <c r="D138">
        <v>44</v>
      </c>
      <c r="E138" s="7">
        <f t="shared" si="9"/>
        <v>22</v>
      </c>
      <c r="F138">
        <v>1750</v>
      </c>
      <c r="G138" s="14">
        <f t="shared" si="10"/>
        <v>38500</v>
      </c>
      <c r="H138">
        <v>102</v>
      </c>
      <c r="I138" s="7" t="s">
        <v>6</v>
      </c>
      <c r="K138" s="13"/>
      <c r="M138" s="11"/>
    </row>
    <row r="139" spans="3:13">
      <c r="C139" s="12"/>
      <c r="E139" s="7"/>
      <c r="G139" s="14"/>
      <c r="I139" s="7"/>
      <c r="K139" s="13"/>
      <c r="M139" s="11"/>
    </row>
    <row r="140" spans="3:13">
      <c r="C140" s="12"/>
      <c r="E140" s="15"/>
      <c r="F140" s="15"/>
      <c r="G140" s="16"/>
      <c r="K140" s="13"/>
      <c r="L140" s="16"/>
      <c r="M140" s="11"/>
    </row>
    <row r="141" spans="3:13">
      <c r="C141" s="17" t="s">
        <v>7</v>
      </c>
      <c r="D141" s="15">
        <f>SUM(D124:D140)</f>
        <v>720</v>
      </c>
      <c r="E141" s="15">
        <f>SUM(E124:E140)</f>
        <v>360</v>
      </c>
      <c r="F141" s="15"/>
      <c r="G141" s="15">
        <f>SUM(G124:G140)</f>
        <v>688450</v>
      </c>
      <c r="H141" s="15"/>
      <c r="I141" s="15"/>
      <c r="J141" s="15"/>
      <c r="K141" s="18" t="s">
        <v>8</v>
      </c>
      <c r="L141" s="15">
        <f>SUM(L124:L140)</f>
        <v>570100</v>
      </c>
      <c r="M141" s="11"/>
    </row>
    <row r="142" spans="3:13">
      <c r="C142" s="19"/>
      <c r="D142" s="20"/>
      <c r="E142" s="20"/>
      <c r="F142" s="21" t="s">
        <v>9</v>
      </c>
      <c r="G142" s="22">
        <f>G141-L141</f>
        <v>118350</v>
      </c>
      <c r="H142" s="20"/>
      <c r="I142" s="20"/>
      <c r="J142" s="20"/>
      <c r="K142" s="23"/>
      <c r="L142" s="20"/>
      <c r="M142" s="24"/>
    </row>
    <row r="146" spans="3:13" ht="23.4">
      <c r="C146" s="230" t="s">
        <v>27</v>
      </c>
      <c r="D146" s="231"/>
      <c r="E146" s="231"/>
      <c r="F146" s="231"/>
      <c r="G146" s="231"/>
      <c r="H146" s="231"/>
      <c r="I146" s="231"/>
      <c r="J146" s="231"/>
      <c r="K146" s="231"/>
      <c r="L146" s="231"/>
      <c r="M146" s="232"/>
    </row>
    <row r="147" spans="3:13">
      <c r="C147" s="1" t="s">
        <v>0</v>
      </c>
      <c r="D147" s="2" t="s">
        <v>1</v>
      </c>
      <c r="E147" s="2" t="s">
        <v>2</v>
      </c>
      <c r="F147" s="2" t="s">
        <v>3</v>
      </c>
      <c r="G147" s="3" t="s">
        <v>4</v>
      </c>
      <c r="H147" s="2" t="s">
        <v>5</v>
      </c>
      <c r="I147" s="2" t="s">
        <v>19</v>
      </c>
      <c r="J147" s="2"/>
      <c r="K147" s="4" t="s">
        <v>0</v>
      </c>
      <c r="L147" s="2" t="s">
        <v>4</v>
      </c>
      <c r="M147" s="5"/>
    </row>
    <row r="148" spans="3:13">
      <c r="C148" s="6"/>
      <c r="D148" s="7"/>
      <c r="E148" s="7"/>
      <c r="F148" s="7"/>
      <c r="G148" s="8"/>
      <c r="H148" s="7"/>
      <c r="I148" s="7"/>
      <c r="J148" s="9"/>
      <c r="K148" s="10"/>
      <c r="L148" s="7"/>
      <c r="M148" s="11"/>
    </row>
    <row r="149" spans="3:13">
      <c r="C149" s="12">
        <v>44326</v>
      </c>
      <c r="D149">
        <v>52</v>
      </c>
      <c r="E149" s="7">
        <f t="shared" ref="E149:E155" si="11">D149/2</f>
        <v>26</v>
      </c>
      <c r="F149">
        <v>2400</v>
      </c>
      <c r="G149" s="8">
        <f t="shared" ref="G149:G155" si="12">F149*E149</f>
        <v>62400</v>
      </c>
      <c r="H149">
        <v>5</v>
      </c>
      <c r="I149" s="7" t="s">
        <v>21</v>
      </c>
      <c r="K149" s="13">
        <v>44337</v>
      </c>
      <c r="L149">
        <v>62400</v>
      </c>
      <c r="M149" s="11" t="s">
        <v>124</v>
      </c>
    </row>
    <row r="150" spans="3:13">
      <c r="C150" s="12">
        <v>44339</v>
      </c>
      <c r="D150">
        <v>75</v>
      </c>
      <c r="E150" s="7">
        <f t="shared" si="11"/>
        <v>37.5</v>
      </c>
      <c r="F150">
        <v>2500</v>
      </c>
      <c r="G150" s="8">
        <f t="shared" si="12"/>
        <v>93750</v>
      </c>
      <c r="H150">
        <v>12</v>
      </c>
      <c r="I150" s="7" t="s">
        <v>6</v>
      </c>
      <c r="K150" s="13">
        <v>44350</v>
      </c>
      <c r="L150">
        <v>93750</v>
      </c>
      <c r="M150" s="11" t="s">
        <v>124</v>
      </c>
    </row>
    <row r="151" spans="3:13">
      <c r="C151" s="12">
        <v>44349</v>
      </c>
      <c r="D151">
        <v>50</v>
      </c>
      <c r="E151" s="7">
        <f t="shared" si="11"/>
        <v>25</v>
      </c>
      <c r="F151">
        <v>2200</v>
      </c>
      <c r="G151" s="8">
        <f t="shared" si="12"/>
        <v>55000</v>
      </c>
      <c r="H151">
        <v>26</v>
      </c>
      <c r="I151" s="7" t="s">
        <v>6</v>
      </c>
      <c r="K151" s="13">
        <v>44352</v>
      </c>
      <c r="L151">
        <v>55000</v>
      </c>
      <c r="M151" s="11" t="s">
        <v>124</v>
      </c>
    </row>
    <row r="152" spans="3:13">
      <c r="C152" s="12">
        <v>44541</v>
      </c>
      <c r="D152">
        <v>86</v>
      </c>
      <c r="E152" s="7">
        <f t="shared" si="11"/>
        <v>43</v>
      </c>
      <c r="F152">
        <v>2000</v>
      </c>
      <c r="G152" s="8">
        <f t="shared" si="12"/>
        <v>86000</v>
      </c>
      <c r="H152">
        <v>64</v>
      </c>
      <c r="I152" s="7" t="s">
        <v>6</v>
      </c>
      <c r="K152" s="13">
        <v>44555</v>
      </c>
      <c r="L152">
        <v>100000</v>
      </c>
      <c r="M152" s="11" t="s">
        <v>578</v>
      </c>
    </row>
    <row r="153" spans="3:13">
      <c r="C153" s="12">
        <v>44549</v>
      </c>
      <c r="D153">
        <v>60</v>
      </c>
      <c r="E153" s="7">
        <f t="shared" si="11"/>
        <v>30</v>
      </c>
      <c r="F153">
        <v>1750</v>
      </c>
      <c r="G153" s="14">
        <f t="shared" si="12"/>
        <v>52500</v>
      </c>
      <c r="H153">
        <v>75</v>
      </c>
      <c r="I153" s="7" t="s">
        <v>6</v>
      </c>
      <c r="K153" s="13"/>
      <c r="M153" s="11"/>
    </row>
    <row r="154" spans="3:13">
      <c r="C154" s="12">
        <v>44555</v>
      </c>
      <c r="D154">
        <v>56</v>
      </c>
      <c r="E154" s="7">
        <f t="shared" si="11"/>
        <v>28</v>
      </c>
      <c r="F154">
        <v>1650</v>
      </c>
      <c r="G154" s="14">
        <f t="shared" si="12"/>
        <v>46200</v>
      </c>
      <c r="H154">
        <v>84</v>
      </c>
      <c r="I154" s="7" t="s">
        <v>6</v>
      </c>
      <c r="K154" s="13"/>
      <c r="M154" s="11"/>
    </row>
    <row r="155" spans="3:13">
      <c r="C155" s="12">
        <v>44567</v>
      </c>
      <c r="D155">
        <v>42</v>
      </c>
      <c r="E155" s="7">
        <f t="shared" si="11"/>
        <v>21</v>
      </c>
      <c r="F155">
        <v>1800</v>
      </c>
      <c r="G155" s="14">
        <f t="shared" si="12"/>
        <v>37800</v>
      </c>
      <c r="H155">
        <v>104</v>
      </c>
      <c r="I155" s="7" t="s">
        <v>6</v>
      </c>
      <c r="K155" s="13"/>
      <c r="M155" s="11"/>
    </row>
    <row r="156" spans="3:13">
      <c r="C156" s="12"/>
      <c r="G156" s="14"/>
      <c r="K156" s="13"/>
      <c r="M156" s="11"/>
    </row>
    <row r="157" spans="3:13">
      <c r="C157" s="12"/>
      <c r="E157" s="15"/>
      <c r="F157" s="15"/>
      <c r="G157" s="16"/>
      <c r="K157" s="13"/>
      <c r="L157" s="16"/>
      <c r="M157" s="11"/>
    </row>
    <row r="158" spans="3:13">
      <c r="C158" s="17" t="s">
        <v>7</v>
      </c>
      <c r="D158" s="15">
        <f>SUM(D148:D157)</f>
        <v>421</v>
      </c>
      <c r="E158" s="15">
        <f>SUM(E148:E157)</f>
        <v>210.5</v>
      </c>
      <c r="F158" s="15"/>
      <c r="G158" s="15">
        <f>SUM(G148:G157)</f>
        <v>433650</v>
      </c>
      <c r="H158" s="15"/>
      <c r="I158" s="15"/>
      <c r="J158" s="15"/>
      <c r="K158" s="18" t="s">
        <v>8</v>
      </c>
      <c r="L158" s="15">
        <f>SUM(L148:L157)</f>
        <v>311150</v>
      </c>
      <c r="M158" s="11"/>
    </row>
    <row r="159" spans="3:13">
      <c r="C159" s="19"/>
      <c r="D159" s="20"/>
      <c r="E159" s="20"/>
      <c r="F159" s="21" t="s">
        <v>9</v>
      </c>
      <c r="G159" s="22">
        <f>G158-L158</f>
        <v>122500</v>
      </c>
      <c r="H159" s="20"/>
      <c r="I159" s="20"/>
      <c r="J159" s="20"/>
      <c r="K159" s="23"/>
      <c r="L159" s="20"/>
      <c r="M159" s="24"/>
    </row>
    <row r="163" spans="3:13" ht="23.4">
      <c r="C163" s="230" t="s">
        <v>128</v>
      </c>
      <c r="D163" s="231"/>
      <c r="E163" s="231"/>
      <c r="F163" s="231"/>
      <c r="G163" s="231"/>
      <c r="H163" s="231"/>
      <c r="I163" s="231"/>
      <c r="J163" s="231"/>
      <c r="K163" s="231"/>
      <c r="L163" s="231"/>
      <c r="M163" s="232"/>
    </row>
    <row r="164" spans="3:13">
      <c r="C164" s="1" t="s">
        <v>0</v>
      </c>
      <c r="D164" s="2" t="s">
        <v>1</v>
      </c>
      <c r="E164" s="2" t="s">
        <v>2</v>
      </c>
      <c r="F164" s="2" t="s">
        <v>3</v>
      </c>
      <c r="G164" s="3" t="s">
        <v>4</v>
      </c>
      <c r="H164" s="2" t="s">
        <v>5</v>
      </c>
      <c r="I164" s="2" t="s">
        <v>19</v>
      </c>
      <c r="J164" s="2"/>
      <c r="K164" s="4" t="s">
        <v>0</v>
      </c>
      <c r="L164" s="2" t="s">
        <v>4</v>
      </c>
      <c r="M164" s="5"/>
    </row>
    <row r="165" spans="3:13">
      <c r="C165" s="6"/>
      <c r="D165" s="7"/>
      <c r="E165" s="7"/>
      <c r="F165" s="7"/>
      <c r="G165" s="8">
        <v>5500</v>
      </c>
      <c r="H165" s="7" t="s">
        <v>169</v>
      </c>
      <c r="I165" s="7"/>
      <c r="J165" s="9"/>
      <c r="K165" s="10"/>
      <c r="L165" s="7"/>
      <c r="M165" s="11"/>
    </row>
    <row r="166" spans="3:13">
      <c r="C166" s="12">
        <v>44335</v>
      </c>
      <c r="D166">
        <v>8</v>
      </c>
      <c r="E166" s="7">
        <f t="shared" ref="E166:E178" si="13">D166/2</f>
        <v>4</v>
      </c>
      <c r="F166">
        <v>2500</v>
      </c>
      <c r="G166" s="8">
        <f t="shared" ref="G166:G178" si="14">F166*E166</f>
        <v>10000</v>
      </c>
      <c r="H166">
        <v>6</v>
      </c>
      <c r="I166" s="7" t="s">
        <v>118</v>
      </c>
      <c r="K166" s="13">
        <v>44350</v>
      </c>
      <c r="L166">
        <v>47900</v>
      </c>
      <c r="M166" s="11" t="s">
        <v>241</v>
      </c>
    </row>
    <row r="167" spans="3:13">
      <c r="C167" s="12">
        <v>44339</v>
      </c>
      <c r="D167">
        <v>18</v>
      </c>
      <c r="E167" s="7">
        <f t="shared" si="13"/>
        <v>9</v>
      </c>
      <c r="F167">
        <v>2450</v>
      </c>
      <c r="G167" s="8">
        <f t="shared" si="14"/>
        <v>22050</v>
      </c>
      <c r="H167">
        <v>12</v>
      </c>
      <c r="I167" s="7" t="s">
        <v>6</v>
      </c>
      <c r="K167" s="13">
        <v>44373</v>
      </c>
      <c r="L167">
        <v>100000</v>
      </c>
      <c r="M167" s="11" t="s">
        <v>241</v>
      </c>
    </row>
    <row r="168" spans="3:13">
      <c r="C168" s="12">
        <v>44343</v>
      </c>
      <c r="D168">
        <v>9</v>
      </c>
      <c r="E168" s="7">
        <f t="shared" si="13"/>
        <v>4.5</v>
      </c>
      <c r="F168">
        <v>2300</v>
      </c>
      <c r="G168" s="8">
        <f t="shared" si="14"/>
        <v>10350</v>
      </c>
      <c r="H168">
        <v>16</v>
      </c>
      <c r="I168" s="7" t="s">
        <v>6</v>
      </c>
      <c r="K168" s="13">
        <v>44386</v>
      </c>
      <c r="L168">
        <v>83825</v>
      </c>
      <c r="M168" s="11" t="s">
        <v>241</v>
      </c>
    </row>
    <row r="169" spans="3:13">
      <c r="C169" s="12">
        <v>44350</v>
      </c>
      <c r="D169">
        <v>26</v>
      </c>
      <c r="E169" s="7">
        <f t="shared" si="13"/>
        <v>13</v>
      </c>
      <c r="F169">
        <v>2250</v>
      </c>
      <c r="G169" s="8">
        <f t="shared" si="14"/>
        <v>29250</v>
      </c>
      <c r="H169">
        <v>27</v>
      </c>
      <c r="I169" s="7" t="s">
        <v>6</v>
      </c>
      <c r="K169" s="13">
        <v>44418</v>
      </c>
      <c r="L169">
        <v>49500</v>
      </c>
      <c r="M169" s="11" t="s">
        <v>241</v>
      </c>
    </row>
    <row r="170" spans="3:13">
      <c r="C170" s="12">
        <v>44365</v>
      </c>
      <c r="D170">
        <v>36</v>
      </c>
      <c r="E170" s="7">
        <f t="shared" si="13"/>
        <v>18</v>
      </c>
      <c r="F170">
        <v>1950</v>
      </c>
      <c r="G170" s="14">
        <f t="shared" si="14"/>
        <v>35100</v>
      </c>
      <c r="H170">
        <v>38</v>
      </c>
      <c r="I170" s="7" t="s">
        <v>6</v>
      </c>
      <c r="K170" s="13">
        <v>44564</v>
      </c>
      <c r="L170">
        <v>100000</v>
      </c>
      <c r="M170" s="11" t="s">
        <v>241</v>
      </c>
    </row>
    <row r="171" spans="3:13">
      <c r="C171" s="12">
        <v>44367</v>
      </c>
      <c r="D171">
        <v>50</v>
      </c>
      <c r="E171" s="7">
        <f t="shared" si="13"/>
        <v>25</v>
      </c>
      <c r="F171">
        <v>1950</v>
      </c>
      <c r="G171" s="14">
        <f t="shared" si="14"/>
        <v>48750</v>
      </c>
      <c r="H171">
        <v>42</v>
      </c>
      <c r="I171" s="7" t="s">
        <v>6</v>
      </c>
      <c r="K171" s="13"/>
      <c r="M171" s="11"/>
    </row>
    <row r="172" spans="3:13">
      <c r="C172" s="12">
        <v>44383</v>
      </c>
      <c r="D172">
        <v>69</v>
      </c>
      <c r="E172" s="7">
        <f t="shared" si="13"/>
        <v>34.5</v>
      </c>
      <c r="F172">
        <v>2050</v>
      </c>
      <c r="G172" s="14">
        <f t="shared" si="14"/>
        <v>70725</v>
      </c>
      <c r="H172">
        <v>24</v>
      </c>
      <c r="I172" s="7" t="s">
        <v>118</v>
      </c>
      <c r="K172" s="13"/>
      <c r="M172" s="11"/>
    </row>
    <row r="173" spans="3:13">
      <c r="C173" s="12">
        <v>44400</v>
      </c>
      <c r="D173">
        <v>44</v>
      </c>
      <c r="E173" s="7">
        <f t="shared" si="13"/>
        <v>22</v>
      </c>
      <c r="F173">
        <v>2250</v>
      </c>
      <c r="G173" s="14">
        <f t="shared" si="14"/>
        <v>49500</v>
      </c>
      <c r="H173">
        <v>31</v>
      </c>
      <c r="I173" s="7" t="s">
        <v>118</v>
      </c>
      <c r="K173" s="13"/>
      <c r="M173" s="11"/>
    </row>
    <row r="174" spans="3:13">
      <c r="C174" s="12">
        <v>44551</v>
      </c>
      <c r="D174">
        <v>47</v>
      </c>
      <c r="E174" s="7">
        <f t="shared" si="13"/>
        <v>23.5</v>
      </c>
      <c r="F174">
        <v>1700</v>
      </c>
      <c r="G174" s="14">
        <f t="shared" si="14"/>
        <v>39950</v>
      </c>
      <c r="H174">
        <v>76</v>
      </c>
      <c r="I174" s="7" t="s">
        <v>6</v>
      </c>
      <c r="K174" s="13"/>
      <c r="M174" s="11"/>
    </row>
    <row r="175" spans="3:13">
      <c r="C175" s="12">
        <v>44553</v>
      </c>
      <c r="D175">
        <v>17</v>
      </c>
      <c r="E175" s="7">
        <f t="shared" si="13"/>
        <v>8.5</v>
      </c>
      <c r="F175">
        <v>1650</v>
      </c>
      <c r="G175" s="14">
        <f t="shared" si="14"/>
        <v>14025</v>
      </c>
      <c r="H175">
        <v>80</v>
      </c>
      <c r="I175" s="7" t="s">
        <v>6</v>
      </c>
      <c r="K175" s="13"/>
      <c r="M175" s="11"/>
    </row>
    <row r="176" spans="3:13">
      <c r="C176" s="12">
        <v>44557</v>
      </c>
      <c r="D176">
        <v>56</v>
      </c>
      <c r="E176" s="7">
        <f t="shared" si="13"/>
        <v>28</v>
      </c>
      <c r="F176">
        <v>1600</v>
      </c>
      <c r="G176" s="14">
        <f t="shared" si="14"/>
        <v>44800</v>
      </c>
      <c r="H176">
        <v>88</v>
      </c>
      <c r="I176" s="7" t="s">
        <v>6</v>
      </c>
      <c r="K176" s="13"/>
      <c r="M176" s="11"/>
    </row>
    <row r="177" spans="3:13">
      <c r="C177" s="12">
        <v>44926</v>
      </c>
      <c r="D177">
        <v>30</v>
      </c>
      <c r="E177" s="7">
        <f t="shared" si="13"/>
        <v>15</v>
      </c>
      <c r="F177">
        <v>1700</v>
      </c>
      <c r="G177" s="14">
        <f t="shared" si="14"/>
        <v>25500</v>
      </c>
      <c r="H177">
        <v>93</v>
      </c>
      <c r="I177" s="7" t="s">
        <v>6</v>
      </c>
      <c r="K177" s="13"/>
      <c r="M177" s="11"/>
    </row>
    <row r="178" spans="3:13">
      <c r="C178" s="12">
        <v>44566</v>
      </c>
      <c r="D178">
        <v>33</v>
      </c>
      <c r="E178" s="7">
        <f t="shared" si="13"/>
        <v>16.5</v>
      </c>
      <c r="F178">
        <v>1770</v>
      </c>
      <c r="G178" s="14">
        <f t="shared" si="14"/>
        <v>29205</v>
      </c>
      <c r="H178">
        <v>102</v>
      </c>
      <c r="I178" s="7" t="s">
        <v>6</v>
      </c>
      <c r="K178" s="13"/>
      <c r="M178" s="11"/>
    </row>
    <row r="179" spans="3:13">
      <c r="C179" s="12"/>
      <c r="E179" s="15"/>
      <c r="F179" s="15"/>
      <c r="G179" s="16"/>
      <c r="K179" s="13"/>
      <c r="L179" s="16"/>
      <c r="M179" s="11"/>
    </row>
    <row r="180" spans="3:13">
      <c r="C180" s="17" t="s">
        <v>7</v>
      </c>
      <c r="D180" s="15">
        <f>SUM(D165:D179)</f>
        <v>443</v>
      </c>
      <c r="E180" s="15">
        <f>SUM(E165:E179)</f>
        <v>221.5</v>
      </c>
      <c r="F180" s="15"/>
      <c r="G180" s="15">
        <f>SUM(G165:G179)</f>
        <v>434705</v>
      </c>
      <c r="H180" s="15"/>
      <c r="I180" s="15"/>
      <c r="J180" s="15"/>
      <c r="K180" s="18" t="s">
        <v>8</v>
      </c>
      <c r="L180" s="15">
        <f>SUM(L165:L179)</f>
        <v>381225</v>
      </c>
      <c r="M180" s="11"/>
    </row>
    <row r="181" spans="3:13">
      <c r="C181" s="19"/>
      <c r="D181" s="20"/>
      <c r="E181" s="20"/>
      <c r="F181" s="21" t="s">
        <v>9</v>
      </c>
      <c r="G181" s="22">
        <f>G180-L180</f>
        <v>53480</v>
      </c>
      <c r="H181" s="20"/>
      <c r="I181" s="20"/>
      <c r="J181" s="20"/>
      <c r="K181" s="23"/>
      <c r="L181" s="20"/>
      <c r="M181" s="24"/>
    </row>
    <row r="185" spans="3:13" ht="23.4">
      <c r="C185" s="230" t="s">
        <v>597</v>
      </c>
      <c r="D185" s="231"/>
      <c r="E185" s="231"/>
      <c r="F185" s="231"/>
      <c r="G185" s="231"/>
      <c r="H185" s="231"/>
      <c r="I185" s="231"/>
      <c r="J185" s="231"/>
      <c r="K185" s="231"/>
      <c r="L185" s="231"/>
      <c r="M185" s="232"/>
    </row>
    <row r="186" spans="3:13">
      <c r="C186" s="1" t="s">
        <v>0</v>
      </c>
      <c r="D186" s="2" t="s">
        <v>1</v>
      </c>
      <c r="E186" s="2" t="s">
        <v>2</v>
      </c>
      <c r="F186" s="2" t="s">
        <v>3</v>
      </c>
      <c r="G186" s="3" t="s">
        <v>4</v>
      </c>
      <c r="H186" s="2" t="s">
        <v>5</v>
      </c>
      <c r="I186" s="2" t="s">
        <v>19</v>
      </c>
      <c r="J186" s="2"/>
      <c r="K186" s="4" t="s">
        <v>0</v>
      </c>
      <c r="L186" s="2" t="s">
        <v>4</v>
      </c>
      <c r="M186" s="5"/>
    </row>
    <row r="187" spans="3:13">
      <c r="C187" s="6"/>
      <c r="D187" s="7"/>
      <c r="E187" s="7"/>
      <c r="F187" s="7"/>
      <c r="G187" s="8"/>
      <c r="H187" s="7"/>
      <c r="I187" s="7"/>
      <c r="J187" s="9"/>
      <c r="K187" s="10"/>
      <c r="L187" s="7"/>
      <c r="M187" s="11"/>
    </row>
    <row r="188" spans="3:13">
      <c r="C188" s="12">
        <v>44926</v>
      </c>
      <c r="D188">
        <v>40</v>
      </c>
      <c r="E188">
        <v>20</v>
      </c>
      <c r="F188">
        <v>1730</v>
      </c>
      <c r="G188" s="14">
        <f>F188*E188</f>
        <v>34600</v>
      </c>
      <c r="H188">
        <v>93</v>
      </c>
      <c r="I188" t="s">
        <v>6</v>
      </c>
      <c r="K188" s="13"/>
      <c r="M188" s="11"/>
    </row>
    <row r="189" spans="3:13">
      <c r="C189" s="12">
        <v>44566</v>
      </c>
      <c r="D189">
        <v>38</v>
      </c>
      <c r="E189">
        <f>D189/2</f>
        <v>19</v>
      </c>
      <c r="F189">
        <v>1800</v>
      </c>
      <c r="G189" s="14">
        <f>F189*E189</f>
        <v>34200</v>
      </c>
      <c r="H189">
        <v>102</v>
      </c>
      <c r="I189" t="s">
        <v>6</v>
      </c>
      <c r="K189" s="13"/>
      <c r="M189" s="11"/>
    </row>
    <row r="190" spans="3:13">
      <c r="C190" s="12"/>
      <c r="E190" s="15"/>
      <c r="F190" s="15"/>
      <c r="G190" s="16"/>
      <c r="K190" s="13"/>
      <c r="L190" s="16"/>
      <c r="M190" s="11"/>
    </row>
    <row r="191" spans="3:13">
      <c r="C191" s="17" t="s">
        <v>7</v>
      </c>
      <c r="D191" s="15">
        <f>SUM(D187:D190)</f>
        <v>78</v>
      </c>
      <c r="E191" s="15">
        <f>SUM(E187:E190)</f>
        <v>39</v>
      </c>
      <c r="F191" s="15"/>
      <c r="G191" s="15">
        <f>SUM(G187:G190)</f>
        <v>68800</v>
      </c>
      <c r="H191" s="15"/>
      <c r="I191" s="15"/>
      <c r="J191" s="15"/>
      <c r="K191" s="18" t="s">
        <v>8</v>
      </c>
      <c r="L191" s="15">
        <f>SUM(L187:L190)</f>
        <v>0</v>
      </c>
      <c r="M191" s="11"/>
    </row>
    <row r="192" spans="3:13">
      <c r="C192" s="19"/>
      <c r="D192" s="20"/>
      <c r="E192" s="20"/>
      <c r="F192" s="21" t="s">
        <v>9</v>
      </c>
      <c r="G192" s="22">
        <f>G191-L191</f>
        <v>68800</v>
      </c>
      <c r="H192" s="20"/>
      <c r="I192" s="20"/>
      <c r="J192" s="20"/>
      <c r="K192" s="23"/>
      <c r="L192" s="20"/>
      <c r="M192" s="24"/>
    </row>
    <row r="196" spans="3:13" ht="23.4">
      <c r="C196" s="230" t="s">
        <v>598</v>
      </c>
      <c r="D196" s="231"/>
      <c r="E196" s="231"/>
      <c r="F196" s="231"/>
      <c r="G196" s="231"/>
      <c r="H196" s="231"/>
      <c r="I196" s="231"/>
      <c r="J196" s="231"/>
      <c r="K196" s="231"/>
      <c r="L196" s="231"/>
      <c r="M196" s="232"/>
    </row>
    <row r="197" spans="3:13">
      <c r="C197" s="1" t="s">
        <v>0</v>
      </c>
      <c r="D197" s="2" t="s">
        <v>1</v>
      </c>
      <c r="E197" s="2" t="s">
        <v>2</v>
      </c>
      <c r="F197" s="2" t="s">
        <v>3</v>
      </c>
      <c r="G197" s="3" t="s">
        <v>4</v>
      </c>
      <c r="H197" s="2" t="s">
        <v>5</v>
      </c>
      <c r="I197" s="2" t="s">
        <v>19</v>
      </c>
      <c r="J197" s="2"/>
      <c r="K197" s="4" t="s">
        <v>0</v>
      </c>
      <c r="L197" s="2" t="s">
        <v>4</v>
      </c>
      <c r="M197" s="5"/>
    </row>
    <row r="198" spans="3:13">
      <c r="C198" s="6"/>
      <c r="D198" s="7"/>
      <c r="E198" s="7"/>
      <c r="F198" s="7"/>
      <c r="G198" s="8"/>
      <c r="H198" s="7"/>
      <c r="I198" s="7"/>
      <c r="J198" s="9"/>
      <c r="K198" s="10"/>
      <c r="L198" s="7"/>
      <c r="M198" s="11"/>
    </row>
    <row r="199" spans="3:13">
      <c r="C199" s="12">
        <v>44926</v>
      </c>
      <c r="D199">
        <v>60</v>
      </c>
      <c r="E199">
        <v>30</v>
      </c>
      <c r="F199">
        <v>1730</v>
      </c>
      <c r="G199" s="14">
        <f>F199*E199</f>
        <v>51900</v>
      </c>
      <c r="H199">
        <v>93</v>
      </c>
      <c r="I199" t="s">
        <v>6</v>
      </c>
      <c r="K199" s="13"/>
      <c r="L199">
        <v>140000</v>
      </c>
      <c r="M199" s="11" t="s">
        <v>639</v>
      </c>
    </row>
    <row r="200" spans="3:13">
      <c r="C200" s="12">
        <v>44566</v>
      </c>
      <c r="D200">
        <v>19</v>
      </c>
      <c r="E200">
        <f>D200/2</f>
        <v>9.5</v>
      </c>
      <c r="F200">
        <v>1800</v>
      </c>
      <c r="G200" s="14">
        <f>F200*E200</f>
        <v>17100</v>
      </c>
      <c r="H200">
        <v>102</v>
      </c>
      <c r="I200" t="s">
        <v>6</v>
      </c>
      <c r="K200" s="13"/>
      <c r="M200" s="11"/>
    </row>
    <row r="201" spans="3:13">
      <c r="C201" s="12"/>
      <c r="D201">
        <v>62</v>
      </c>
      <c r="E201">
        <f>D201/2</f>
        <v>31</v>
      </c>
      <c r="F201">
        <v>1850</v>
      </c>
      <c r="G201" s="14">
        <f>F201*E201</f>
        <v>57350</v>
      </c>
      <c r="K201" s="13"/>
      <c r="M201" s="11"/>
    </row>
    <row r="202" spans="3:13">
      <c r="C202" s="12"/>
      <c r="G202" s="14"/>
      <c r="K202" s="13"/>
      <c r="M202" s="11"/>
    </row>
    <row r="203" spans="3:13">
      <c r="C203" s="12"/>
      <c r="E203" s="15"/>
      <c r="F203" s="15"/>
      <c r="G203" s="16"/>
      <c r="K203" s="13"/>
      <c r="L203" s="16"/>
      <c r="M203" s="11"/>
    </row>
    <row r="204" spans="3:13">
      <c r="C204" s="17" t="s">
        <v>7</v>
      </c>
      <c r="D204" s="15">
        <f>SUM(D198:D203)</f>
        <v>141</v>
      </c>
      <c r="E204" s="15">
        <f>SUM(E198:E203)</f>
        <v>70.5</v>
      </c>
      <c r="F204" s="15"/>
      <c r="G204" s="15">
        <f>SUM(G198:G203)</f>
        <v>126350</v>
      </c>
      <c r="H204" s="15"/>
      <c r="I204" s="15"/>
      <c r="J204" s="15"/>
      <c r="K204" s="18" t="s">
        <v>8</v>
      </c>
      <c r="L204" s="15">
        <f>SUM(L198:L203)</f>
        <v>140000</v>
      </c>
      <c r="M204" s="11"/>
    </row>
    <row r="205" spans="3:13">
      <c r="C205" s="19"/>
      <c r="D205" s="20"/>
      <c r="E205" s="20"/>
      <c r="F205" s="21" t="s">
        <v>9</v>
      </c>
      <c r="G205" s="22">
        <f>G204-L204</f>
        <v>-13650</v>
      </c>
      <c r="H205" s="20"/>
      <c r="I205" s="20"/>
      <c r="J205" s="20"/>
      <c r="K205" s="23"/>
      <c r="L205" s="20"/>
      <c r="M205" s="24"/>
    </row>
  </sheetData>
  <mergeCells count="10">
    <mergeCell ref="C185:M185"/>
    <mergeCell ref="C196:M196"/>
    <mergeCell ref="C146:M146"/>
    <mergeCell ref="C163:M163"/>
    <mergeCell ref="C6:M6"/>
    <mergeCell ref="C25:M25"/>
    <mergeCell ref="C45:M45"/>
    <mergeCell ref="C72:M72"/>
    <mergeCell ref="C96:M96"/>
    <mergeCell ref="C122:M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898F-6358-49CB-A310-35ED7CF51DAC}">
  <dimension ref="B6:Q179"/>
  <sheetViews>
    <sheetView topLeftCell="A49" workbookViewId="0">
      <selection activeCell="M81" sqref="M81"/>
    </sheetView>
  </sheetViews>
  <sheetFormatPr defaultRowHeight="14.4"/>
  <cols>
    <col min="3" max="3" width="18" bestFit="1" customWidth="1"/>
    <col min="7" max="7" width="10.33203125" bestFit="1" customWidth="1"/>
    <col min="11" max="11" width="18" bestFit="1" customWidth="1"/>
    <col min="12" max="12" width="7.88671875" bestFit="1" customWidth="1"/>
    <col min="13" max="13" width="34.109375" bestFit="1" customWidth="1"/>
  </cols>
  <sheetData>
    <row r="6" spans="3:13" ht="23.4">
      <c r="C6" s="230" t="s">
        <v>15</v>
      </c>
      <c r="D6" s="231"/>
      <c r="E6" s="231"/>
      <c r="F6" s="231"/>
      <c r="G6" s="231"/>
      <c r="H6" s="231"/>
      <c r="I6" s="231"/>
      <c r="J6" s="231"/>
      <c r="K6" s="231"/>
      <c r="L6" s="231"/>
      <c r="M6" s="232"/>
    </row>
    <row r="7" spans="3:13">
      <c r="C7" s="1" t="s">
        <v>0</v>
      </c>
      <c r="D7" s="2" t="s">
        <v>1</v>
      </c>
      <c r="E7" s="2" t="s">
        <v>2</v>
      </c>
      <c r="F7" s="2" t="s">
        <v>3</v>
      </c>
      <c r="G7" s="3" t="s">
        <v>4</v>
      </c>
      <c r="H7" s="2" t="s">
        <v>5</v>
      </c>
      <c r="I7" s="2" t="s">
        <v>19</v>
      </c>
      <c r="J7" s="2"/>
      <c r="K7" s="4" t="s">
        <v>0</v>
      </c>
      <c r="L7" s="2" t="s">
        <v>4</v>
      </c>
      <c r="M7" s="5"/>
    </row>
    <row r="8" spans="3:13">
      <c r="C8" s="6"/>
      <c r="D8" s="7"/>
      <c r="E8" s="7"/>
      <c r="F8" s="7"/>
      <c r="G8" s="8"/>
      <c r="H8" s="7"/>
      <c r="I8" s="7"/>
      <c r="J8" s="9"/>
      <c r="K8" s="10"/>
      <c r="L8" s="7"/>
      <c r="M8" s="11"/>
    </row>
    <row r="9" spans="3:13">
      <c r="C9" s="12">
        <v>44315</v>
      </c>
      <c r="D9">
        <v>65</v>
      </c>
      <c r="E9" s="7">
        <f>D9/2</f>
        <v>32.5</v>
      </c>
      <c r="F9">
        <v>2500</v>
      </c>
      <c r="G9" s="8">
        <f t="shared" ref="G9:G26" si="0">F9*E9</f>
        <v>81250</v>
      </c>
      <c r="H9">
        <v>3</v>
      </c>
      <c r="I9" s="7" t="s">
        <v>6</v>
      </c>
      <c r="J9" t="s">
        <v>271</v>
      </c>
      <c r="K9" s="13"/>
      <c r="M9" s="11"/>
    </row>
    <row r="10" spans="3:13">
      <c r="C10" s="12">
        <v>44319</v>
      </c>
      <c r="D10">
        <v>43</v>
      </c>
      <c r="E10" s="7">
        <f>D10/2</f>
        <v>21.5</v>
      </c>
      <c r="F10">
        <v>2500</v>
      </c>
      <c r="G10" s="8">
        <f t="shared" si="0"/>
        <v>53750</v>
      </c>
      <c r="H10">
        <v>4</v>
      </c>
      <c r="I10" s="7" t="s">
        <v>6</v>
      </c>
      <c r="J10" t="s">
        <v>271</v>
      </c>
      <c r="K10" s="13"/>
      <c r="M10" s="11"/>
    </row>
    <row r="11" spans="3:13">
      <c r="C11" s="12">
        <v>44321</v>
      </c>
      <c r="D11">
        <v>13</v>
      </c>
      <c r="E11" s="7">
        <f>D11/2</f>
        <v>6.5</v>
      </c>
      <c r="F11">
        <v>2400</v>
      </c>
      <c r="G11" s="8">
        <f t="shared" si="0"/>
        <v>15600</v>
      </c>
      <c r="H11">
        <v>1</v>
      </c>
      <c r="I11" s="7" t="s">
        <v>21</v>
      </c>
      <c r="J11" t="s">
        <v>271</v>
      </c>
      <c r="K11" s="13"/>
      <c r="M11" s="11"/>
    </row>
    <row r="12" spans="3:13">
      <c r="C12" s="12">
        <v>44334</v>
      </c>
      <c r="D12">
        <v>114</v>
      </c>
      <c r="E12" s="7">
        <f>D12/2</f>
        <v>57</v>
      </c>
      <c r="F12">
        <v>2500</v>
      </c>
      <c r="G12" s="8">
        <f t="shared" si="0"/>
        <v>142500</v>
      </c>
      <c r="H12">
        <v>5</v>
      </c>
      <c r="I12" s="7" t="s">
        <v>6</v>
      </c>
      <c r="J12" t="s">
        <v>271</v>
      </c>
      <c r="K12" s="13"/>
      <c r="M12" s="11"/>
    </row>
    <row r="13" spans="3:13">
      <c r="C13" s="12">
        <v>44357</v>
      </c>
      <c r="D13">
        <v>79</v>
      </c>
      <c r="E13" s="7">
        <v>38</v>
      </c>
      <c r="F13">
        <v>2300</v>
      </c>
      <c r="G13" s="8">
        <f t="shared" si="0"/>
        <v>87400</v>
      </c>
      <c r="H13">
        <v>20</v>
      </c>
      <c r="I13" s="7" t="s">
        <v>118</v>
      </c>
      <c r="J13" t="s">
        <v>271</v>
      </c>
      <c r="K13" s="13"/>
      <c r="M13" s="11"/>
    </row>
    <row r="14" spans="3:13">
      <c r="C14" s="12">
        <v>44386</v>
      </c>
      <c r="D14">
        <v>22</v>
      </c>
      <c r="E14" s="7">
        <f t="shared" ref="E14:E26" si="1">D14/2</f>
        <v>11</v>
      </c>
      <c r="F14">
        <v>2200</v>
      </c>
      <c r="G14" s="8">
        <f t="shared" si="0"/>
        <v>24200</v>
      </c>
      <c r="H14">
        <v>26</v>
      </c>
      <c r="I14" s="7" t="s">
        <v>118</v>
      </c>
      <c r="J14" t="s">
        <v>270</v>
      </c>
      <c r="K14" s="13"/>
      <c r="M14" s="11"/>
    </row>
    <row r="15" spans="3:13">
      <c r="C15" s="12">
        <v>44393</v>
      </c>
      <c r="D15">
        <v>33</v>
      </c>
      <c r="E15" s="7">
        <f t="shared" si="1"/>
        <v>16.5</v>
      </c>
      <c r="F15">
        <v>2200</v>
      </c>
      <c r="G15" s="14">
        <f t="shared" si="0"/>
        <v>36300</v>
      </c>
      <c r="H15">
        <v>29</v>
      </c>
      <c r="I15" s="7" t="s">
        <v>118</v>
      </c>
      <c r="J15" t="s">
        <v>271</v>
      </c>
      <c r="K15" s="13"/>
      <c r="M15" s="11"/>
    </row>
    <row r="16" spans="3:13">
      <c r="C16" s="12">
        <v>44412</v>
      </c>
      <c r="D16">
        <v>101</v>
      </c>
      <c r="E16" s="7">
        <f t="shared" si="1"/>
        <v>50.5</v>
      </c>
      <c r="F16">
        <v>2200</v>
      </c>
      <c r="G16" s="14">
        <f t="shared" si="0"/>
        <v>111100</v>
      </c>
      <c r="H16">
        <v>48</v>
      </c>
      <c r="I16" s="7" t="s">
        <v>6</v>
      </c>
      <c r="J16" t="s">
        <v>271</v>
      </c>
      <c r="K16" s="13"/>
      <c r="M16" s="11"/>
    </row>
    <row r="17" spans="3:13">
      <c r="C17" s="12">
        <v>44422</v>
      </c>
      <c r="D17">
        <v>111</v>
      </c>
      <c r="E17" s="7">
        <f t="shared" si="1"/>
        <v>55.5</v>
      </c>
      <c r="F17">
        <v>2600</v>
      </c>
      <c r="G17" s="14">
        <f t="shared" si="0"/>
        <v>144300</v>
      </c>
      <c r="H17">
        <v>43</v>
      </c>
      <c r="I17" s="7" t="s">
        <v>118</v>
      </c>
      <c r="J17" t="s">
        <v>270</v>
      </c>
      <c r="K17" s="13"/>
      <c r="M17" s="11"/>
    </row>
    <row r="18" spans="3:13">
      <c r="C18" s="12">
        <v>44430</v>
      </c>
      <c r="D18">
        <v>73</v>
      </c>
      <c r="E18" s="7">
        <f t="shared" si="1"/>
        <v>36.5</v>
      </c>
      <c r="F18">
        <v>2500</v>
      </c>
      <c r="G18" s="14">
        <f t="shared" si="0"/>
        <v>91250</v>
      </c>
      <c r="H18">
        <v>49</v>
      </c>
      <c r="I18" s="7" t="s">
        <v>6</v>
      </c>
      <c r="J18" t="s">
        <v>270</v>
      </c>
      <c r="K18" s="13"/>
      <c r="M18" s="11"/>
    </row>
    <row r="19" spans="3:13">
      <c r="C19" s="12">
        <v>44432</v>
      </c>
      <c r="D19">
        <v>104</v>
      </c>
      <c r="E19" s="7">
        <f t="shared" si="1"/>
        <v>52</v>
      </c>
      <c r="F19">
        <v>2200</v>
      </c>
      <c r="G19" s="14">
        <f t="shared" si="0"/>
        <v>114400</v>
      </c>
      <c r="H19">
        <v>50</v>
      </c>
      <c r="I19" s="7" t="s">
        <v>6</v>
      </c>
      <c r="J19" t="s">
        <v>270</v>
      </c>
      <c r="K19" s="13"/>
      <c r="M19" s="11"/>
    </row>
    <row r="20" spans="3:13">
      <c r="C20" s="12">
        <v>44447</v>
      </c>
      <c r="D20">
        <v>81</v>
      </c>
      <c r="E20" s="7">
        <f t="shared" si="1"/>
        <v>40.5</v>
      </c>
      <c r="F20">
        <v>2200</v>
      </c>
      <c r="G20" s="14">
        <f t="shared" si="0"/>
        <v>89100</v>
      </c>
      <c r="H20">
        <v>59</v>
      </c>
      <c r="I20" s="7" t="s">
        <v>118</v>
      </c>
      <c r="J20" t="s">
        <v>270</v>
      </c>
      <c r="K20" s="13"/>
      <c r="M20" s="11"/>
    </row>
    <row r="21" spans="3:13">
      <c r="C21" s="12">
        <v>44463</v>
      </c>
      <c r="D21">
        <v>113</v>
      </c>
      <c r="E21" s="7">
        <f t="shared" si="1"/>
        <v>56.5</v>
      </c>
      <c r="F21">
        <v>2300</v>
      </c>
      <c r="G21" s="14">
        <f t="shared" si="0"/>
        <v>129950</v>
      </c>
      <c r="H21">
        <v>51</v>
      </c>
      <c r="I21" s="7" t="s">
        <v>6</v>
      </c>
      <c r="J21" t="s">
        <v>270</v>
      </c>
      <c r="K21" s="13"/>
      <c r="M21" s="11"/>
    </row>
    <row r="22" spans="3:13">
      <c r="C22" s="12">
        <v>44467</v>
      </c>
      <c r="D22">
        <v>39</v>
      </c>
      <c r="E22" s="7">
        <f t="shared" si="1"/>
        <v>19.5</v>
      </c>
      <c r="F22">
        <v>2200</v>
      </c>
      <c r="G22" s="14">
        <f t="shared" si="0"/>
        <v>42900</v>
      </c>
      <c r="H22">
        <v>52</v>
      </c>
      <c r="I22" s="7" t="s">
        <v>6</v>
      </c>
      <c r="J22" t="s">
        <v>270</v>
      </c>
      <c r="K22" s="13"/>
      <c r="M22" s="11"/>
    </row>
    <row r="23" spans="3:13">
      <c r="C23" s="12">
        <v>44476</v>
      </c>
      <c r="D23">
        <v>85</v>
      </c>
      <c r="E23" s="7">
        <f t="shared" si="1"/>
        <v>42.5</v>
      </c>
      <c r="F23">
        <v>2500</v>
      </c>
      <c r="G23" s="14">
        <f t="shared" si="0"/>
        <v>106250</v>
      </c>
      <c r="H23">
        <v>53</v>
      </c>
      <c r="I23" s="7" t="s">
        <v>6</v>
      </c>
      <c r="J23" t="s">
        <v>270</v>
      </c>
      <c r="K23" s="13"/>
      <c r="M23" s="11"/>
    </row>
    <row r="24" spans="3:13">
      <c r="C24" s="12">
        <v>44498</v>
      </c>
      <c r="D24">
        <v>136</v>
      </c>
      <c r="E24" s="7">
        <f t="shared" si="1"/>
        <v>68</v>
      </c>
      <c r="F24">
        <v>2600</v>
      </c>
      <c r="G24" s="14">
        <f t="shared" si="0"/>
        <v>176800</v>
      </c>
      <c r="H24">
        <v>54</v>
      </c>
      <c r="I24" s="7" t="s">
        <v>6</v>
      </c>
      <c r="J24" t="s">
        <v>270</v>
      </c>
      <c r="K24" s="13"/>
      <c r="M24" s="11"/>
    </row>
    <row r="25" spans="3:13">
      <c r="C25" s="12">
        <v>44516</v>
      </c>
      <c r="D25">
        <v>134</v>
      </c>
      <c r="E25" s="7">
        <f t="shared" si="1"/>
        <v>67</v>
      </c>
      <c r="F25">
        <v>2150</v>
      </c>
      <c r="G25" s="14">
        <f t="shared" si="0"/>
        <v>144050</v>
      </c>
      <c r="H25">
        <v>55</v>
      </c>
      <c r="I25" s="7" t="s">
        <v>6</v>
      </c>
      <c r="J25" t="s">
        <v>271</v>
      </c>
      <c r="K25" s="13"/>
      <c r="M25" s="11"/>
    </row>
    <row r="26" spans="3:13">
      <c r="C26" s="12">
        <v>44526</v>
      </c>
      <c r="D26">
        <v>136</v>
      </c>
      <c r="E26" s="7">
        <f t="shared" si="1"/>
        <v>68</v>
      </c>
      <c r="F26">
        <v>2150</v>
      </c>
      <c r="G26" s="14">
        <f t="shared" si="0"/>
        <v>146200</v>
      </c>
      <c r="H26" t="s">
        <v>485</v>
      </c>
      <c r="I26" s="7"/>
      <c r="K26" s="13"/>
      <c r="M26" s="11"/>
    </row>
    <row r="27" spans="3:13">
      <c r="C27" s="12"/>
      <c r="E27" s="7"/>
      <c r="G27" s="14"/>
      <c r="I27" s="7"/>
      <c r="K27" s="13"/>
      <c r="M27" s="11"/>
    </row>
    <row r="28" spans="3:13">
      <c r="C28" s="12">
        <v>44541</v>
      </c>
      <c r="D28">
        <v>64</v>
      </c>
      <c r="E28" s="7">
        <f t="shared" ref="E28:E33" si="2">D28/2</f>
        <v>32</v>
      </c>
      <c r="F28">
        <v>2200</v>
      </c>
      <c r="G28" s="14">
        <f t="shared" ref="G28:G33" si="3">F28*E28</f>
        <v>70400</v>
      </c>
      <c r="H28">
        <v>66</v>
      </c>
      <c r="I28" s="7" t="s">
        <v>6</v>
      </c>
      <c r="J28" t="s">
        <v>270</v>
      </c>
      <c r="K28" s="13"/>
      <c r="M28" s="11"/>
    </row>
    <row r="29" spans="3:13">
      <c r="C29" s="12">
        <v>44544</v>
      </c>
      <c r="D29">
        <v>153</v>
      </c>
      <c r="E29" s="7">
        <f t="shared" si="2"/>
        <v>76.5</v>
      </c>
      <c r="F29">
        <v>2000</v>
      </c>
      <c r="G29" s="14">
        <f t="shared" si="3"/>
        <v>153000</v>
      </c>
      <c r="H29">
        <v>69</v>
      </c>
      <c r="I29" s="7" t="s">
        <v>6</v>
      </c>
      <c r="J29" t="s">
        <v>270</v>
      </c>
      <c r="K29" s="13"/>
      <c r="M29" s="11"/>
    </row>
    <row r="30" spans="3:13">
      <c r="C30" s="12">
        <v>44551</v>
      </c>
      <c r="D30">
        <v>46</v>
      </c>
      <c r="E30" s="7">
        <f t="shared" si="2"/>
        <v>23</v>
      </c>
      <c r="F30">
        <v>1800</v>
      </c>
      <c r="G30" s="14">
        <f t="shared" si="3"/>
        <v>41400</v>
      </c>
      <c r="H30">
        <v>77</v>
      </c>
      <c r="I30" s="7" t="s">
        <v>6</v>
      </c>
      <c r="J30" t="s">
        <v>270</v>
      </c>
      <c r="K30" s="13"/>
      <c r="M30" s="11"/>
    </row>
    <row r="31" spans="3:13">
      <c r="C31" s="12">
        <v>44556</v>
      </c>
      <c r="D31">
        <v>68</v>
      </c>
      <c r="E31" s="7">
        <f t="shared" si="2"/>
        <v>34</v>
      </c>
      <c r="F31">
        <v>1650</v>
      </c>
      <c r="G31" s="14">
        <f t="shared" si="3"/>
        <v>56100</v>
      </c>
      <c r="H31">
        <v>86</v>
      </c>
      <c r="I31" s="7" t="s">
        <v>6</v>
      </c>
      <c r="J31" t="s">
        <v>271</v>
      </c>
      <c r="K31" s="13"/>
      <c r="M31" s="11"/>
    </row>
    <row r="32" spans="3:13">
      <c r="C32" s="12">
        <v>44560</v>
      </c>
      <c r="D32">
        <v>50</v>
      </c>
      <c r="E32" s="7">
        <f t="shared" si="2"/>
        <v>25</v>
      </c>
      <c r="F32">
        <v>1750</v>
      </c>
      <c r="G32" s="14">
        <f t="shared" si="3"/>
        <v>43750</v>
      </c>
      <c r="H32">
        <v>94</v>
      </c>
      <c r="I32" s="7" t="s">
        <v>6</v>
      </c>
      <c r="J32" t="s">
        <v>270</v>
      </c>
      <c r="K32" s="13"/>
      <c r="M32" s="11"/>
    </row>
    <row r="33" spans="3:13">
      <c r="C33" s="12">
        <v>44561</v>
      </c>
      <c r="D33">
        <v>27</v>
      </c>
      <c r="E33" s="7">
        <f t="shared" si="2"/>
        <v>13.5</v>
      </c>
      <c r="F33">
        <v>1750</v>
      </c>
      <c r="G33" s="14">
        <f t="shared" si="3"/>
        <v>23625</v>
      </c>
      <c r="H33">
        <v>94</v>
      </c>
      <c r="I33" s="7" t="s">
        <v>6</v>
      </c>
      <c r="J33" t="s">
        <v>270</v>
      </c>
      <c r="K33" s="13"/>
      <c r="M33" s="11"/>
    </row>
    <row r="34" spans="3:13">
      <c r="C34" s="12"/>
      <c r="E34" s="15"/>
      <c r="F34" s="15"/>
      <c r="G34" s="16"/>
      <c r="K34" s="13"/>
      <c r="L34" s="16"/>
      <c r="M34" s="11"/>
    </row>
    <row r="35" spans="3:13">
      <c r="C35" s="17" t="s">
        <v>7</v>
      </c>
      <c r="D35" s="15">
        <f>SUM(D8:D34)</f>
        <v>1890</v>
      </c>
      <c r="E35" s="15">
        <f>SUM(E8:E34)</f>
        <v>943.5</v>
      </c>
      <c r="F35" s="15"/>
      <c r="G35" s="15">
        <f>SUM(G8:G34)</f>
        <v>2125575</v>
      </c>
      <c r="H35" s="15"/>
      <c r="I35" s="15"/>
      <c r="J35" s="15"/>
      <c r="K35" s="18" t="s">
        <v>8</v>
      </c>
      <c r="L35" s="15">
        <f>SUM(L8:L34)</f>
        <v>0</v>
      </c>
      <c r="M35" s="11"/>
    </row>
    <row r="36" spans="3:13">
      <c r="C36" s="19"/>
      <c r="D36" s="20"/>
      <c r="E36" s="20"/>
      <c r="F36" s="21" t="s">
        <v>9</v>
      </c>
      <c r="G36" s="22">
        <f>G35-L35</f>
        <v>2125575</v>
      </c>
      <c r="H36" s="20"/>
      <c r="I36" s="20"/>
      <c r="J36" s="20"/>
      <c r="K36" s="23"/>
      <c r="L36" s="20"/>
      <c r="M36" s="24"/>
    </row>
    <row r="40" spans="3:13" ht="23.4">
      <c r="C40" s="230" t="s">
        <v>16</v>
      </c>
      <c r="D40" s="231"/>
      <c r="E40" s="231"/>
      <c r="F40" s="231"/>
      <c r="G40" s="231"/>
      <c r="H40" s="231"/>
      <c r="I40" s="231"/>
      <c r="J40" s="231"/>
      <c r="K40" s="231"/>
      <c r="L40" s="231"/>
      <c r="M40" s="232"/>
    </row>
    <row r="41" spans="3:13">
      <c r="C41" s="1" t="s">
        <v>0</v>
      </c>
      <c r="D41" s="2" t="s">
        <v>1</v>
      </c>
      <c r="E41" s="2" t="s">
        <v>2</v>
      </c>
      <c r="F41" s="2" t="s">
        <v>3</v>
      </c>
      <c r="G41" s="3" t="s">
        <v>4</v>
      </c>
      <c r="H41" s="2" t="s">
        <v>5</v>
      </c>
      <c r="I41" s="2"/>
      <c r="J41" s="2"/>
      <c r="K41" s="4" t="s">
        <v>0</v>
      </c>
      <c r="L41" s="2" t="s">
        <v>4</v>
      </c>
      <c r="M41" s="5"/>
    </row>
    <row r="42" spans="3:13">
      <c r="C42" s="6"/>
      <c r="D42" s="7"/>
      <c r="E42" s="7"/>
      <c r="F42" s="7"/>
      <c r="G42" s="8"/>
      <c r="H42" s="7"/>
      <c r="I42" s="7"/>
      <c r="J42" s="9"/>
      <c r="K42" s="10"/>
      <c r="L42" s="7"/>
      <c r="M42" s="11"/>
    </row>
    <row r="43" spans="3:13">
      <c r="C43" s="12">
        <v>44312</v>
      </c>
      <c r="D43">
        <v>60</v>
      </c>
      <c r="E43" s="7">
        <f>D43/2</f>
        <v>30</v>
      </c>
      <c r="F43">
        <v>2600</v>
      </c>
      <c r="G43" s="8">
        <f>F43*E43</f>
        <v>78000</v>
      </c>
      <c r="H43">
        <v>2</v>
      </c>
      <c r="I43" s="7" t="s">
        <v>6</v>
      </c>
      <c r="J43" s="15" t="s">
        <v>271</v>
      </c>
      <c r="K43" s="13">
        <v>44315</v>
      </c>
      <c r="L43">
        <v>75000</v>
      </c>
      <c r="M43" s="11" t="s">
        <v>76</v>
      </c>
    </row>
    <row r="44" spans="3:13">
      <c r="C44" s="12">
        <v>44365</v>
      </c>
      <c r="D44">
        <v>52</v>
      </c>
      <c r="E44" s="7">
        <f>D44/2</f>
        <v>26</v>
      </c>
      <c r="F44">
        <v>1854</v>
      </c>
      <c r="G44" s="8">
        <f>F44*E44</f>
        <v>48204</v>
      </c>
      <c r="H44">
        <v>21</v>
      </c>
      <c r="I44" s="7" t="s">
        <v>118</v>
      </c>
      <c r="J44" s="15" t="s">
        <v>270</v>
      </c>
      <c r="K44" s="13">
        <v>44370</v>
      </c>
      <c r="L44">
        <v>51200</v>
      </c>
      <c r="M44" s="11" t="s">
        <v>298</v>
      </c>
    </row>
    <row r="45" spans="3:13">
      <c r="C45" s="12">
        <v>44392</v>
      </c>
      <c r="D45">
        <v>57</v>
      </c>
      <c r="E45">
        <f>D45/2</f>
        <v>28.5</v>
      </c>
      <c r="F45">
        <v>2200</v>
      </c>
      <c r="G45" s="8">
        <f>F45*E45</f>
        <v>62700</v>
      </c>
      <c r="H45">
        <v>29</v>
      </c>
      <c r="I45" s="7" t="s">
        <v>118</v>
      </c>
      <c r="J45" s="15" t="s">
        <v>271</v>
      </c>
      <c r="K45" s="13">
        <v>44392</v>
      </c>
      <c r="L45">
        <v>60000</v>
      </c>
      <c r="M45" s="11" t="s">
        <v>298</v>
      </c>
    </row>
    <row r="46" spans="3:13">
      <c r="C46" s="12">
        <v>44533</v>
      </c>
      <c r="D46">
        <v>90</v>
      </c>
      <c r="E46">
        <f>D46/2</f>
        <v>45</v>
      </c>
      <c r="F46">
        <v>2200</v>
      </c>
      <c r="G46" s="8">
        <f>F46*E46</f>
        <v>99000</v>
      </c>
      <c r="H46">
        <v>57</v>
      </c>
      <c r="I46" s="7" t="s">
        <v>536</v>
      </c>
      <c r="J46" s="15" t="s">
        <v>270</v>
      </c>
      <c r="K46" s="13">
        <v>44536</v>
      </c>
      <c r="L46">
        <v>99000</v>
      </c>
      <c r="M46" s="11" t="s">
        <v>298</v>
      </c>
    </row>
    <row r="47" spans="3:13">
      <c r="C47" s="12"/>
      <c r="G47" s="14"/>
      <c r="K47" s="13"/>
      <c r="M47" s="11"/>
    </row>
    <row r="48" spans="3:13">
      <c r="C48" s="12"/>
      <c r="G48" s="14"/>
      <c r="K48" s="13"/>
      <c r="M48" s="11"/>
    </row>
    <row r="49" spans="2:17">
      <c r="C49" s="12"/>
      <c r="G49" s="14"/>
      <c r="K49" s="13"/>
      <c r="M49" s="11"/>
    </row>
    <row r="50" spans="2:17">
      <c r="C50" s="12"/>
      <c r="G50" s="14"/>
      <c r="K50" s="13"/>
      <c r="M50" s="11"/>
    </row>
    <row r="51" spans="2:17">
      <c r="C51" s="12"/>
      <c r="E51" s="15"/>
      <c r="F51" s="15"/>
      <c r="G51" s="16"/>
      <c r="K51" s="13"/>
      <c r="L51" s="16"/>
      <c r="M51" s="11"/>
    </row>
    <row r="52" spans="2:17">
      <c r="C52" s="17" t="s">
        <v>7</v>
      </c>
      <c r="D52" s="15">
        <f>SUM(D42:D51)</f>
        <v>259</v>
      </c>
      <c r="E52" s="15">
        <f>SUM(E42:E51)</f>
        <v>129.5</v>
      </c>
      <c r="F52" s="15"/>
      <c r="G52" s="15">
        <f>SUM(G42:G51)</f>
        <v>287904</v>
      </c>
      <c r="H52" s="15"/>
      <c r="I52" s="15"/>
      <c r="J52" s="15"/>
      <c r="K52" s="18" t="s">
        <v>8</v>
      </c>
      <c r="L52" s="15">
        <f>SUM(L42:L51)</f>
        <v>285200</v>
      </c>
      <c r="M52" s="11"/>
    </row>
    <row r="53" spans="2:17">
      <c r="C53" s="19"/>
      <c r="D53" s="20"/>
      <c r="E53" s="20"/>
      <c r="F53" s="21" t="s">
        <v>9</v>
      </c>
      <c r="G53" s="22">
        <f>G52-L52</f>
        <v>2704</v>
      </c>
      <c r="H53" s="20"/>
      <c r="I53" s="20"/>
      <c r="J53" s="20"/>
      <c r="K53" s="23"/>
      <c r="L53" s="20"/>
      <c r="M53" s="24"/>
    </row>
    <row r="57" spans="2:17" ht="23.4">
      <c r="C57" s="230" t="s">
        <v>269</v>
      </c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Q57">
        <v>174</v>
      </c>
    </row>
    <row r="58" spans="2:17">
      <c r="C58" s="1" t="s">
        <v>0</v>
      </c>
      <c r="D58" s="2" t="s">
        <v>1</v>
      </c>
      <c r="E58" s="2" t="s">
        <v>2</v>
      </c>
      <c r="F58" s="2" t="s">
        <v>3</v>
      </c>
      <c r="G58" s="3" t="s">
        <v>4</v>
      </c>
      <c r="H58" s="2" t="s">
        <v>5</v>
      </c>
      <c r="I58" s="2"/>
      <c r="J58" s="2"/>
      <c r="K58" s="4" t="s">
        <v>0</v>
      </c>
      <c r="L58" s="2" t="s">
        <v>4</v>
      </c>
      <c r="M58" s="5"/>
      <c r="Q58">
        <v>-104</v>
      </c>
    </row>
    <row r="59" spans="2:17">
      <c r="C59" s="6"/>
      <c r="D59" s="7"/>
      <c r="E59" s="7"/>
      <c r="F59" s="7"/>
      <c r="G59" s="8">
        <v>76880</v>
      </c>
      <c r="H59" s="7" t="s">
        <v>304</v>
      </c>
      <c r="I59" s="7"/>
      <c r="J59" s="9"/>
      <c r="K59" s="10"/>
      <c r="L59" s="7"/>
      <c r="M59" s="11"/>
    </row>
    <row r="60" spans="2:17">
      <c r="C60" s="12">
        <v>44365</v>
      </c>
      <c r="D60">
        <v>37</v>
      </c>
      <c r="E60" s="7">
        <f t="shared" ref="E60:E67" si="4">D60/2</f>
        <v>18.5</v>
      </c>
      <c r="F60">
        <v>1800</v>
      </c>
      <c r="G60" s="8">
        <f t="shared" ref="G60:G67" si="5">F60*E60</f>
        <v>33300</v>
      </c>
      <c r="H60">
        <v>21</v>
      </c>
      <c r="I60" s="7" t="s">
        <v>118</v>
      </c>
      <c r="J60" s="7" t="s">
        <v>270</v>
      </c>
      <c r="K60" s="13">
        <v>44373</v>
      </c>
      <c r="L60">
        <v>100000</v>
      </c>
      <c r="M60" s="11" t="s">
        <v>303</v>
      </c>
    </row>
    <row r="61" spans="2:17">
      <c r="C61" s="12">
        <v>44371</v>
      </c>
      <c r="D61">
        <v>48</v>
      </c>
      <c r="E61" s="7">
        <f t="shared" si="4"/>
        <v>24</v>
      </c>
      <c r="F61">
        <v>2000</v>
      </c>
      <c r="G61" s="8">
        <f t="shared" si="5"/>
        <v>48000</v>
      </c>
      <c r="H61">
        <v>45</v>
      </c>
      <c r="I61" s="7" t="s">
        <v>6</v>
      </c>
      <c r="J61" s="7" t="s">
        <v>270</v>
      </c>
      <c r="K61" s="13">
        <v>44389</v>
      </c>
      <c r="L61">
        <v>100000</v>
      </c>
      <c r="M61" s="11" t="s">
        <v>303</v>
      </c>
      <c r="O61">
        <v>113</v>
      </c>
    </row>
    <row r="62" spans="2:17">
      <c r="C62" s="12">
        <v>44386</v>
      </c>
      <c r="D62">
        <v>78</v>
      </c>
      <c r="E62">
        <f t="shared" si="4"/>
        <v>39</v>
      </c>
      <c r="F62">
        <v>2200</v>
      </c>
      <c r="G62" s="8">
        <f t="shared" si="5"/>
        <v>85800</v>
      </c>
      <c r="H62">
        <v>26</v>
      </c>
      <c r="I62" s="7" t="s">
        <v>118</v>
      </c>
      <c r="J62" s="7" t="s">
        <v>270</v>
      </c>
      <c r="K62" s="13">
        <v>44446</v>
      </c>
      <c r="L62">
        <v>100000</v>
      </c>
      <c r="M62" s="11" t="s">
        <v>434</v>
      </c>
      <c r="O62">
        <v>-48</v>
      </c>
    </row>
    <row r="63" spans="2:17">
      <c r="C63" s="12">
        <v>44430</v>
      </c>
      <c r="D63">
        <v>68</v>
      </c>
      <c r="E63">
        <f t="shared" si="4"/>
        <v>34</v>
      </c>
      <c r="F63">
        <v>2500</v>
      </c>
      <c r="G63" s="8">
        <f t="shared" si="5"/>
        <v>85000</v>
      </c>
      <c r="H63">
        <v>49</v>
      </c>
      <c r="I63" s="7" t="s">
        <v>6</v>
      </c>
      <c r="J63" s="7" t="s">
        <v>270</v>
      </c>
      <c r="K63" s="13">
        <v>44447</v>
      </c>
      <c r="L63">
        <v>60000</v>
      </c>
      <c r="M63" s="11" t="s">
        <v>435</v>
      </c>
    </row>
    <row r="64" spans="2:17">
      <c r="B64">
        <v>2300</v>
      </c>
      <c r="C64" s="12">
        <v>44438</v>
      </c>
      <c r="D64">
        <v>70</v>
      </c>
      <c r="E64" s="7">
        <f t="shared" si="4"/>
        <v>35</v>
      </c>
      <c r="F64">
        <v>2200</v>
      </c>
      <c r="G64" s="14">
        <f t="shared" si="5"/>
        <v>77000</v>
      </c>
      <c r="H64">
        <v>50</v>
      </c>
      <c r="I64" s="7" t="s">
        <v>6</v>
      </c>
      <c r="J64" s="7" t="s">
        <v>270</v>
      </c>
      <c r="K64" s="13">
        <v>44476</v>
      </c>
      <c r="L64">
        <v>150000</v>
      </c>
      <c r="M64" s="11" t="s">
        <v>444</v>
      </c>
    </row>
    <row r="65" spans="3:13">
      <c r="C65" s="12">
        <v>44447</v>
      </c>
      <c r="D65">
        <v>50</v>
      </c>
      <c r="E65" s="7">
        <f t="shared" si="4"/>
        <v>25</v>
      </c>
      <c r="F65">
        <v>2200</v>
      </c>
      <c r="G65" s="14">
        <f t="shared" si="5"/>
        <v>55000</v>
      </c>
      <c r="H65">
        <v>59</v>
      </c>
      <c r="I65" s="7" t="s">
        <v>118</v>
      </c>
      <c r="J65" s="7" t="s">
        <v>270</v>
      </c>
      <c r="K65" s="13">
        <v>44481</v>
      </c>
      <c r="L65">
        <v>50000</v>
      </c>
      <c r="M65" s="11" t="s">
        <v>444</v>
      </c>
    </row>
    <row r="66" spans="3:13">
      <c r="C66" s="12">
        <v>44467</v>
      </c>
      <c r="D66">
        <v>104</v>
      </c>
      <c r="E66" s="7">
        <f t="shared" si="4"/>
        <v>52</v>
      </c>
      <c r="F66">
        <v>2100</v>
      </c>
      <c r="G66" s="14">
        <f t="shared" si="5"/>
        <v>109200</v>
      </c>
      <c r="H66">
        <v>52</v>
      </c>
      <c r="I66" s="7" t="s">
        <v>6</v>
      </c>
      <c r="J66" s="7" t="s">
        <v>270</v>
      </c>
      <c r="K66" s="13">
        <v>44536</v>
      </c>
      <c r="L66">
        <v>150000</v>
      </c>
      <c r="M66" s="11" t="s">
        <v>444</v>
      </c>
    </row>
    <row r="67" spans="3:13">
      <c r="C67" s="12">
        <v>44517</v>
      </c>
      <c r="D67">
        <v>48</v>
      </c>
      <c r="E67" s="7">
        <f t="shared" si="4"/>
        <v>24</v>
      </c>
      <c r="F67">
        <v>2150</v>
      </c>
      <c r="G67" s="14">
        <f t="shared" si="5"/>
        <v>51600</v>
      </c>
      <c r="H67">
        <v>55</v>
      </c>
      <c r="I67" s="7" t="s">
        <v>6</v>
      </c>
      <c r="J67" s="7" t="s">
        <v>271</v>
      </c>
      <c r="K67" s="13">
        <v>44199</v>
      </c>
      <c r="L67">
        <v>500000</v>
      </c>
      <c r="M67" s="11" t="s">
        <v>444</v>
      </c>
    </row>
    <row r="68" spans="3:13">
      <c r="C68" s="12"/>
      <c r="E68" s="7"/>
      <c r="G68" s="14"/>
      <c r="I68" s="7"/>
      <c r="J68" s="7"/>
      <c r="K68" s="13"/>
      <c r="M68" s="11"/>
    </row>
    <row r="69" spans="3:13">
      <c r="C69" s="12">
        <v>44541</v>
      </c>
      <c r="D69">
        <v>128</v>
      </c>
      <c r="E69" s="7">
        <f t="shared" ref="E69:E74" si="6">D69/2</f>
        <v>64</v>
      </c>
      <c r="F69">
        <v>2200</v>
      </c>
      <c r="G69" s="14">
        <f t="shared" ref="G69:G74" si="7">F69*E69</f>
        <v>140800</v>
      </c>
      <c r="H69">
        <v>66</v>
      </c>
      <c r="I69" s="7" t="s">
        <v>6</v>
      </c>
      <c r="J69" s="7" t="s">
        <v>270</v>
      </c>
      <c r="K69" s="13"/>
      <c r="M69" s="11"/>
    </row>
    <row r="70" spans="3:13">
      <c r="C70" s="12">
        <v>44544</v>
      </c>
      <c r="D70">
        <v>75</v>
      </c>
      <c r="E70" s="7">
        <f t="shared" si="6"/>
        <v>37.5</v>
      </c>
      <c r="F70">
        <v>2000</v>
      </c>
      <c r="G70" s="14">
        <f t="shared" si="7"/>
        <v>75000</v>
      </c>
      <c r="H70">
        <v>69</v>
      </c>
      <c r="I70" s="7" t="s">
        <v>6</v>
      </c>
      <c r="J70" s="7" t="s">
        <v>270</v>
      </c>
      <c r="K70" s="13"/>
      <c r="M70" s="11"/>
    </row>
    <row r="71" spans="3:13">
      <c r="C71" s="12">
        <v>44546</v>
      </c>
      <c r="D71">
        <v>150</v>
      </c>
      <c r="E71" s="7">
        <f t="shared" si="6"/>
        <v>75</v>
      </c>
      <c r="F71">
        <v>1850</v>
      </c>
      <c r="G71" s="14">
        <f t="shared" si="7"/>
        <v>138750</v>
      </c>
      <c r="H71">
        <v>70</v>
      </c>
      <c r="I71" s="7" t="s">
        <v>6</v>
      </c>
      <c r="J71" s="7" t="s">
        <v>270</v>
      </c>
      <c r="K71" s="13"/>
      <c r="M71" s="11"/>
    </row>
    <row r="72" spans="3:13">
      <c r="C72" s="12">
        <v>44551</v>
      </c>
      <c r="D72">
        <v>106</v>
      </c>
      <c r="E72" s="7">
        <f t="shared" si="6"/>
        <v>53</v>
      </c>
      <c r="F72">
        <v>1800</v>
      </c>
      <c r="G72" s="14">
        <f t="shared" si="7"/>
        <v>95400</v>
      </c>
      <c r="H72">
        <v>78</v>
      </c>
      <c r="I72" s="7" t="s">
        <v>6</v>
      </c>
      <c r="J72" s="7" t="s">
        <v>270</v>
      </c>
      <c r="K72" s="13"/>
      <c r="M72" s="11"/>
    </row>
    <row r="73" spans="3:13">
      <c r="C73" s="12">
        <v>44556</v>
      </c>
      <c r="D73">
        <v>98</v>
      </c>
      <c r="E73" s="7">
        <f t="shared" si="6"/>
        <v>49</v>
      </c>
      <c r="F73">
        <v>1650</v>
      </c>
      <c r="G73" s="14">
        <f t="shared" si="7"/>
        <v>80850</v>
      </c>
      <c r="H73">
        <v>86</v>
      </c>
      <c r="I73" s="7" t="s">
        <v>6</v>
      </c>
      <c r="J73" s="7" t="s">
        <v>271</v>
      </c>
      <c r="K73" s="13"/>
      <c r="M73" s="11"/>
    </row>
    <row r="74" spans="3:13">
      <c r="C74" s="12">
        <v>44560</v>
      </c>
      <c r="D74">
        <v>57</v>
      </c>
      <c r="E74" s="7">
        <f t="shared" si="6"/>
        <v>28.5</v>
      </c>
      <c r="F74">
        <v>1730</v>
      </c>
      <c r="G74" s="14">
        <f t="shared" si="7"/>
        <v>49305</v>
      </c>
      <c r="H74">
        <v>94</v>
      </c>
      <c r="I74" s="7" t="s">
        <v>6</v>
      </c>
      <c r="J74" s="7" t="s">
        <v>270</v>
      </c>
      <c r="K74" s="13"/>
      <c r="M74" s="11"/>
    </row>
    <row r="75" spans="3:13">
      <c r="C75" s="12"/>
      <c r="E75" s="7"/>
      <c r="G75" s="14"/>
      <c r="I75" s="7"/>
      <c r="J75" s="7"/>
      <c r="K75" s="13"/>
      <c r="M75" s="11"/>
    </row>
    <row r="76" spans="3:13">
      <c r="C76" s="12"/>
      <c r="E76" s="7"/>
      <c r="G76" s="14"/>
      <c r="I76" s="7"/>
      <c r="J76" s="7"/>
      <c r="K76" s="13"/>
      <c r="M76" s="11"/>
    </row>
    <row r="77" spans="3:13">
      <c r="C77" s="12"/>
      <c r="E77" s="15"/>
      <c r="F77" s="15"/>
      <c r="G77" s="16"/>
      <c r="K77" s="13"/>
      <c r="L77" s="16"/>
      <c r="M77" s="11"/>
    </row>
    <row r="78" spans="3:13">
      <c r="C78" s="17" t="s">
        <v>7</v>
      </c>
      <c r="D78" s="15">
        <f>SUM(D59:D77)</f>
        <v>1117</v>
      </c>
      <c r="E78" s="15">
        <f>SUM(E59:E77)</f>
        <v>558.5</v>
      </c>
      <c r="F78" s="15"/>
      <c r="G78" s="15">
        <f>SUM(G59:G77)</f>
        <v>1201885</v>
      </c>
      <c r="H78" s="15"/>
      <c r="I78" s="15"/>
      <c r="J78" s="15"/>
      <c r="K78" s="18" t="s">
        <v>8</v>
      </c>
      <c r="L78" s="15">
        <f>SUM(L59:L77)</f>
        <v>1210000</v>
      </c>
      <c r="M78" s="11"/>
    </row>
    <row r="79" spans="3:13">
      <c r="C79" s="19"/>
      <c r="D79" s="20"/>
      <c r="E79" s="20"/>
      <c r="F79" s="21" t="s">
        <v>9</v>
      </c>
      <c r="G79" s="22">
        <f>G78-L78</f>
        <v>-8115</v>
      </c>
      <c r="H79" s="20"/>
      <c r="I79" s="20"/>
      <c r="J79" s="20"/>
      <c r="K79" s="23"/>
      <c r="L79" s="20"/>
      <c r="M79" s="24"/>
    </row>
    <row r="83" spans="3:13" ht="23.4">
      <c r="C83" s="230" t="s">
        <v>297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2"/>
    </row>
    <row r="84" spans="3:13">
      <c r="C84" s="1" t="s">
        <v>0</v>
      </c>
      <c r="D84" s="2" t="s">
        <v>1</v>
      </c>
      <c r="E84" s="2" t="s">
        <v>2</v>
      </c>
      <c r="F84" s="2" t="s">
        <v>3</v>
      </c>
      <c r="G84" s="3" t="s">
        <v>4</v>
      </c>
      <c r="H84" s="2" t="s">
        <v>5</v>
      </c>
      <c r="I84" s="2"/>
      <c r="J84" s="2"/>
      <c r="K84" s="4" t="s">
        <v>0</v>
      </c>
      <c r="L84" s="2" t="s">
        <v>4</v>
      </c>
      <c r="M84" s="5"/>
    </row>
    <row r="85" spans="3:13">
      <c r="C85" s="6"/>
      <c r="D85" s="7"/>
      <c r="E85" s="7"/>
      <c r="F85" s="7"/>
      <c r="G85" s="8"/>
      <c r="H85" s="7"/>
      <c r="I85" s="7"/>
      <c r="J85" s="9"/>
      <c r="K85" s="10"/>
      <c r="L85" s="7"/>
      <c r="M85" s="11"/>
    </row>
    <row r="86" spans="3:13">
      <c r="C86" s="12">
        <v>44371</v>
      </c>
      <c r="D86">
        <v>65</v>
      </c>
      <c r="E86" s="7">
        <f>D86/2</f>
        <v>32.5</v>
      </c>
      <c r="F86">
        <v>2000</v>
      </c>
      <c r="G86" s="8">
        <f>F86*E86</f>
        <v>65000</v>
      </c>
      <c r="H86">
        <v>45</v>
      </c>
      <c r="I86" s="7" t="s">
        <v>6</v>
      </c>
      <c r="J86" t="s">
        <v>270</v>
      </c>
      <c r="K86" s="13">
        <v>44387</v>
      </c>
      <c r="L86">
        <v>65000</v>
      </c>
      <c r="M86" s="11" t="s">
        <v>341</v>
      </c>
    </row>
    <row r="87" spans="3:13">
      <c r="C87" s="12"/>
      <c r="G87" s="14"/>
      <c r="K87" s="13"/>
      <c r="M87" s="11"/>
    </row>
    <row r="88" spans="3:13">
      <c r="C88" s="12"/>
      <c r="G88" s="14"/>
      <c r="K88" s="13"/>
      <c r="M88" s="11"/>
    </row>
    <row r="89" spans="3:13">
      <c r="C89" s="12"/>
      <c r="G89" s="14"/>
      <c r="K89" s="13"/>
      <c r="M89" s="11"/>
    </row>
    <row r="90" spans="3:13">
      <c r="C90" s="12"/>
      <c r="G90" s="14"/>
      <c r="K90" s="13"/>
      <c r="M90" s="11"/>
    </row>
    <row r="91" spans="3:13">
      <c r="C91" s="12"/>
      <c r="G91" s="14"/>
      <c r="K91" s="13"/>
      <c r="M91" s="11"/>
    </row>
    <row r="92" spans="3:13">
      <c r="C92" s="12"/>
      <c r="G92" s="14"/>
      <c r="K92" s="13"/>
      <c r="M92" s="11"/>
    </row>
    <row r="93" spans="3:13">
      <c r="C93" s="12"/>
      <c r="G93" s="14"/>
      <c r="K93" s="13"/>
      <c r="M93" s="11"/>
    </row>
    <row r="94" spans="3:13">
      <c r="C94" s="12"/>
      <c r="E94" s="15"/>
      <c r="F94" s="15"/>
      <c r="G94" s="16"/>
      <c r="K94" s="13"/>
      <c r="L94" s="16"/>
      <c r="M94" s="11"/>
    </row>
    <row r="95" spans="3:13">
      <c r="C95" s="17" t="s">
        <v>7</v>
      </c>
      <c r="D95" s="15">
        <f>SUM(D85:D94)</f>
        <v>65</v>
      </c>
      <c r="E95" s="15">
        <f>SUM(E85:E94)</f>
        <v>32.5</v>
      </c>
      <c r="F95" s="15"/>
      <c r="G95" s="15">
        <f>SUM(G85:G94)</f>
        <v>65000</v>
      </c>
      <c r="H95" s="15"/>
      <c r="I95" s="15"/>
      <c r="J95" s="15"/>
      <c r="K95" s="18" t="s">
        <v>8</v>
      </c>
      <c r="L95" s="15">
        <f>SUM(L85:L94)</f>
        <v>65000</v>
      </c>
      <c r="M95" s="11"/>
    </row>
    <row r="96" spans="3:13">
      <c r="C96" s="19"/>
      <c r="D96" s="20"/>
      <c r="E96" s="20"/>
      <c r="F96" s="21" t="s">
        <v>9</v>
      </c>
      <c r="G96" s="22">
        <f>G95-L95</f>
        <v>0</v>
      </c>
      <c r="H96" s="20"/>
      <c r="I96" s="20"/>
      <c r="J96" s="20"/>
      <c r="K96" s="23"/>
      <c r="L96" s="20"/>
      <c r="M96" s="24"/>
    </row>
    <row r="100" spans="3:15" ht="23.4">
      <c r="C100" s="230" t="s">
        <v>373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2"/>
    </row>
    <row r="101" spans="3:15">
      <c r="C101" s="1" t="s">
        <v>0</v>
      </c>
      <c r="D101" s="2" t="s">
        <v>1</v>
      </c>
      <c r="E101" s="2" t="s">
        <v>2</v>
      </c>
      <c r="F101" s="2" t="s">
        <v>3</v>
      </c>
      <c r="G101" s="3" t="s">
        <v>4</v>
      </c>
      <c r="H101" s="2" t="s">
        <v>5</v>
      </c>
      <c r="I101" s="2"/>
      <c r="J101" s="2"/>
      <c r="K101" s="4" t="s">
        <v>0</v>
      </c>
      <c r="L101" s="2" t="s">
        <v>4</v>
      </c>
      <c r="M101" s="5"/>
    </row>
    <row r="102" spans="3:15">
      <c r="C102" s="6"/>
      <c r="D102" s="7"/>
      <c r="E102" s="7"/>
      <c r="F102" s="7"/>
      <c r="G102" s="8"/>
      <c r="H102" s="7"/>
      <c r="I102" s="7"/>
      <c r="J102" s="9"/>
      <c r="K102" s="10"/>
      <c r="L102" s="7"/>
      <c r="M102" s="11"/>
      <c r="O102">
        <v>-173</v>
      </c>
    </row>
    <row r="103" spans="3:15">
      <c r="C103" s="12">
        <v>44412</v>
      </c>
      <c r="D103">
        <v>40</v>
      </c>
      <c r="E103" s="7">
        <f>D103/2</f>
        <v>20</v>
      </c>
      <c r="F103">
        <v>2750</v>
      </c>
      <c r="G103" s="8">
        <f t="shared" ref="G103:G108" si="8">F103*E103</f>
        <v>55000</v>
      </c>
      <c r="H103">
        <v>48</v>
      </c>
      <c r="I103" s="7" t="s">
        <v>6</v>
      </c>
      <c r="J103" t="s">
        <v>271</v>
      </c>
      <c r="K103" s="13">
        <v>44472</v>
      </c>
      <c r="L103">
        <v>55000</v>
      </c>
      <c r="M103" s="11" t="s">
        <v>448</v>
      </c>
      <c r="O103">
        <v>101</v>
      </c>
    </row>
    <row r="104" spans="3:15">
      <c r="C104" s="12">
        <v>44547</v>
      </c>
      <c r="D104">
        <v>99</v>
      </c>
      <c r="E104" s="7">
        <f t="shared" ref="E104:E111" si="9">D104/2</f>
        <v>49.5</v>
      </c>
      <c r="F104">
        <v>1850</v>
      </c>
      <c r="G104" s="8">
        <f t="shared" si="8"/>
        <v>91575</v>
      </c>
      <c r="H104">
        <v>70</v>
      </c>
      <c r="I104" s="7" t="s">
        <v>6</v>
      </c>
      <c r="J104" t="s">
        <v>270</v>
      </c>
      <c r="K104" s="13">
        <v>44559</v>
      </c>
      <c r="L104">
        <v>300000</v>
      </c>
      <c r="M104" s="11" t="s">
        <v>605</v>
      </c>
      <c r="O104">
        <v>32</v>
      </c>
    </row>
    <row r="105" spans="3:15">
      <c r="C105" s="12">
        <v>44551</v>
      </c>
      <c r="D105">
        <v>77</v>
      </c>
      <c r="E105" s="7">
        <f t="shared" si="9"/>
        <v>38.5</v>
      </c>
      <c r="F105">
        <v>1800</v>
      </c>
      <c r="G105" s="8">
        <f t="shared" si="8"/>
        <v>69300</v>
      </c>
      <c r="H105">
        <v>77</v>
      </c>
      <c r="I105" t="s">
        <v>6</v>
      </c>
      <c r="J105" t="s">
        <v>270</v>
      </c>
      <c r="K105" s="13"/>
      <c r="M105" s="11"/>
    </row>
    <row r="106" spans="3:15">
      <c r="C106" s="12">
        <v>44556</v>
      </c>
      <c r="D106">
        <v>44</v>
      </c>
      <c r="E106" s="7">
        <f t="shared" si="9"/>
        <v>22</v>
      </c>
      <c r="F106">
        <v>1680</v>
      </c>
      <c r="G106" s="8">
        <f t="shared" si="8"/>
        <v>36960</v>
      </c>
      <c r="H106">
        <v>86</v>
      </c>
      <c r="I106" s="7" t="s">
        <v>6</v>
      </c>
      <c r="J106" t="s">
        <v>271</v>
      </c>
      <c r="K106" s="13"/>
      <c r="M106" s="11"/>
    </row>
    <row r="107" spans="3:15">
      <c r="C107" s="12">
        <v>44561</v>
      </c>
      <c r="D107">
        <v>77</v>
      </c>
      <c r="E107" s="7">
        <f t="shared" si="9"/>
        <v>38.5</v>
      </c>
      <c r="F107">
        <v>1750</v>
      </c>
      <c r="G107" s="8">
        <f t="shared" si="8"/>
        <v>67375</v>
      </c>
      <c r="H107">
        <v>94</v>
      </c>
      <c r="I107" s="7" t="s">
        <v>6</v>
      </c>
      <c r="J107" t="s">
        <v>270</v>
      </c>
      <c r="K107" s="13"/>
      <c r="M107" s="11"/>
    </row>
    <row r="108" spans="3:15">
      <c r="C108" s="12"/>
      <c r="E108" s="7">
        <f t="shared" si="9"/>
        <v>0</v>
      </c>
      <c r="G108" s="8">
        <f t="shared" si="8"/>
        <v>0</v>
      </c>
      <c r="K108" s="13"/>
      <c r="M108" s="11"/>
    </row>
    <row r="109" spans="3:15">
      <c r="C109" s="12"/>
      <c r="E109" s="7">
        <f t="shared" si="9"/>
        <v>0</v>
      </c>
      <c r="G109" s="14"/>
      <c r="K109" s="13"/>
      <c r="M109" s="11"/>
    </row>
    <row r="110" spans="3:15">
      <c r="C110" s="12"/>
      <c r="E110" s="7">
        <f t="shared" si="9"/>
        <v>0</v>
      </c>
      <c r="G110" s="14"/>
      <c r="K110" s="13"/>
      <c r="M110" s="11"/>
    </row>
    <row r="111" spans="3:15">
      <c r="C111" s="12"/>
      <c r="E111" s="7">
        <f t="shared" si="9"/>
        <v>0</v>
      </c>
      <c r="F111" s="15"/>
      <c r="G111" s="16"/>
      <c r="K111" s="13"/>
      <c r="L111" s="16"/>
      <c r="M111" s="11"/>
    </row>
    <row r="112" spans="3:15">
      <c r="C112" s="17" t="s">
        <v>7</v>
      </c>
      <c r="D112" s="15">
        <f>SUM(D102:D111)</f>
        <v>337</v>
      </c>
      <c r="E112" s="15">
        <f>SUM(E102:E111)</f>
        <v>168.5</v>
      </c>
      <c r="F112" s="15"/>
      <c r="G112" s="15">
        <f>SUM(G102:G111)</f>
        <v>320210</v>
      </c>
      <c r="H112" s="15"/>
      <c r="I112" s="15"/>
      <c r="J112" s="15"/>
      <c r="K112" s="18" t="s">
        <v>8</v>
      </c>
      <c r="L112" s="15">
        <f>SUM(L102:L111)</f>
        <v>355000</v>
      </c>
      <c r="M112" s="11"/>
    </row>
    <row r="113" spans="3:13">
      <c r="C113" s="19"/>
      <c r="D113" s="20"/>
      <c r="E113" s="20"/>
      <c r="F113" s="21" t="s">
        <v>9</v>
      </c>
      <c r="G113" s="22">
        <f>G112-L112</f>
        <v>-34790</v>
      </c>
      <c r="H113" s="20"/>
      <c r="I113" s="20"/>
      <c r="J113" s="20"/>
      <c r="K113" s="23"/>
      <c r="L113" s="20"/>
      <c r="M113" s="24"/>
    </row>
    <row r="117" spans="3:13" ht="23.4">
      <c r="C117" s="230" t="s">
        <v>491</v>
      </c>
      <c r="D117" s="231"/>
      <c r="E117" s="231"/>
      <c r="F117" s="231"/>
      <c r="G117" s="231"/>
      <c r="H117" s="231"/>
      <c r="I117" s="231"/>
      <c r="J117" s="231"/>
      <c r="K117" s="231"/>
      <c r="L117" s="231"/>
      <c r="M117" s="232"/>
    </row>
    <row r="118" spans="3:13">
      <c r="C118" s="1" t="s">
        <v>0</v>
      </c>
      <c r="D118" s="2" t="s">
        <v>1</v>
      </c>
      <c r="E118" s="2" t="s">
        <v>2</v>
      </c>
      <c r="F118" s="2" t="s">
        <v>3</v>
      </c>
      <c r="G118" s="3" t="s">
        <v>4</v>
      </c>
      <c r="H118" s="2" t="s">
        <v>5</v>
      </c>
      <c r="I118" s="2" t="s">
        <v>19</v>
      </c>
      <c r="J118" s="2"/>
      <c r="K118" s="4" t="s">
        <v>0</v>
      </c>
      <c r="L118" s="2" t="s">
        <v>4</v>
      </c>
      <c r="M118" s="5"/>
    </row>
    <row r="119" spans="3:13">
      <c r="C119" s="6"/>
      <c r="D119" s="7"/>
      <c r="E119" s="7"/>
      <c r="F119" s="7"/>
      <c r="G119" s="8"/>
      <c r="H119" s="7"/>
      <c r="I119" s="7"/>
      <c r="J119" s="9"/>
      <c r="K119" s="10"/>
      <c r="L119" s="7"/>
      <c r="M119" s="11"/>
    </row>
    <row r="120" spans="3:13">
      <c r="C120" s="12">
        <v>44541</v>
      </c>
      <c r="D120">
        <v>144</v>
      </c>
      <c r="E120" s="7">
        <f>D120/2</f>
        <v>72</v>
      </c>
      <c r="F120">
        <v>2250</v>
      </c>
      <c r="G120" s="8">
        <f>F120*E120</f>
        <v>162000</v>
      </c>
      <c r="H120">
        <v>66</v>
      </c>
      <c r="I120" s="7" t="s">
        <v>6</v>
      </c>
      <c r="J120" t="s">
        <v>270</v>
      </c>
      <c r="K120" s="13">
        <v>44558</v>
      </c>
      <c r="L120">
        <v>200000</v>
      </c>
      <c r="M120" s="11" t="s">
        <v>587</v>
      </c>
    </row>
    <row r="121" spans="3:13">
      <c r="C121" s="12">
        <v>44546</v>
      </c>
      <c r="D121">
        <v>84</v>
      </c>
      <c r="E121">
        <v>42</v>
      </c>
      <c r="F121">
        <v>1850</v>
      </c>
      <c r="G121" s="8">
        <f>F121*E121</f>
        <v>77700</v>
      </c>
      <c r="H121">
        <v>70</v>
      </c>
      <c r="I121" s="7" t="s">
        <v>6</v>
      </c>
      <c r="J121" t="s">
        <v>270</v>
      </c>
      <c r="K121" s="13"/>
      <c r="L121">
        <v>39700</v>
      </c>
      <c r="M121" s="11" t="s">
        <v>636</v>
      </c>
    </row>
    <row r="122" spans="3:13">
      <c r="C122" s="12"/>
      <c r="G122" s="14"/>
      <c r="K122" s="13"/>
      <c r="M122" s="11"/>
    </row>
    <row r="123" spans="3:13">
      <c r="C123" s="12"/>
      <c r="G123" s="14"/>
      <c r="K123" s="13"/>
      <c r="M123" s="11"/>
    </row>
    <row r="124" spans="3:13">
      <c r="C124" s="12"/>
      <c r="G124" s="14"/>
      <c r="K124" s="13"/>
      <c r="M124" s="11"/>
    </row>
    <row r="125" spans="3:13">
      <c r="C125" s="12"/>
      <c r="G125" s="14"/>
      <c r="K125" s="13"/>
      <c r="M125" s="11"/>
    </row>
    <row r="126" spans="3:13">
      <c r="C126" s="12"/>
      <c r="G126" s="14"/>
      <c r="K126" s="13"/>
      <c r="M126" s="11"/>
    </row>
    <row r="127" spans="3:13">
      <c r="C127" s="12"/>
      <c r="G127" s="14"/>
      <c r="K127" s="13"/>
      <c r="M127" s="11"/>
    </row>
    <row r="128" spans="3:13">
      <c r="C128" s="12"/>
      <c r="E128" s="15"/>
      <c r="F128" s="15"/>
      <c r="G128" s="16"/>
      <c r="K128" s="13"/>
      <c r="L128" s="16"/>
      <c r="M128" s="11"/>
    </row>
    <row r="129" spans="3:13">
      <c r="C129" s="17" t="s">
        <v>7</v>
      </c>
      <c r="D129" s="15">
        <f>SUM(D119:D128)</f>
        <v>228</v>
      </c>
      <c r="E129" s="15">
        <f>SUM(E119:E128)</f>
        <v>114</v>
      </c>
      <c r="F129" s="15"/>
      <c r="G129" s="15">
        <f>SUM(G119:G128)</f>
        <v>239700</v>
      </c>
      <c r="H129" s="15"/>
      <c r="I129" s="15"/>
      <c r="J129" s="15"/>
      <c r="K129" s="18" t="s">
        <v>8</v>
      </c>
      <c r="L129" s="15">
        <f>SUM(L119:L128)</f>
        <v>239700</v>
      </c>
      <c r="M129" s="11"/>
    </row>
    <row r="130" spans="3:13">
      <c r="C130" s="19"/>
      <c r="D130" s="20"/>
      <c r="E130" s="20"/>
      <c r="F130" s="21" t="s">
        <v>9</v>
      </c>
      <c r="G130" s="22">
        <f>G129-L129</f>
        <v>0</v>
      </c>
      <c r="H130" s="20"/>
      <c r="I130" s="20"/>
      <c r="J130" s="20"/>
      <c r="K130" s="23"/>
      <c r="L130" s="20"/>
      <c r="M130" s="24"/>
    </row>
    <row r="134" spans="3:13" ht="23.4">
      <c r="C134" s="230" t="s">
        <v>492</v>
      </c>
      <c r="D134" s="231"/>
      <c r="E134" s="231"/>
      <c r="F134" s="231"/>
      <c r="G134" s="231"/>
      <c r="H134" s="231"/>
      <c r="I134" s="231"/>
      <c r="J134" s="231"/>
      <c r="K134" s="231"/>
      <c r="L134" s="231"/>
      <c r="M134" s="232"/>
    </row>
    <row r="135" spans="3:13">
      <c r="C135" s="1" t="s">
        <v>0</v>
      </c>
      <c r="D135" s="2" t="s">
        <v>1</v>
      </c>
      <c r="E135" s="2" t="s">
        <v>2</v>
      </c>
      <c r="F135" s="2" t="s">
        <v>3</v>
      </c>
      <c r="G135" s="3" t="s">
        <v>4</v>
      </c>
      <c r="H135" s="2" t="s">
        <v>5</v>
      </c>
      <c r="I135" s="2" t="s">
        <v>19</v>
      </c>
      <c r="J135" s="2"/>
      <c r="K135" s="4" t="s">
        <v>0</v>
      </c>
      <c r="L135" s="2" t="s">
        <v>4</v>
      </c>
      <c r="M135" s="5"/>
    </row>
    <row r="136" spans="3:13">
      <c r="C136" s="6"/>
      <c r="D136" s="7"/>
      <c r="E136" s="7"/>
      <c r="F136" s="7"/>
      <c r="G136" s="8"/>
      <c r="H136" s="7"/>
      <c r="I136" s="7"/>
      <c r="J136" s="9"/>
      <c r="K136" s="10"/>
      <c r="L136" s="7"/>
      <c r="M136" s="11"/>
    </row>
    <row r="137" spans="3:13">
      <c r="C137" s="12">
        <v>44541</v>
      </c>
      <c r="D137">
        <v>14</v>
      </c>
      <c r="E137" s="7">
        <f>D137/2</f>
        <v>7</v>
      </c>
      <c r="F137">
        <v>2250</v>
      </c>
      <c r="G137" s="8">
        <f>F137*E137</f>
        <v>15750</v>
      </c>
      <c r="H137">
        <v>66</v>
      </c>
      <c r="I137" s="7" t="s">
        <v>6</v>
      </c>
      <c r="J137" t="s">
        <v>270</v>
      </c>
      <c r="K137" s="13">
        <v>44201</v>
      </c>
      <c r="L137">
        <v>110575</v>
      </c>
      <c r="M137" s="11" t="s">
        <v>635</v>
      </c>
    </row>
    <row r="138" spans="3:13">
      <c r="C138" s="12">
        <v>44560</v>
      </c>
      <c r="D138">
        <v>27</v>
      </c>
      <c r="E138" s="7">
        <f>D138/2</f>
        <v>13.5</v>
      </c>
      <c r="F138">
        <v>1750</v>
      </c>
      <c r="G138" s="8">
        <f>F138*E138</f>
        <v>23625</v>
      </c>
      <c r="H138">
        <v>94</v>
      </c>
      <c r="I138" s="7" t="s">
        <v>6</v>
      </c>
      <c r="J138" t="s">
        <v>270</v>
      </c>
      <c r="K138" s="13"/>
      <c r="M138" s="11"/>
    </row>
    <row r="139" spans="3:13">
      <c r="C139" s="12">
        <v>44561</v>
      </c>
      <c r="D139">
        <v>36</v>
      </c>
      <c r="E139" s="7">
        <f>D139/2</f>
        <v>18</v>
      </c>
      <c r="F139">
        <v>1750</v>
      </c>
      <c r="G139" s="8">
        <f>F139*E139</f>
        <v>31500</v>
      </c>
      <c r="H139">
        <v>94</v>
      </c>
      <c r="I139" s="7" t="s">
        <v>6</v>
      </c>
      <c r="J139" t="s">
        <v>270</v>
      </c>
      <c r="K139" s="13"/>
      <c r="M139" s="11"/>
    </row>
    <row r="140" spans="3:13">
      <c r="C140" s="12"/>
      <c r="E140" s="7">
        <f>D140/2</f>
        <v>0</v>
      </c>
      <c r="G140" s="8">
        <v>39700</v>
      </c>
      <c r="H140" t="s">
        <v>637</v>
      </c>
      <c r="K140" s="13"/>
      <c r="M140" s="11"/>
    </row>
    <row r="141" spans="3:13">
      <c r="C141" s="12"/>
      <c r="G141" s="14"/>
      <c r="K141" s="13"/>
      <c r="M141" s="11"/>
    </row>
    <row r="142" spans="3:13">
      <c r="C142" s="12"/>
      <c r="G142" s="14"/>
      <c r="K142" s="13"/>
      <c r="M142" s="11"/>
    </row>
    <row r="143" spans="3:13">
      <c r="C143" s="12"/>
      <c r="G143" s="14"/>
      <c r="K143" s="13"/>
      <c r="M143" s="11"/>
    </row>
    <row r="144" spans="3:13">
      <c r="C144" s="12"/>
      <c r="G144" s="14"/>
      <c r="K144" s="13"/>
      <c r="M144" s="11"/>
    </row>
    <row r="145" spans="3:13">
      <c r="C145" s="12"/>
      <c r="E145" s="15"/>
      <c r="F145" s="15"/>
      <c r="G145" s="16"/>
      <c r="K145" s="13"/>
      <c r="L145" s="16"/>
      <c r="M145" s="11"/>
    </row>
    <row r="146" spans="3:13">
      <c r="C146" s="17" t="s">
        <v>7</v>
      </c>
      <c r="D146" s="15">
        <f>SUM(D136:D145)</f>
        <v>77</v>
      </c>
      <c r="E146" s="15">
        <f>SUM(E136:E145)</f>
        <v>38.5</v>
      </c>
      <c r="F146" s="15"/>
      <c r="G146" s="15">
        <f>SUM(G136:G145)</f>
        <v>110575</v>
      </c>
      <c r="H146" s="15"/>
      <c r="I146" s="15"/>
      <c r="J146" s="15"/>
      <c r="K146" s="18" t="s">
        <v>8</v>
      </c>
      <c r="L146" s="15">
        <f>SUM(L136:L145)</f>
        <v>110575</v>
      </c>
      <c r="M146" s="11"/>
    </row>
    <row r="147" spans="3:13">
      <c r="C147" s="19"/>
      <c r="D147" s="20"/>
      <c r="E147" s="20"/>
      <c r="F147" s="21" t="s">
        <v>9</v>
      </c>
      <c r="G147" s="22">
        <f>G146-L146</f>
        <v>0</v>
      </c>
      <c r="H147" s="20"/>
      <c r="I147" s="20"/>
      <c r="J147" s="20"/>
      <c r="K147" s="23"/>
      <c r="L147" s="20"/>
      <c r="M147" s="24"/>
    </row>
    <row r="151" spans="3:13" ht="23.4">
      <c r="C151" s="230" t="s">
        <v>530</v>
      </c>
      <c r="D151" s="231"/>
      <c r="E151" s="231"/>
      <c r="F151" s="231"/>
      <c r="G151" s="231"/>
      <c r="H151" s="231"/>
      <c r="I151" s="231"/>
      <c r="J151" s="231"/>
      <c r="K151" s="231"/>
      <c r="L151" s="231"/>
      <c r="M151" s="232"/>
    </row>
    <row r="152" spans="3:13">
      <c r="C152" s="1" t="s">
        <v>0</v>
      </c>
      <c r="D152" s="2" t="s">
        <v>1</v>
      </c>
      <c r="E152" s="2" t="s">
        <v>2</v>
      </c>
      <c r="F152" s="2" t="s">
        <v>3</v>
      </c>
      <c r="G152" s="3" t="s">
        <v>4</v>
      </c>
      <c r="H152" s="2" t="s">
        <v>5</v>
      </c>
      <c r="I152" s="2" t="s">
        <v>19</v>
      </c>
      <c r="J152" s="2"/>
      <c r="K152" s="4" t="s">
        <v>0</v>
      </c>
      <c r="L152" s="2" t="s">
        <v>4</v>
      </c>
      <c r="M152" s="5"/>
    </row>
    <row r="153" spans="3:13">
      <c r="C153" s="6"/>
      <c r="D153" s="7"/>
      <c r="E153" s="7"/>
      <c r="F153" s="7"/>
      <c r="G153" s="8"/>
      <c r="H153" s="7"/>
      <c r="I153" s="7"/>
      <c r="J153" s="9"/>
      <c r="K153" s="10"/>
      <c r="L153" s="7"/>
      <c r="M153" s="11"/>
    </row>
    <row r="154" spans="3:13">
      <c r="C154" s="12">
        <v>44547</v>
      </c>
      <c r="D154">
        <v>56</v>
      </c>
      <c r="E154" s="7">
        <f>D154/2</f>
        <v>28</v>
      </c>
      <c r="F154">
        <v>1850</v>
      </c>
      <c r="G154" s="8">
        <f>F154*E154</f>
        <v>51800</v>
      </c>
      <c r="H154">
        <v>70</v>
      </c>
      <c r="I154" s="7" t="s">
        <v>6</v>
      </c>
      <c r="K154" s="13">
        <v>44555</v>
      </c>
      <c r="L154">
        <v>70000</v>
      </c>
      <c r="M154" s="11" t="s">
        <v>577</v>
      </c>
    </row>
    <row r="155" spans="3:13">
      <c r="C155" s="12">
        <v>44551</v>
      </c>
      <c r="D155">
        <v>29</v>
      </c>
      <c r="E155" s="7">
        <f>D155/2</f>
        <v>14.5</v>
      </c>
      <c r="F155">
        <v>1800</v>
      </c>
      <c r="G155" s="8">
        <f>F155*E155</f>
        <v>26100</v>
      </c>
      <c r="H155">
        <v>77</v>
      </c>
      <c r="I155" t="s">
        <v>6</v>
      </c>
      <c r="K155" s="13"/>
      <c r="M155" s="11"/>
    </row>
    <row r="156" spans="3:13">
      <c r="C156" s="12">
        <v>44561</v>
      </c>
      <c r="D156">
        <v>31</v>
      </c>
      <c r="E156" s="7">
        <f>D156/2</f>
        <v>15.5</v>
      </c>
      <c r="F156">
        <v>1750</v>
      </c>
      <c r="G156" s="8">
        <f>F156*E156</f>
        <v>27125</v>
      </c>
      <c r="H156">
        <v>94</v>
      </c>
      <c r="I156" t="s">
        <v>6</v>
      </c>
      <c r="K156" s="13"/>
      <c r="M156" s="11"/>
    </row>
    <row r="157" spans="3:13">
      <c r="C157" s="12"/>
      <c r="G157" s="14"/>
      <c r="K157" s="13"/>
      <c r="M157" s="11"/>
    </row>
    <row r="158" spans="3:13">
      <c r="C158" s="12"/>
      <c r="G158" s="14"/>
      <c r="K158" s="13"/>
      <c r="M158" s="11"/>
    </row>
    <row r="159" spans="3:13">
      <c r="C159" s="12"/>
      <c r="G159" s="14"/>
      <c r="K159" s="13"/>
      <c r="M159" s="11"/>
    </row>
    <row r="160" spans="3:13">
      <c r="C160" s="12"/>
      <c r="G160" s="14"/>
      <c r="K160" s="13"/>
      <c r="M160" s="11"/>
    </row>
    <row r="161" spans="3:13">
      <c r="C161" s="12"/>
      <c r="G161" s="14"/>
      <c r="K161" s="13"/>
      <c r="M161" s="11"/>
    </row>
    <row r="162" spans="3:13">
      <c r="C162" s="12"/>
      <c r="E162" s="15"/>
      <c r="F162" s="15"/>
      <c r="G162" s="16"/>
      <c r="K162" s="13"/>
      <c r="L162" s="16"/>
      <c r="M162" s="11"/>
    </row>
    <row r="163" spans="3:13">
      <c r="C163" s="17" t="s">
        <v>7</v>
      </c>
      <c r="D163" s="15">
        <f>SUM(D153:D162)</f>
        <v>116</v>
      </c>
      <c r="E163" s="15">
        <f>SUM(E153:E162)</f>
        <v>58</v>
      </c>
      <c r="F163" s="15"/>
      <c r="G163" s="15">
        <f>SUM(G153:G162)</f>
        <v>105025</v>
      </c>
      <c r="H163" s="15"/>
      <c r="I163" s="15"/>
      <c r="J163" s="15"/>
      <c r="K163" s="18" t="s">
        <v>8</v>
      </c>
      <c r="L163" s="15">
        <f>SUM(L153:L162)</f>
        <v>70000</v>
      </c>
      <c r="M163" s="11"/>
    </row>
    <row r="164" spans="3:13">
      <c r="C164" s="19"/>
      <c r="D164" s="20"/>
      <c r="E164" s="20"/>
      <c r="F164" s="21" t="s">
        <v>9</v>
      </c>
      <c r="G164" s="22">
        <f>G163-L163</f>
        <v>35025</v>
      </c>
      <c r="H164" s="20"/>
      <c r="I164" s="20"/>
      <c r="J164" s="20"/>
      <c r="K164" s="23"/>
      <c r="L164" s="20"/>
      <c r="M164" s="24"/>
    </row>
    <row r="168" spans="3:13" ht="23.4">
      <c r="C168" s="230" t="s">
        <v>610</v>
      </c>
      <c r="D168" s="231"/>
      <c r="E168" s="231"/>
      <c r="F168" s="231"/>
      <c r="G168" s="231"/>
      <c r="H168" s="231"/>
      <c r="I168" s="231"/>
      <c r="J168" s="231"/>
      <c r="K168" s="231"/>
      <c r="L168" s="231"/>
      <c r="M168" s="232"/>
    </row>
    <row r="169" spans="3:13">
      <c r="C169" s="1" t="s">
        <v>0</v>
      </c>
      <c r="D169" s="2" t="s">
        <v>1</v>
      </c>
      <c r="E169" s="2" t="s">
        <v>2</v>
      </c>
      <c r="F169" s="2" t="s">
        <v>3</v>
      </c>
      <c r="G169" s="3" t="s">
        <v>4</v>
      </c>
      <c r="H169" s="2" t="s">
        <v>5</v>
      </c>
      <c r="I169" s="2" t="s">
        <v>19</v>
      </c>
      <c r="J169" s="2"/>
      <c r="K169" s="4" t="s">
        <v>0</v>
      </c>
      <c r="L169" s="2" t="s">
        <v>4</v>
      </c>
      <c r="M169" s="5"/>
    </row>
    <row r="170" spans="3:13">
      <c r="C170" s="6"/>
      <c r="D170" s="7"/>
      <c r="E170" s="7"/>
      <c r="F170" s="7"/>
      <c r="G170" s="8"/>
      <c r="H170" s="7"/>
      <c r="I170" s="7"/>
      <c r="J170" s="9"/>
      <c r="K170" s="10"/>
      <c r="L170" s="7"/>
      <c r="M170" s="11"/>
    </row>
    <row r="171" spans="3:13">
      <c r="C171" s="12">
        <v>44561</v>
      </c>
      <c r="D171">
        <v>32</v>
      </c>
      <c r="E171" s="7">
        <f>D171/2</f>
        <v>16</v>
      </c>
      <c r="F171">
        <v>1750</v>
      </c>
      <c r="G171" s="8">
        <f>F171*E171</f>
        <v>28000</v>
      </c>
      <c r="H171">
        <v>94</v>
      </c>
      <c r="I171" t="s">
        <v>6</v>
      </c>
      <c r="K171" s="13"/>
      <c r="M171" s="11"/>
    </row>
    <row r="172" spans="3:13">
      <c r="C172" s="12"/>
      <c r="G172" s="14"/>
      <c r="K172" s="13"/>
      <c r="M172" s="11"/>
    </row>
    <row r="173" spans="3:13">
      <c r="C173" s="12"/>
      <c r="G173" s="14"/>
      <c r="K173" s="13"/>
      <c r="M173" s="11"/>
    </row>
    <row r="174" spans="3:13">
      <c r="C174" s="12"/>
      <c r="G174" s="14"/>
      <c r="K174" s="13"/>
      <c r="M174" s="11"/>
    </row>
    <row r="175" spans="3:13">
      <c r="C175" s="12"/>
      <c r="G175" s="14"/>
      <c r="K175" s="13"/>
      <c r="M175" s="11"/>
    </row>
    <row r="176" spans="3:13">
      <c r="C176" s="12"/>
      <c r="G176" s="14"/>
      <c r="K176" s="13"/>
      <c r="M176" s="11"/>
    </row>
    <row r="177" spans="3:13">
      <c r="C177" s="12"/>
      <c r="E177" s="15"/>
      <c r="F177" s="15"/>
      <c r="G177" s="16"/>
      <c r="K177" s="13"/>
      <c r="L177" s="16"/>
      <c r="M177" s="11"/>
    </row>
    <row r="178" spans="3:13">
      <c r="C178" s="17" t="s">
        <v>7</v>
      </c>
      <c r="D178" s="15">
        <f>SUM(D170:D177)</f>
        <v>32</v>
      </c>
      <c r="E178" s="15">
        <f>SUM(E170:E177)</f>
        <v>16</v>
      </c>
      <c r="F178" s="15"/>
      <c r="G178" s="15">
        <f>SUM(G170:G177)</f>
        <v>28000</v>
      </c>
      <c r="H178" s="15"/>
      <c r="I178" s="15"/>
      <c r="J178" s="15"/>
      <c r="K178" s="18" t="s">
        <v>8</v>
      </c>
      <c r="L178" s="15">
        <f>SUM(L170:L177)</f>
        <v>0</v>
      </c>
      <c r="M178" s="11"/>
    </row>
    <row r="179" spans="3:13">
      <c r="C179" s="19"/>
      <c r="D179" s="20"/>
      <c r="E179" s="20"/>
      <c r="F179" s="21" t="s">
        <v>9</v>
      </c>
      <c r="G179" s="22">
        <f>G178-L178</f>
        <v>28000</v>
      </c>
      <c r="H179" s="20"/>
      <c r="I179" s="20"/>
      <c r="J179" s="20"/>
      <c r="K179" s="23"/>
      <c r="L179" s="20"/>
      <c r="M179" s="24"/>
    </row>
  </sheetData>
  <mergeCells count="9">
    <mergeCell ref="C168:M168"/>
    <mergeCell ref="C134:M134"/>
    <mergeCell ref="C151:M151"/>
    <mergeCell ref="C6:M6"/>
    <mergeCell ref="C40:M40"/>
    <mergeCell ref="C57:M57"/>
    <mergeCell ref="C83:M83"/>
    <mergeCell ref="C100:M100"/>
    <mergeCell ref="C117:M1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CDF1-CF90-4169-8401-8A39B6CD3CE4}">
  <dimension ref="C6:M81"/>
  <sheetViews>
    <sheetView tabSelected="1" topLeftCell="A39" zoomScaleNormal="100" workbookViewId="0">
      <selection activeCell="M60" sqref="M60"/>
    </sheetView>
  </sheetViews>
  <sheetFormatPr defaultRowHeight="14.4"/>
  <cols>
    <col min="3" max="3" width="22.5546875" customWidth="1"/>
    <col min="7" max="7" width="9.33203125" bestFit="1" customWidth="1"/>
    <col min="11" max="11" width="19.33203125" customWidth="1"/>
    <col min="13" max="13" width="18.88671875" customWidth="1"/>
  </cols>
  <sheetData>
    <row r="6" spans="3:13" ht="23.4">
      <c r="C6" s="230" t="s">
        <v>129</v>
      </c>
      <c r="D6" s="231"/>
      <c r="E6" s="231"/>
      <c r="F6" s="231"/>
      <c r="G6" s="231"/>
      <c r="H6" s="231"/>
      <c r="I6" s="231"/>
      <c r="J6" s="231"/>
      <c r="K6" s="231"/>
      <c r="L6" s="231"/>
      <c r="M6" s="232"/>
    </row>
    <row r="7" spans="3:13">
      <c r="C7" s="1" t="s">
        <v>0</v>
      </c>
      <c r="D7" s="2" t="s">
        <v>1</v>
      </c>
      <c r="E7" s="2" t="s">
        <v>2</v>
      </c>
      <c r="F7" s="2" t="s">
        <v>3</v>
      </c>
      <c r="G7" s="3" t="s">
        <v>4</v>
      </c>
      <c r="H7" s="2" t="s">
        <v>5</v>
      </c>
      <c r="I7" s="2"/>
      <c r="J7" s="2"/>
      <c r="K7" s="4" t="s">
        <v>0</v>
      </c>
      <c r="L7" s="2" t="s">
        <v>4</v>
      </c>
      <c r="M7" s="5"/>
    </row>
    <row r="8" spans="3:13">
      <c r="C8" s="6"/>
      <c r="D8" s="7"/>
      <c r="E8" s="7"/>
      <c r="F8" s="7"/>
      <c r="G8" s="8"/>
      <c r="H8" s="7"/>
      <c r="I8" s="7"/>
      <c r="J8" s="9"/>
      <c r="K8" s="10"/>
      <c r="L8" s="7"/>
      <c r="M8" s="11"/>
    </row>
    <row r="9" spans="3:13">
      <c r="C9" s="12">
        <v>44339</v>
      </c>
      <c r="D9">
        <v>71</v>
      </c>
      <c r="E9" s="7">
        <f t="shared" ref="E9:E15" si="0">D9/2</f>
        <v>35.5</v>
      </c>
      <c r="F9">
        <v>2430</v>
      </c>
      <c r="G9" s="8">
        <f>F9*E9</f>
        <v>86265</v>
      </c>
      <c r="H9">
        <v>12</v>
      </c>
      <c r="I9" s="7" t="s">
        <v>6</v>
      </c>
      <c r="K9" s="13">
        <v>44353</v>
      </c>
      <c r="L9">
        <v>100000</v>
      </c>
      <c r="M9" s="11" t="s">
        <v>253</v>
      </c>
    </row>
    <row r="10" spans="3:13">
      <c r="C10" s="12">
        <v>44343</v>
      </c>
      <c r="D10">
        <v>30</v>
      </c>
      <c r="E10" s="7">
        <f t="shared" si="0"/>
        <v>15</v>
      </c>
      <c r="F10">
        <v>2350</v>
      </c>
      <c r="G10" s="8">
        <f t="shared" ref="G10:G16" si="1">F10*E10</f>
        <v>35250</v>
      </c>
      <c r="H10">
        <v>16</v>
      </c>
      <c r="I10" s="7" t="s">
        <v>6</v>
      </c>
      <c r="K10" s="13">
        <v>44559</v>
      </c>
      <c r="L10">
        <v>120000</v>
      </c>
      <c r="M10" s="11" t="s">
        <v>604</v>
      </c>
    </row>
    <row r="11" spans="3:13">
      <c r="C11" s="12">
        <v>44345</v>
      </c>
      <c r="D11">
        <v>22</v>
      </c>
      <c r="E11" s="7">
        <f t="shared" si="0"/>
        <v>11</v>
      </c>
      <c r="F11">
        <v>2350</v>
      </c>
      <c r="G11" s="8">
        <f t="shared" si="1"/>
        <v>25850</v>
      </c>
      <c r="H11">
        <v>20</v>
      </c>
      <c r="I11" s="7" t="s">
        <v>6</v>
      </c>
      <c r="K11" s="13">
        <v>44564</v>
      </c>
      <c r="L11">
        <v>80000</v>
      </c>
      <c r="M11" s="11" t="s">
        <v>604</v>
      </c>
    </row>
    <row r="12" spans="3:13">
      <c r="C12" s="12">
        <v>44551</v>
      </c>
      <c r="D12">
        <v>34</v>
      </c>
      <c r="E12" s="7">
        <f t="shared" si="0"/>
        <v>17</v>
      </c>
      <c r="F12">
        <v>1700</v>
      </c>
      <c r="G12" s="8">
        <f t="shared" si="1"/>
        <v>28900</v>
      </c>
      <c r="H12">
        <v>76</v>
      </c>
      <c r="I12" s="7" t="s">
        <v>6</v>
      </c>
      <c r="K12" s="13"/>
      <c r="M12" s="11"/>
    </row>
    <row r="13" spans="3:13">
      <c r="C13" s="12">
        <v>44553</v>
      </c>
      <c r="D13">
        <v>21</v>
      </c>
      <c r="E13" s="7">
        <f t="shared" si="0"/>
        <v>10.5</v>
      </c>
      <c r="F13">
        <v>1650</v>
      </c>
      <c r="G13" s="8">
        <f t="shared" si="1"/>
        <v>17325</v>
      </c>
      <c r="H13">
        <v>81</v>
      </c>
      <c r="I13" s="7" t="s">
        <v>6</v>
      </c>
      <c r="K13" s="13"/>
      <c r="M13" s="11"/>
    </row>
    <row r="14" spans="3:13">
      <c r="C14" s="12">
        <v>44557</v>
      </c>
      <c r="D14">
        <v>94</v>
      </c>
      <c r="E14" s="7">
        <f t="shared" si="0"/>
        <v>47</v>
      </c>
      <c r="F14">
        <v>1600</v>
      </c>
      <c r="G14" s="8">
        <f t="shared" si="1"/>
        <v>75200</v>
      </c>
      <c r="H14">
        <v>88</v>
      </c>
      <c r="I14" s="7" t="s">
        <v>6</v>
      </c>
      <c r="K14" s="13"/>
      <c r="M14" s="11"/>
    </row>
    <row r="15" spans="3:13">
      <c r="C15" s="12">
        <v>44926</v>
      </c>
      <c r="D15">
        <v>40</v>
      </c>
      <c r="E15" s="7">
        <f t="shared" si="0"/>
        <v>20</v>
      </c>
      <c r="F15">
        <v>1720</v>
      </c>
      <c r="G15" s="8">
        <f t="shared" si="1"/>
        <v>34400</v>
      </c>
      <c r="H15">
        <v>93</v>
      </c>
      <c r="I15" s="7" t="s">
        <v>6</v>
      </c>
      <c r="K15" s="13"/>
      <c r="M15" s="11"/>
    </row>
    <row r="16" spans="3:13">
      <c r="C16" s="12"/>
      <c r="G16" s="8">
        <f t="shared" si="1"/>
        <v>0</v>
      </c>
      <c r="K16" s="13"/>
      <c r="M16" s="11"/>
    </row>
    <row r="17" spans="3:13">
      <c r="C17" s="12"/>
      <c r="E17" s="15"/>
      <c r="F17" s="15"/>
      <c r="G17" s="16"/>
      <c r="K17" s="13"/>
      <c r="L17" s="16"/>
      <c r="M17" s="11"/>
    </row>
    <row r="18" spans="3:13">
      <c r="C18" s="17" t="s">
        <v>7</v>
      </c>
      <c r="D18" s="15">
        <f>SUM(D8:D17)</f>
        <v>312</v>
      </c>
      <c r="E18" s="15">
        <f>SUM(E8:E17)</f>
        <v>156</v>
      </c>
      <c r="F18" s="15"/>
      <c r="G18" s="15">
        <f>SUM(G8:G17)</f>
        <v>303190</v>
      </c>
      <c r="H18" s="15"/>
      <c r="I18" s="15"/>
      <c r="J18" s="15"/>
      <c r="K18" s="18" t="s">
        <v>8</v>
      </c>
      <c r="L18" s="15">
        <f>SUM(L8:L17)</f>
        <v>300000</v>
      </c>
      <c r="M18" s="11"/>
    </row>
    <row r="19" spans="3:13">
      <c r="C19" s="19"/>
      <c r="D19" s="20"/>
      <c r="E19" s="20"/>
      <c r="F19" s="21" t="s">
        <v>9</v>
      </c>
      <c r="G19" s="22">
        <f>G18-L18</f>
        <v>3190</v>
      </c>
      <c r="H19" s="20"/>
      <c r="I19" s="20"/>
      <c r="J19" s="20"/>
      <c r="K19" s="23"/>
      <c r="L19" s="20"/>
      <c r="M19" s="24"/>
    </row>
    <row r="22" spans="3:13" ht="23.4">
      <c r="C22" s="230" t="s">
        <v>339</v>
      </c>
      <c r="D22" s="231"/>
      <c r="E22" s="231"/>
      <c r="F22" s="231"/>
      <c r="G22" s="231"/>
      <c r="H22" s="231"/>
      <c r="I22" s="231"/>
      <c r="J22" s="231"/>
      <c r="K22" s="231"/>
      <c r="L22" s="231"/>
      <c r="M22" s="232"/>
    </row>
    <row r="23" spans="3:13">
      <c r="C23" s="1" t="s">
        <v>0</v>
      </c>
      <c r="D23" s="2" t="s">
        <v>1</v>
      </c>
      <c r="E23" s="2" t="s">
        <v>2</v>
      </c>
      <c r="F23" s="2" t="s">
        <v>3</v>
      </c>
      <c r="G23" s="3" t="s">
        <v>4</v>
      </c>
      <c r="H23" s="2" t="s">
        <v>5</v>
      </c>
      <c r="I23" s="2"/>
      <c r="J23" s="2"/>
      <c r="K23" s="4" t="s">
        <v>0</v>
      </c>
      <c r="L23" s="2" t="s">
        <v>4</v>
      </c>
      <c r="M23" s="5"/>
    </row>
    <row r="24" spans="3:13">
      <c r="C24" s="6"/>
      <c r="D24" s="7"/>
      <c r="E24" s="7"/>
      <c r="F24" s="7"/>
      <c r="G24" s="8"/>
      <c r="H24" s="7"/>
      <c r="I24" s="7"/>
      <c r="J24" s="9"/>
      <c r="K24" s="10"/>
      <c r="L24" s="7"/>
      <c r="M24" s="11"/>
    </row>
    <row r="25" spans="3:13">
      <c r="C25" s="12">
        <v>44383</v>
      </c>
      <c r="D25">
        <v>12</v>
      </c>
      <c r="E25" s="7">
        <f>D25/2</f>
        <v>6</v>
      </c>
      <c r="F25">
        <v>1900</v>
      </c>
      <c r="G25" s="8">
        <f t="shared" ref="G25:G30" si="2">F25*E25</f>
        <v>11400</v>
      </c>
      <c r="H25">
        <v>24</v>
      </c>
      <c r="I25" s="7" t="s">
        <v>118</v>
      </c>
      <c r="J25" t="s">
        <v>271</v>
      </c>
      <c r="K25" s="13">
        <v>44411</v>
      </c>
      <c r="L25">
        <v>11400</v>
      </c>
      <c r="M25" s="11" t="s">
        <v>358</v>
      </c>
    </row>
    <row r="26" spans="3:13">
      <c r="C26" s="12">
        <v>44553</v>
      </c>
      <c r="D26">
        <v>20</v>
      </c>
      <c r="E26" s="7">
        <f>D26/2</f>
        <v>10</v>
      </c>
      <c r="F26">
        <v>1650</v>
      </c>
      <c r="G26" s="8">
        <f t="shared" si="2"/>
        <v>16500</v>
      </c>
      <c r="H26">
        <v>81</v>
      </c>
      <c r="I26" t="s">
        <v>6</v>
      </c>
      <c r="K26" s="13">
        <v>44564</v>
      </c>
      <c r="L26">
        <v>30000</v>
      </c>
      <c r="M26" s="11" t="s">
        <v>358</v>
      </c>
    </row>
    <row r="27" spans="3:13">
      <c r="C27" s="12">
        <v>44926</v>
      </c>
      <c r="D27">
        <v>20</v>
      </c>
      <c r="E27">
        <v>10</v>
      </c>
      <c r="F27">
        <v>1670</v>
      </c>
      <c r="G27" s="8">
        <f t="shared" si="2"/>
        <v>16700</v>
      </c>
      <c r="H27">
        <v>93</v>
      </c>
      <c r="I27" t="s">
        <v>6</v>
      </c>
      <c r="K27" s="13"/>
      <c r="M27" s="11"/>
    </row>
    <row r="28" spans="3:13">
      <c r="C28" s="12"/>
      <c r="G28" s="8">
        <f t="shared" si="2"/>
        <v>0</v>
      </c>
      <c r="K28" s="13"/>
      <c r="M28" s="11"/>
    </row>
    <row r="29" spans="3:13">
      <c r="C29" s="12"/>
      <c r="G29" s="8">
        <f t="shared" si="2"/>
        <v>0</v>
      </c>
      <c r="K29" s="13"/>
      <c r="M29" s="11"/>
    </row>
    <row r="30" spans="3:13">
      <c r="C30" s="12"/>
      <c r="G30" s="8">
        <f t="shared" si="2"/>
        <v>0</v>
      </c>
      <c r="K30" s="13"/>
      <c r="M30" s="11"/>
    </row>
    <row r="31" spans="3:13">
      <c r="C31" s="12"/>
      <c r="G31" s="14"/>
      <c r="K31" s="13"/>
      <c r="M31" s="11"/>
    </row>
    <row r="32" spans="3:13">
      <c r="C32" s="12"/>
      <c r="G32" s="14"/>
      <c r="K32" s="13"/>
      <c r="M32" s="11"/>
    </row>
    <row r="33" spans="3:13">
      <c r="C33" s="12"/>
      <c r="E33" s="15"/>
      <c r="F33" s="15"/>
      <c r="G33" s="16"/>
      <c r="K33" s="13"/>
      <c r="L33" s="16"/>
      <c r="M33" s="11"/>
    </row>
    <row r="34" spans="3:13">
      <c r="C34" s="17" t="s">
        <v>7</v>
      </c>
      <c r="D34" s="15">
        <f>SUM(D24:D33)</f>
        <v>52</v>
      </c>
      <c r="E34" s="15">
        <f>SUM(E24:E33)</f>
        <v>26</v>
      </c>
      <c r="F34" s="15"/>
      <c r="G34" s="15">
        <f>SUM(G24:G33)</f>
        <v>44600</v>
      </c>
      <c r="H34" s="15"/>
      <c r="I34" s="15"/>
      <c r="J34" s="15"/>
      <c r="K34" s="18" t="s">
        <v>8</v>
      </c>
      <c r="L34" s="15">
        <f>SUM(L24:L33)</f>
        <v>41400</v>
      </c>
      <c r="M34" s="11"/>
    </row>
    <row r="35" spans="3:13">
      <c r="C35" s="19"/>
      <c r="D35" s="20"/>
      <c r="E35" s="20"/>
      <c r="F35" s="21" t="s">
        <v>9</v>
      </c>
      <c r="G35" s="22">
        <f>G34-L34</f>
        <v>3200</v>
      </c>
      <c r="H35" s="20"/>
      <c r="I35" s="20"/>
      <c r="J35" s="20"/>
      <c r="K35" s="23"/>
      <c r="L35" s="20"/>
      <c r="M35" s="24"/>
    </row>
    <row r="39" spans="3:13" ht="23.4">
      <c r="C39" s="230" t="s">
        <v>557</v>
      </c>
      <c r="D39" s="231"/>
      <c r="E39" s="231"/>
      <c r="F39" s="231"/>
      <c r="G39" s="231"/>
      <c r="H39" s="231"/>
      <c r="I39" s="231"/>
      <c r="J39" s="231"/>
      <c r="K39" s="231"/>
      <c r="L39" s="231"/>
      <c r="M39" s="232"/>
    </row>
    <row r="40" spans="3:13">
      <c r="C40" s="1" t="s">
        <v>0</v>
      </c>
      <c r="D40" s="2" t="s">
        <v>1</v>
      </c>
      <c r="E40" s="2" t="s">
        <v>2</v>
      </c>
      <c r="F40" s="2" t="s">
        <v>3</v>
      </c>
      <c r="G40" s="3" t="s">
        <v>4</v>
      </c>
      <c r="H40" s="2" t="s">
        <v>5</v>
      </c>
      <c r="I40" s="2" t="s">
        <v>19</v>
      </c>
      <c r="J40" s="2"/>
      <c r="K40" s="4" t="s">
        <v>0</v>
      </c>
      <c r="L40" s="2" t="s">
        <v>4</v>
      </c>
      <c r="M40" s="5"/>
    </row>
    <row r="41" spans="3:13">
      <c r="C41" s="6"/>
      <c r="D41" s="7"/>
      <c r="E41" s="7"/>
      <c r="F41" s="7"/>
      <c r="G41" s="8"/>
      <c r="H41" s="7"/>
      <c r="I41" s="7"/>
      <c r="J41" s="9"/>
      <c r="K41" s="10"/>
      <c r="L41" s="7"/>
      <c r="M41" s="11"/>
    </row>
    <row r="42" spans="3:13">
      <c r="C42" s="12">
        <v>44550</v>
      </c>
      <c r="D42">
        <v>74</v>
      </c>
      <c r="E42" s="7">
        <f t="shared" ref="E42:E47" si="3">D42/2</f>
        <v>37</v>
      </c>
      <c r="F42">
        <v>1700</v>
      </c>
      <c r="G42" s="8">
        <f>F42*E42</f>
        <v>62900</v>
      </c>
      <c r="H42">
        <v>75</v>
      </c>
      <c r="I42" s="7" t="s">
        <v>6</v>
      </c>
      <c r="K42" s="13"/>
      <c r="M42" s="11"/>
    </row>
    <row r="43" spans="3:13">
      <c r="C43" s="12">
        <v>44925</v>
      </c>
      <c r="D43">
        <v>120</v>
      </c>
      <c r="E43" s="7">
        <f t="shared" si="3"/>
        <v>60</v>
      </c>
      <c r="F43">
        <v>1600</v>
      </c>
      <c r="G43" s="8">
        <f>F43*E43</f>
        <v>96000</v>
      </c>
      <c r="H43">
        <v>92</v>
      </c>
      <c r="I43" s="7" t="s">
        <v>6</v>
      </c>
      <c r="K43" s="13"/>
      <c r="M43" s="11"/>
    </row>
    <row r="44" spans="3:13">
      <c r="C44" s="12">
        <v>44564</v>
      </c>
      <c r="D44">
        <v>29</v>
      </c>
      <c r="E44" s="7">
        <f t="shared" si="3"/>
        <v>14.5</v>
      </c>
      <c r="F44">
        <v>1700</v>
      </c>
      <c r="G44" s="8">
        <f>F44*E44</f>
        <v>24650</v>
      </c>
      <c r="H44">
        <v>98</v>
      </c>
      <c r="I44" s="7" t="s">
        <v>6</v>
      </c>
      <c r="K44" s="13"/>
      <c r="M44" s="11"/>
    </row>
    <row r="45" spans="3:13">
      <c r="C45" s="12"/>
      <c r="E45" s="7">
        <f t="shared" si="3"/>
        <v>0</v>
      </c>
      <c r="G45" s="8">
        <f>F45*E45</f>
        <v>0</v>
      </c>
      <c r="K45" s="13"/>
      <c r="M45" s="11"/>
    </row>
    <row r="46" spans="3:13">
      <c r="C46" s="12"/>
      <c r="E46" s="7">
        <f t="shared" si="3"/>
        <v>0</v>
      </c>
      <c r="G46" s="8">
        <f>F46*E46</f>
        <v>0</v>
      </c>
      <c r="K46" s="13"/>
      <c r="M46" s="11"/>
    </row>
    <row r="47" spans="3:13">
      <c r="C47" s="12"/>
      <c r="E47" s="7">
        <f t="shared" si="3"/>
        <v>0</v>
      </c>
      <c r="G47" s="14"/>
      <c r="K47" s="13"/>
      <c r="M47" s="11"/>
    </row>
    <row r="48" spans="3:13">
      <c r="C48" s="12"/>
      <c r="G48" s="14"/>
      <c r="K48" s="13"/>
      <c r="M48" s="11"/>
    </row>
    <row r="49" spans="3:13">
      <c r="C49" s="12"/>
      <c r="G49" s="14"/>
      <c r="K49" s="13"/>
      <c r="M49" s="11"/>
    </row>
    <row r="50" spans="3:13">
      <c r="C50" s="12"/>
      <c r="E50" s="15"/>
      <c r="F50" s="15"/>
      <c r="G50" s="16"/>
      <c r="K50" s="13"/>
      <c r="L50" s="16"/>
      <c r="M50" s="11"/>
    </row>
    <row r="51" spans="3:13">
      <c r="C51" s="17" t="s">
        <v>7</v>
      </c>
      <c r="D51" s="15">
        <f>SUM(D41:D50)</f>
        <v>223</v>
      </c>
      <c r="E51" s="15">
        <f>SUM(E41:E50)</f>
        <v>111.5</v>
      </c>
      <c r="F51" s="15"/>
      <c r="G51" s="15">
        <f>SUM(G41:G50)</f>
        <v>183550</v>
      </c>
      <c r="H51" s="15"/>
      <c r="I51" s="15"/>
      <c r="J51" s="15"/>
      <c r="K51" s="18" t="s">
        <v>8</v>
      </c>
      <c r="L51" s="15">
        <f>SUM(L41:L50)</f>
        <v>0</v>
      </c>
      <c r="M51" s="11"/>
    </row>
    <row r="52" spans="3:13">
      <c r="C52" s="19"/>
      <c r="D52" s="20"/>
      <c r="E52" s="20"/>
      <c r="F52" s="21" t="s">
        <v>9</v>
      </c>
      <c r="G52" s="22">
        <f>G51-L51</f>
        <v>183550</v>
      </c>
      <c r="H52" s="20"/>
      <c r="I52" s="20"/>
      <c r="J52" s="20"/>
      <c r="K52" s="23"/>
      <c r="L52" s="20"/>
      <c r="M52" s="24"/>
    </row>
    <row r="56" spans="3:13" ht="23.4">
      <c r="C56" s="230" t="s">
        <v>565</v>
      </c>
      <c r="D56" s="231"/>
      <c r="E56" s="231"/>
      <c r="F56" s="231"/>
      <c r="G56" s="231"/>
      <c r="H56" s="231"/>
      <c r="I56" s="231"/>
      <c r="J56" s="231"/>
      <c r="K56" s="231"/>
      <c r="L56" s="231"/>
      <c r="M56" s="232"/>
    </row>
    <row r="57" spans="3:13">
      <c r="C57" s="1" t="s">
        <v>0</v>
      </c>
      <c r="D57" s="2" t="s">
        <v>1</v>
      </c>
      <c r="E57" s="2" t="s">
        <v>2</v>
      </c>
      <c r="F57" s="2" t="s">
        <v>3</v>
      </c>
      <c r="G57" s="3" t="s">
        <v>4</v>
      </c>
      <c r="H57" s="2" t="s">
        <v>5</v>
      </c>
      <c r="I57" s="2" t="s">
        <v>19</v>
      </c>
      <c r="J57" s="2"/>
      <c r="K57" s="4" t="s">
        <v>0</v>
      </c>
      <c r="L57" s="2" t="s">
        <v>4</v>
      </c>
      <c r="M57" s="5"/>
    </row>
    <row r="58" spans="3:13">
      <c r="C58" s="6">
        <v>44551</v>
      </c>
      <c r="D58" s="7">
        <v>100</v>
      </c>
      <c r="E58" s="7">
        <f>D58/2</f>
        <v>50</v>
      </c>
      <c r="F58" s="7">
        <v>1700</v>
      </c>
      <c r="G58" s="8">
        <f>F58*E58</f>
        <v>85000</v>
      </c>
      <c r="H58" s="7">
        <v>76</v>
      </c>
      <c r="I58" s="7" t="s">
        <v>6</v>
      </c>
      <c r="J58" s="9"/>
      <c r="K58" s="10"/>
      <c r="L58" s="7"/>
      <c r="M58" s="11"/>
    </row>
    <row r="59" spans="3:13">
      <c r="C59" s="12">
        <v>44555</v>
      </c>
      <c r="D59">
        <v>70</v>
      </c>
      <c r="E59" s="7">
        <f>D59/2</f>
        <v>35</v>
      </c>
      <c r="F59">
        <v>1650</v>
      </c>
      <c r="G59" s="8">
        <f>F59*E59</f>
        <v>57750</v>
      </c>
      <c r="H59">
        <v>84</v>
      </c>
      <c r="I59" t="s">
        <v>6</v>
      </c>
      <c r="K59" s="13">
        <v>44557</v>
      </c>
      <c r="L59">
        <v>40000</v>
      </c>
      <c r="M59" s="11" t="s">
        <v>691</v>
      </c>
    </row>
    <row r="60" spans="3:13">
      <c r="C60" s="12">
        <v>44924</v>
      </c>
      <c r="D60">
        <v>30</v>
      </c>
      <c r="E60" s="7">
        <f>D60/2</f>
        <v>15</v>
      </c>
      <c r="F60">
        <v>1660</v>
      </c>
      <c r="G60" s="8">
        <f>F60*E60</f>
        <v>24900</v>
      </c>
      <c r="H60">
        <v>91</v>
      </c>
      <c r="I60" t="s">
        <v>6</v>
      </c>
      <c r="K60" s="13">
        <v>44559</v>
      </c>
      <c r="L60">
        <v>40000</v>
      </c>
      <c r="M60" s="11" t="s">
        <v>691</v>
      </c>
    </row>
    <row r="61" spans="3:13">
      <c r="C61" s="12">
        <v>44925</v>
      </c>
      <c r="D61">
        <v>40</v>
      </c>
      <c r="E61" s="7">
        <f>D61/2</f>
        <v>20</v>
      </c>
      <c r="F61">
        <v>1700</v>
      </c>
      <c r="G61" s="8">
        <f>F61*E61</f>
        <v>34000</v>
      </c>
      <c r="H61">
        <v>92</v>
      </c>
      <c r="I61" t="s">
        <v>6</v>
      </c>
      <c r="K61" s="13">
        <v>44564</v>
      </c>
      <c r="L61">
        <v>40000</v>
      </c>
      <c r="M61" s="11" t="s">
        <v>608</v>
      </c>
    </row>
    <row r="62" spans="3:13">
      <c r="C62" s="12"/>
      <c r="E62" s="7">
        <f>D62/2</f>
        <v>0</v>
      </c>
      <c r="G62" s="8">
        <f>F62*E62</f>
        <v>0</v>
      </c>
      <c r="K62" s="13">
        <v>44568</v>
      </c>
      <c r="L62">
        <v>40000</v>
      </c>
      <c r="M62" s="11" t="s">
        <v>608</v>
      </c>
    </row>
    <row r="63" spans="3:13">
      <c r="C63" s="12"/>
      <c r="E63" s="15"/>
      <c r="F63" s="15"/>
      <c r="G63" s="16"/>
      <c r="K63" s="13"/>
      <c r="L63" s="16"/>
      <c r="M63" s="11"/>
    </row>
    <row r="64" spans="3:13">
      <c r="C64" s="17" t="s">
        <v>7</v>
      </c>
      <c r="D64" s="15">
        <f>SUM(D58:D63)</f>
        <v>240</v>
      </c>
      <c r="E64" s="15">
        <f>SUM(E58:E63)</f>
        <v>120</v>
      </c>
      <c r="F64" s="15"/>
      <c r="G64" s="15">
        <f>SUM(G58:G63)</f>
        <v>201650</v>
      </c>
      <c r="H64" s="15"/>
      <c r="I64" s="15"/>
      <c r="J64" s="15"/>
      <c r="K64" s="18" t="s">
        <v>8</v>
      </c>
      <c r="L64" s="15">
        <f>SUM(L58:L63)</f>
        <v>160000</v>
      </c>
      <c r="M64" s="11"/>
    </row>
    <row r="65" spans="3:13">
      <c r="C65" s="19"/>
      <c r="D65" s="20"/>
      <c r="E65" s="20"/>
      <c r="F65" s="21" t="s">
        <v>9</v>
      </c>
      <c r="G65" s="22">
        <f>G64-L64</f>
        <v>41650</v>
      </c>
      <c r="H65" s="20"/>
      <c r="I65" s="20"/>
      <c r="J65" s="20"/>
      <c r="K65" s="23"/>
      <c r="L65" s="20"/>
      <c r="M65" s="24"/>
    </row>
    <row r="69" spans="3:13" ht="23.4">
      <c r="C69" s="230" t="s">
        <v>571</v>
      </c>
      <c r="D69" s="231"/>
      <c r="E69" s="231"/>
      <c r="F69" s="231"/>
      <c r="G69" s="231"/>
      <c r="H69" s="231"/>
      <c r="I69" s="231"/>
      <c r="J69" s="231"/>
      <c r="K69" s="231"/>
      <c r="L69" s="231"/>
      <c r="M69" s="232"/>
    </row>
    <row r="70" spans="3:13">
      <c r="C70" s="1" t="s">
        <v>0</v>
      </c>
      <c r="D70" s="2" t="s">
        <v>1</v>
      </c>
      <c r="E70" s="2" t="s">
        <v>2</v>
      </c>
      <c r="F70" s="2" t="s">
        <v>3</v>
      </c>
      <c r="G70" s="3" t="s">
        <v>4</v>
      </c>
      <c r="H70" s="2" t="s">
        <v>5</v>
      </c>
      <c r="I70" s="2" t="s">
        <v>19</v>
      </c>
      <c r="J70" s="2"/>
      <c r="K70" s="4" t="s">
        <v>0</v>
      </c>
      <c r="L70" s="2" t="s">
        <v>4</v>
      </c>
      <c r="M70" s="5"/>
    </row>
    <row r="71" spans="3:13">
      <c r="C71" s="6"/>
      <c r="D71" s="7"/>
      <c r="E71" s="7"/>
      <c r="F71" s="7"/>
      <c r="G71" s="8"/>
      <c r="H71" s="7"/>
      <c r="I71" s="7"/>
      <c r="J71" s="9"/>
      <c r="K71" s="10"/>
      <c r="L71" s="7"/>
      <c r="M71" s="11"/>
    </row>
    <row r="72" spans="3:13">
      <c r="C72" s="12">
        <v>44553</v>
      </c>
      <c r="D72">
        <v>43</v>
      </c>
      <c r="E72" s="7">
        <f>D72/2</f>
        <v>21.5</v>
      </c>
      <c r="F72">
        <v>1650</v>
      </c>
      <c r="G72" s="8">
        <f>F72*E72</f>
        <v>35475</v>
      </c>
      <c r="H72">
        <v>81</v>
      </c>
      <c r="I72" s="7" t="s">
        <v>6</v>
      </c>
      <c r="K72" s="13"/>
      <c r="M72" s="11"/>
    </row>
    <row r="73" spans="3:13">
      <c r="C73" s="12">
        <v>44926</v>
      </c>
      <c r="D73">
        <v>24</v>
      </c>
      <c r="E73" s="7">
        <f t="shared" ref="E73:E78" si="4">D73/2</f>
        <v>12</v>
      </c>
      <c r="F73">
        <v>1670</v>
      </c>
      <c r="G73" s="8">
        <f>F73*E73</f>
        <v>20040</v>
      </c>
      <c r="H73">
        <v>93</v>
      </c>
      <c r="I73" s="7" t="s">
        <v>6</v>
      </c>
      <c r="K73" s="13"/>
      <c r="M73" s="11"/>
    </row>
    <row r="74" spans="3:13">
      <c r="C74" s="12"/>
      <c r="E74" s="7">
        <f t="shared" si="4"/>
        <v>0</v>
      </c>
      <c r="G74" s="8">
        <f>F74*E74</f>
        <v>0</v>
      </c>
      <c r="K74" s="13"/>
      <c r="M74" s="11"/>
    </row>
    <row r="75" spans="3:13">
      <c r="C75" s="12"/>
      <c r="E75" s="7">
        <f t="shared" si="4"/>
        <v>0</v>
      </c>
      <c r="G75" s="8">
        <f>F75*E75</f>
        <v>0</v>
      </c>
      <c r="K75" s="13"/>
      <c r="M75" s="11"/>
    </row>
    <row r="76" spans="3:13">
      <c r="C76" s="12"/>
      <c r="E76" s="7">
        <f t="shared" si="4"/>
        <v>0</v>
      </c>
      <c r="G76" s="8">
        <f>F76*E76</f>
        <v>0</v>
      </c>
      <c r="K76" s="13"/>
      <c r="M76" s="11"/>
    </row>
    <row r="77" spans="3:13">
      <c r="C77" s="12"/>
      <c r="E77" s="7">
        <f t="shared" si="4"/>
        <v>0</v>
      </c>
      <c r="G77" s="14"/>
      <c r="K77" s="13"/>
      <c r="M77" s="11"/>
    </row>
    <row r="78" spans="3:13">
      <c r="C78" s="12"/>
      <c r="E78" s="7">
        <f t="shared" si="4"/>
        <v>0</v>
      </c>
      <c r="G78" s="14"/>
      <c r="K78" s="13"/>
      <c r="M78" s="11"/>
    </row>
    <row r="79" spans="3:13">
      <c r="C79" s="12"/>
      <c r="E79" s="15"/>
      <c r="F79" s="15"/>
      <c r="G79" s="16"/>
      <c r="K79" s="13"/>
      <c r="L79" s="16"/>
      <c r="M79" s="11"/>
    </row>
    <row r="80" spans="3:13">
      <c r="C80" s="17" t="s">
        <v>7</v>
      </c>
      <c r="D80" s="15">
        <f>SUM(D71:D79)</f>
        <v>67</v>
      </c>
      <c r="E80" s="15">
        <f>SUM(E71:E79)</f>
        <v>33.5</v>
      </c>
      <c r="F80" s="15"/>
      <c r="G80" s="15">
        <f>SUM(G71:G79)</f>
        <v>55515</v>
      </c>
      <c r="H80" s="15"/>
      <c r="I80" s="15"/>
      <c r="J80" s="15"/>
      <c r="K80" s="18" t="s">
        <v>8</v>
      </c>
      <c r="L80" s="15">
        <f>SUM(L71:L79)</f>
        <v>0</v>
      </c>
      <c r="M80" s="11"/>
    </row>
    <row r="81" spans="3:13">
      <c r="C81" s="19"/>
      <c r="D81" s="20"/>
      <c r="E81" s="20"/>
      <c r="F81" s="21" t="s">
        <v>9</v>
      </c>
      <c r="G81" s="22">
        <f>G80-L80</f>
        <v>55515</v>
      </c>
      <c r="H81" s="20"/>
      <c r="I81" s="20"/>
      <c r="J81" s="20"/>
      <c r="K81" s="23"/>
      <c r="L81" s="20"/>
      <c r="M81" s="24"/>
    </row>
  </sheetData>
  <mergeCells count="5">
    <mergeCell ref="C6:M6"/>
    <mergeCell ref="C22:M22"/>
    <mergeCell ref="C39:M39"/>
    <mergeCell ref="C56:M56"/>
    <mergeCell ref="C69:M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2057-78D2-4709-823F-22133FBEEB11}">
  <dimension ref="B2:C2"/>
  <sheetViews>
    <sheetView workbookViewId="0">
      <selection activeCell="B3" sqref="B3"/>
    </sheetView>
  </sheetViews>
  <sheetFormatPr defaultRowHeight="14.4"/>
  <sheetData>
    <row r="2" spans="2:3">
      <c r="B2" s="15" t="s">
        <v>618</v>
      </c>
      <c r="C2" s="15" t="s">
        <v>619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3D21-142F-4E5D-9D07-B611813DEA32}">
  <dimension ref="C2:K11"/>
  <sheetViews>
    <sheetView workbookViewId="0">
      <selection activeCell="E11" sqref="E11"/>
    </sheetView>
  </sheetViews>
  <sheetFormatPr defaultRowHeight="14.4"/>
  <cols>
    <col min="5" max="5" width="16.88671875" customWidth="1"/>
    <col min="11" max="11" width="20.33203125" bestFit="1" customWidth="1"/>
  </cols>
  <sheetData>
    <row r="2" spans="3:11">
      <c r="C2" t="s">
        <v>28</v>
      </c>
      <c r="D2" t="s">
        <v>29</v>
      </c>
      <c r="E2" t="s">
        <v>35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36</v>
      </c>
    </row>
    <row r="3" spans="3:11">
      <c r="C3">
        <v>218</v>
      </c>
      <c r="D3">
        <v>2150</v>
      </c>
      <c r="E3" s="26">
        <f>D3/1.05</f>
        <v>2047.6190476190475</v>
      </c>
      <c r="F3">
        <v>94</v>
      </c>
      <c r="G3">
        <f>F3*E3</f>
        <v>192476.19047619047</v>
      </c>
      <c r="H3">
        <f>G3*0.025</f>
        <v>4811.9047619047624</v>
      </c>
      <c r="I3">
        <f>H3</f>
        <v>4811.9047619047624</v>
      </c>
      <c r="J3">
        <f>I3+H3</f>
        <v>9623.8095238095248</v>
      </c>
      <c r="K3" s="26">
        <f>J3+G3</f>
        <v>202100</v>
      </c>
    </row>
    <row r="4" spans="3:11">
      <c r="E4">
        <v>2650</v>
      </c>
      <c r="F4">
        <f>E4*F3</f>
        <v>249100</v>
      </c>
    </row>
    <row r="9" spans="3:11">
      <c r="C9" t="s">
        <v>611</v>
      </c>
      <c r="D9" t="s">
        <v>612</v>
      </c>
      <c r="E9" t="s">
        <v>613</v>
      </c>
      <c r="F9" t="s">
        <v>614</v>
      </c>
      <c r="G9" t="s">
        <v>615</v>
      </c>
      <c r="H9" t="s">
        <v>620</v>
      </c>
      <c r="I9" t="s">
        <v>617</v>
      </c>
      <c r="J9" t="s">
        <v>621</v>
      </c>
    </row>
    <row r="10" spans="3:11">
      <c r="C10">
        <v>2000</v>
      </c>
      <c r="D10">
        <v>18.39</v>
      </c>
      <c r="E10">
        <f>C10/19*D10</f>
        <v>1935.7894736842104</v>
      </c>
      <c r="F10">
        <v>104.37</v>
      </c>
      <c r="G10">
        <f>F10*E10</f>
        <v>202038.34736842106</v>
      </c>
      <c r="H10">
        <v>20</v>
      </c>
      <c r="I10">
        <v>632.96</v>
      </c>
      <c r="J10">
        <f>H10*F10</f>
        <v>2087.4</v>
      </c>
    </row>
    <row r="11" spans="3:11">
      <c r="H11">
        <f>G10-I10-J10</f>
        <v>199317.98736842108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51ED-BEF0-43C1-9C6D-55E4057C17AE}">
  <dimension ref="B1:AR262"/>
  <sheetViews>
    <sheetView topLeftCell="Z6" workbookViewId="0">
      <selection activeCell="AI20" sqref="AI20"/>
    </sheetView>
  </sheetViews>
  <sheetFormatPr defaultRowHeight="14.4"/>
  <cols>
    <col min="3" max="3" width="22.6640625" bestFit="1" customWidth="1"/>
    <col min="4" max="4" width="13.33203125" bestFit="1" customWidth="1"/>
    <col min="5" max="6" width="14.6640625" bestFit="1" customWidth="1"/>
    <col min="10" max="11" width="10.33203125" bestFit="1" customWidth="1"/>
    <col min="13" max="13" width="19.5546875" bestFit="1" customWidth="1"/>
    <col min="14" max="14" width="10.33203125" bestFit="1" customWidth="1"/>
    <col min="16" max="16" width="32.5546875" bestFit="1" customWidth="1"/>
    <col min="20" max="20" width="10.33203125" bestFit="1" customWidth="1"/>
    <col min="22" max="22" width="27.44140625" bestFit="1" customWidth="1"/>
    <col min="24" max="25" width="10.33203125" bestFit="1" customWidth="1"/>
    <col min="26" max="26" width="9" bestFit="1" customWidth="1"/>
    <col min="27" max="27" width="27.33203125" bestFit="1" customWidth="1"/>
    <col min="29" max="30" width="10.33203125" bestFit="1" customWidth="1"/>
    <col min="32" max="32" width="22.109375" bestFit="1" customWidth="1"/>
    <col min="34" max="34" width="10.33203125" bestFit="1" customWidth="1"/>
    <col min="36" max="36" width="26" bestFit="1" customWidth="1"/>
    <col min="38" max="38" width="10.33203125" bestFit="1" customWidth="1"/>
    <col min="40" max="40" width="29" bestFit="1" customWidth="1"/>
    <col min="42" max="42" width="10.33203125" bestFit="1" customWidth="1"/>
  </cols>
  <sheetData>
    <row r="1" spans="2:44">
      <c r="Y1" s="51"/>
    </row>
    <row r="2" spans="2:44">
      <c r="Y2" s="51"/>
    </row>
    <row r="3" spans="2:44">
      <c r="B3" s="42" t="s">
        <v>77</v>
      </c>
      <c r="C3" s="42" t="s">
        <v>78</v>
      </c>
      <c r="D3" s="42" t="s">
        <v>79</v>
      </c>
      <c r="E3" s="42" t="s">
        <v>80</v>
      </c>
      <c r="F3" s="42" t="s">
        <v>8</v>
      </c>
    </row>
    <row r="4" spans="2:44">
      <c r="B4" s="28"/>
      <c r="C4" s="28"/>
      <c r="D4" s="28"/>
      <c r="E4" s="28"/>
      <c r="F4" s="28"/>
    </row>
    <row r="5" spans="2:44">
      <c r="B5" s="43">
        <v>1</v>
      </c>
      <c r="C5" s="29" t="s">
        <v>626</v>
      </c>
      <c r="D5" s="44">
        <f>Sheet1!G40</f>
        <v>-30919.620000000112</v>
      </c>
      <c r="E5" s="44">
        <f>Sheet1!G39</f>
        <v>2854623.38</v>
      </c>
      <c r="F5" s="44">
        <f>Sheet1!L39</f>
        <v>2885543</v>
      </c>
    </row>
    <row r="6" spans="2:44" ht="15" thickBot="1">
      <c r="B6" s="45">
        <v>2</v>
      </c>
      <c r="C6" s="29" t="s">
        <v>82</v>
      </c>
      <c r="D6" s="44">
        <f>Sheet2!G118</f>
        <v>224565</v>
      </c>
      <c r="E6" s="44">
        <f>Sheet2!G117</f>
        <v>1553715</v>
      </c>
      <c r="F6" s="44">
        <f>Sheet2!L117</f>
        <v>1329150</v>
      </c>
    </row>
    <row r="7" spans="2:44" ht="15" thickBot="1">
      <c r="B7" s="43">
        <v>3</v>
      </c>
      <c r="C7" s="29"/>
      <c r="D7" s="44"/>
      <c r="E7" s="44"/>
      <c r="F7" s="44"/>
      <c r="J7" s="233" t="s">
        <v>115</v>
      </c>
      <c r="K7" s="234"/>
      <c r="L7" s="234"/>
      <c r="M7" s="234"/>
      <c r="N7" s="234"/>
      <c r="O7" s="234"/>
      <c r="P7" s="235"/>
      <c r="T7" s="111" t="s">
        <v>41</v>
      </c>
      <c r="U7" s="112" t="s">
        <v>31</v>
      </c>
      <c r="V7" s="113"/>
      <c r="W7">
        <v>610000</v>
      </c>
      <c r="Y7" s="111" t="s">
        <v>41</v>
      </c>
      <c r="Z7" s="112" t="s">
        <v>31</v>
      </c>
      <c r="AA7" s="113"/>
      <c r="AD7" s="111" t="s">
        <v>41</v>
      </c>
      <c r="AE7" s="112" t="s">
        <v>31</v>
      </c>
      <c r="AF7" s="113"/>
      <c r="AH7" s="111" t="s">
        <v>41</v>
      </c>
      <c r="AI7" s="112" t="s">
        <v>31</v>
      </c>
      <c r="AJ7" s="113"/>
      <c r="AL7" s="111" t="s">
        <v>41</v>
      </c>
      <c r="AM7" s="112" t="s">
        <v>31</v>
      </c>
      <c r="AN7" s="113"/>
      <c r="AP7" s="111" t="s">
        <v>41</v>
      </c>
      <c r="AQ7" s="112" t="s">
        <v>31</v>
      </c>
      <c r="AR7" s="113" t="s">
        <v>446</v>
      </c>
    </row>
    <row r="8" spans="2:44">
      <c r="B8" s="43">
        <v>4</v>
      </c>
      <c r="C8" s="29" t="s">
        <v>83</v>
      </c>
      <c r="D8" s="44">
        <f>Sheet4!G52</f>
        <v>183550</v>
      </c>
      <c r="E8" s="44">
        <f>Sheet4!G51</f>
        <v>183550</v>
      </c>
      <c r="F8" s="44">
        <f>Sheet4!L51</f>
        <v>0</v>
      </c>
      <c r="J8" s="49"/>
      <c r="K8" s="32" t="s">
        <v>41</v>
      </c>
      <c r="L8" s="32" t="s">
        <v>31</v>
      </c>
      <c r="M8" s="32"/>
      <c r="N8" s="32" t="s">
        <v>41</v>
      </c>
      <c r="O8" s="32" t="s">
        <v>31</v>
      </c>
      <c r="P8" s="50"/>
      <c r="T8" s="114">
        <v>44290</v>
      </c>
      <c r="U8" s="109">
        <v>9500</v>
      </c>
      <c r="V8" s="110" t="s">
        <v>185</v>
      </c>
      <c r="W8">
        <v>384000</v>
      </c>
      <c r="Y8" s="114">
        <v>44298</v>
      </c>
      <c r="Z8" s="109">
        <v>2000</v>
      </c>
      <c r="AA8" s="110" t="s">
        <v>208</v>
      </c>
      <c r="AD8" s="114">
        <v>44301</v>
      </c>
      <c r="AE8" s="109">
        <v>3300</v>
      </c>
      <c r="AF8" s="110" t="s">
        <v>232</v>
      </c>
      <c r="AH8" s="114">
        <v>44551</v>
      </c>
      <c r="AI8" s="109">
        <v>21000</v>
      </c>
      <c r="AJ8" s="110" t="s">
        <v>679</v>
      </c>
      <c r="AL8" s="114">
        <v>44343</v>
      </c>
      <c r="AM8" s="109">
        <v>365000</v>
      </c>
      <c r="AN8" s="110" t="s">
        <v>288</v>
      </c>
      <c r="AP8" s="60">
        <v>44464</v>
      </c>
      <c r="AQ8" s="28">
        <v>1500000</v>
      </c>
      <c r="AR8" t="s">
        <v>447</v>
      </c>
    </row>
    <row r="9" spans="2:44">
      <c r="B9" s="43">
        <v>5</v>
      </c>
      <c r="C9" s="29" t="s">
        <v>84</v>
      </c>
      <c r="D9" s="44">
        <f>Sheet1!G232</f>
        <v>4485</v>
      </c>
      <c r="E9" s="44">
        <f>Sheet1!G231</f>
        <v>1139985</v>
      </c>
      <c r="F9" s="44">
        <f>Sheet1!L231</f>
        <v>1135500</v>
      </c>
      <c r="J9" s="27"/>
      <c r="K9" s="40">
        <v>44296</v>
      </c>
      <c r="L9" s="28">
        <v>5000</v>
      </c>
      <c r="M9" s="28" t="s">
        <v>184</v>
      </c>
      <c r="N9" s="40">
        <v>44336</v>
      </c>
      <c r="O9" s="28">
        <v>17600</v>
      </c>
      <c r="P9" s="36" t="s">
        <v>121</v>
      </c>
      <c r="T9" s="60">
        <v>44290</v>
      </c>
      <c r="U9" s="28">
        <v>15703</v>
      </c>
      <c r="V9" s="36" t="s">
        <v>186</v>
      </c>
      <c r="W9">
        <v>447178</v>
      </c>
      <c r="Y9" s="60">
        <v>44308</v>
      </c>
      <c r="Z9" s="28">
        <v>3000</v>
      </c>
      <c r="AA9" s="36" t="s">
        <v>209</v>
      </c>
      <c r="AD9" s="60">
        <v>44303</v>
      </c>
      <c r="AE9" s="28">
        <v>8300</v>
      </c>
      <c r="AF9" s="36" t="s">
        <v>231</v>
      </c>
      <c r="AH9" s="60">
        <v>44552</v>
      </c>
      <c r="AI9" s="28">
        <v>1000</v>
      </c>
      <c r="AJ9" s="36" t="s">
        <v>680</v>
      </c>
      <c r="AL9" s="60">
        <v>44343</v>
      </c>
      <c r="AM9" s="28">
        <v>155000</v>
      </c>
      <c r="AN9" s="110" t="s">
        <v>289</v>
      </c>
      <c r="AP9" s="51">
        <v>44449</v>
      </c>
      <c r="AQ9">
        <v>200000</v>
      </c>
      <c r="AR9" t="s">
        <v>447</v>
      </c>
    </row>
    <row r="10" spans="2:44">
      <c r="B10" s="43">
        <v>6</v>
      </c>
      <c r="C10" s="29" t="s">
        <v>85</v>
      </c>
      <c r="D10" s="44">
        <f>Sheet4!G19</f>
        <v>3190</v>
      </c>
      <c r="E10" s="44">
        <f>Sheet4!G18</f>
        <v>303190</v>
      </c>
      <c r="F10" s="44">
        <f>Sheet4!L18</f>
        <v>300000</v>
      </c>
      <c r="J10" s="27"/>
      <c r="K10" s="40">
        <v>44321</v>
      </c>
      <c r="L10" s="28">
        <v>3000</v>
      </c>
      <c r="M10" s="28" t="s">
        <v>184</v>
      </c>
      <c r="N10" s="40">
        <v>44310</v>
      </c>
      <c r="O10" s="28">
        <v>20000</v>
      </c>
      <c r="P10" s="36" t="s">
        <v>212</v>
      </c>
      <c r="T10" s="60">
        <v>44290</v>
      </c>
      <c r="U10" s="28">
        <v>1100</v>
      </c>
      <c r="V10" s="36" t="s">
        <v>187</v>
      </c>
      <c r="W10">
        <v>113500</v>
      </c>
      <c r="Y10" s="60">
        <v>44308</v>
      </c>
      <c r="Z10" s="28">
        <v>5000</v>
      </c>
      <c r="AA10" s="36" t="s">
        <v>210</v>
      </c>
      <c r="AB10">
        <v>5000</v>
      </c>
      <c r="AC10" t="s">
        <v>213</v>
      </c>
      <c r="AD10" s="60">
        <v>44308</v>
      </c>
      <c r="AE10" s="28">
        <v>3000</v>
      </c>
      <c r="AF10" s="36" t="s">
        <v>232</v>
      </c>
      <c r="AG10" s="128"/>
      <c r="AH10" s="60">
        <v>44552</v>
      </c>
      <c r="AI10" s="28">
        <v>4500</v>
      </c>
      <c r="AJ10" s="36" t="s">
        <v>681</v>
      </c>
      <c r="AL10" s="60"/>
      <c r="AM10" s="28"/>
      <c r="AN10" s="36"/>
    </row>
    <row r="11" spans="2:44">
      <c r="B11" s="43">
        <v>7</v>
      </c>
      <c r="C11" s="29" t="s">
        <v>86</v>
      </c>
      <c r="D11" s="44">
        <f>Sheet2!G68</f>
        <v>60030</v>
      </c>
      <c r="E11" s="44">
        <f>Sheet2!G67</f>
        <v>1064765</v>
      </c>
      <c r="F11" s="44">
        <f>Sheet2!L67</f>
        <v>1004735</v>
      </c>
      <c r="J11" s="27"/>
      <c r="K11" s="40">
        <v>44331</v>
      </c>
      <c r="L11" s="28">
        <v>15000</v>
      </c>
      <c r="M11" s="28" t="s">
        <v>235</v>
      </c>
      <c r="N11" s="40">
        <v>44313</v>
      </c>
      <c r="O11" s="28">
        <v>20000</v>
      </c>
      <c r="P11" s="36" t="s">
        <v>212</v>
      </c>
      <c r="T11" s="60">
        <v>44291</v>
      </c>
      <c r="U11" s="28">
        <v>8500</v>
      </c>
      <c r="V11" s="36" t="s">
        <v>188</v>
      </c>
      <c r="W11">
        <v>127500</v>
      </c>
      <c r="Y11" s="60">
        <v>44313</v>
      </c>
      <c r="Z11" s="28">
        <v>30498</v>
      </c>
      <c r="AA11" s="36" t="s">
        <v>215</v>
      </c>
      <c r="AB11">
        <v>5000</v>
      </c>
      <c r="AC11" t="s">
        <v>214</v>
      </c>
      <c r="AD11" s="60">
        <v>44311</v>
      </c>
      <c r="AE11" s="28">
        <v>500</v>
      </c>
      <c r="AF11" s="36" t="s">
        <v>195</v>
      </c>
      <c r="AG11" s="128"/>
      <c r="AH11" s="60">
        <v>44553</v>
      </c>
      <c r="AI11" s="28">
        <v>1665</v>
      </c>
      <c r="AJ11" s="36" t="s">
        <v>682</v>
      </c>
      <c r="AL11" s="60">
        <v>44361</v>
      </c>
      <c r="AM11" s="28">
        <v>1750000</v>
      </c>
      <c r="AN11" s="36" t="s">
        <v>314</v>
      </c>
    </row>
    <row r="12" spans="2:44">
      <c r="B12" s="43">
        <v>8</v>
      </c>
      <c r="C12" s="29" t="s">
        <v>87</v>
      </c>
      <c r="D12" s="44">
        <f>Sheet2!G92</f>
        <v>193240</v>
      </c>
      <c r="E12" s="44">
        <f>Sheet2!G91</f>
        <v>983240</v>
      </c>
      <c r="F12" s="44">
        <f>Sheet2!L91</f>
        <v>790000</v>
      </c>
      <c r="J12" s="27"/>
      <c r="K12" s="40">
        <v>44334</v>
      </c>
      <c r="L12" s="28">
        <v>15000</v>
      </c>
      <c r="M12" s="28" t="s">
        <v>116</v>
      </c>
      <c r="N12" s="40">
        <v>44323</v>
      </c>
      <c r="O12" s="28">
        <v>10000</v>
      </c>
      <c r="P12" s="36" t="s">
        <v>222</v>
      </c>
      <c r="T12" s="60">
        <v>44291</v>
      </c>
      <c r="U12" s="28">
        <v>3600</v>
      </c>
      <c r="V12" s="36" t="s">
        <v>189</v>
      </c>
      <c r="W12" s="28">
        <v>-35000</v>
      </c>
      <c r="Y12" s="60">
        <v>44313</v>
      </c>
      <c r="Z12" s="28">
        <v>3700</v>
      </c>
      <c r="AA12" s="36" t="s">
        <v>215</v>
      </c>
      <c r="AB12">
        <v>10000</v>
      </c>
      <c r="AC12" t="s">
        <v>221</v>
      </c>
      <c r="AD12" s="60">
        <v>44315</v>
      </c>
      <c r="AE12" s="28">
        <v>40000</v>
      </c>
      <c r="AF12" s="36" t="s">
        <v>233</v>
      </c>
      <c r="AG12" s="128"/>
      <c r="AH12" s="60">
        <v>44553</v>
      </c>
      <c r="AI12" s="28">
        <v>15000</v>
      </c>
      <c r="AJ12" s="36" t="s">
        <v>646</v>
      </c>
      <c r="AL12" s="60">
        <v>44359</v>
      </c>
      <c r="AM12" s="28">
        <v>750000</v>
      </c>
      <c r="AN12" s="36" t="s">
        <v>315</v>
      </c>
    </row>
    <row r="13" spans="2:44">
      <c r="B13" s="43">
        <v>9</v>
      </c>
      <c r="C13" s="29" t="s">
        <v>88</v>
      </c>
      <c r="D13" s="44">
        <f>Sheet3!G36</f>
        <v>2125575</v>
      </c>
      <c r="E13" s="44">
        <f>Sheet3!G35</f>
        <v>2125575</v>
      </c>
      <c r="F13" s="44">
        <f>Sheet3!L35</f>
        <v>0</v>
      </c>
      <c r="J13" s="27"/>
      <c r="K13" s="40">
        <v>44338</v>
      </c>
      <c r="L13" s="28">
        <v>20000</v>
      </c>
      <c r="M13" s="28" t="s">
        <v>116</v>
      </c>
      <c r="N13" s="40">
        <v>44327</v>
      </c>
      <c r="O13" s="28">
        <v>15000</v>
      </c>
      <c r="P13" s="36" t="s">
        <v>222</v>
      </c>
      <c r="T13" s="60">
        <v>44291</v>
      </c>
      <c r="U13" s="28">
        <v>2000</v>
      </c>
      <c r="V13" s="36" t="s">
        <v>190</v>
      </c>
      <c r="Y13" s="60">
        <v>44314</v>
      </c>
      <c r="Z13" s="28">
        <v>10000</v>
      </c>
      <c r="AA13" s="36" t="s">
        <v>189</v>
      </c>
      <c r="AB13">
        <v>10000</v>
      </c>
      <c r="AC13" t="s">
        <v>213</v>
      </c>
      <c r="AD13" s="60">
        <v>44340</v>
      </c>
      <c r="AE13" s="28">
        <v>12000</v>
      </c>
      <c r="AF13" s="36" t="s">
        <v>201</v>
      </c>
      <c r="AG13" s="128"/>
      <c r="AH13" s="60">
        <v>44553</v>
      </c>
      <c r="AI13" s="28">
        <v>30000</v>
      </c>
      <c r="AJ13" s="36" t="s">
        <v>683</v>
      </c>
      <c r="AL13" s="60"/>
      <c r="AM13" s="28"/>
      <c r="AN13" s="36"/>
    </row>
    <row r="14" spans="2:44">
      <c r="B14" s="43">
        <v>10</v>
      </c>
      <c r="C14" s="29" t="s">
        <v>89</v>
      </c>
      <c r="D14" s="44">
        <f>Sheet3!G79</f>
        <v>-8115</v>
      </c>
      <c r="E14" s="44">
        <f>Sheet3!G78</f>
        <v>1201885</v>
      </c>
      <c r="F14" s="44">
        <f>Sheet3!L78</f>
        <v>1210000</v>
      </c>
      <c r="J14" s="27"/>
      <c r="K14" s="40">
        <v>44340</v>
      </c>
      <c r="L14" s="28">
        <v>25000</v>
      </c>
      <c r="M14" s="28" t="s">
        <v>116</v>
      </c>
      <c r="N14" s="40">
        <v>44359</v>
      </c>
      <c r="O14" s="28">
        <v>25000</v>
      </c>
      <c r="P14" s="36" t="s">
        <v>122</v>
      </c>
      <c r="T14" s="60">
        <v>44292</v>
      </c>
      <c r="U14" s="28">
        <v>15000</v>
      </c>
      <c r="V14" s="36" t="s">
        <v>191</v>
      </c>
      <c r="Y14" s="51">
        <v>44316</v>
      </c>
      <c r="Z14" s="52">
        <v>6540</v>
      </c>
      <c r="AA14" s="117" t="s">
        <v>149</v>
      </c>
      <c r="AB14">
        <v>3000</v>
      </c>
      <c r="AC14" t="s">
        <v>224</v>
      </c>
      <c r="AD14" s="60">
        <v>44352</v>
      </c>
      <c r="AE14" s="28">
        <v>50000</v>
      </c>
      <c r="AF14" s="36" t="s">
        <v>275</v>
      </c>
      <c r="AH14" s="60">
        <v>44554</v>
      </c>
      <c r="AI14" s="28">
        <v>21000</v>
      </c>
      <c r="AJ14" s="36" t="s">
        <v>649</v>
      </c>
      <c r="AL14" s="60">
        <v>44360</v>
      </c>
      <c r="AM14" s="28">
        <v>10000</v>
      </c>
      <c r="AN14" s="36" t="s">
        <v>330</v>
      </c>
    </row>
    <row r="15" spans="2:44">
      <c r="B15" s="43">
        <v>11</v>
      </c>
      <c r="C15" s="29" t="s">
        <v>90</v>
      </c>
      <c r="D15" s="44">
        <f>Sheet3!G96</f>
        <v>0</v>
      </c>
      <c r="E15" s="44">
        <f>Sheet3!G95</f>
        <v>65000</v>
      </c>
      <c r="F15" s="44">
        <f>Sheet3!L95</f>
        <v>65000</v>
      </c>
      <c r="J15" s="27"/>
      <c r="K15" s="103">
        <v>43979</v>
      </c>
      <c r="L15" s="104">
        <v>25000</v>
      </c>
      <c r="M15" s="104" t="s">
        <v>180</v>
      </c>
      <c r="N15" s="40">
        <v>44349</v>
      </c>
      <c r="O15" s="28">
        <v>10000</v>
      </c>
      <c r="P15" s="36" t="s">
        <v>212</v>
      </c>
      <c r="T15" s="60">
        <v>44293</v>
      </c>
      <c r="U15" s="28">
        <v>24000</v>
      </c>
      <c r="V15" s="36" t="s">
        <v>192</v>
      </c>
      <c r="Y15" s="60">
        <v>44316</v>
      </c>
      <c r="Z15" s="28">
        <v>157000</v>
      </c>
      <c r="AA15" s="36" t="s">
        <v>216</v>
      </c>
      <c r="AB15">
        <v>5000</v>
      </c>
      <c r="AC15" t="s">
        <v>226</v>
      </c>
      <c r="AD15" s="60">
        <v>44358</v>
      </c>
      <c r="AE15" s="28">
        <v>5000</v>
      </c>
      <c r="AF15" s="36" t="s">
        <v>276</v>
      </c>
      <c r="AH15" s="60">
        <v>44554</v>
      </c>
      <c r="AI15" s="28">
        <v>1000</v>
      </c>
      <c r="AJ15" s="36">
        <v>9381400489</v>
      </c>
      <c r="AL15" s="60">
        <v>44384</v>
      </c>
      <c r="AM15" s="28">
        <v>970000</v>
      </c>
      <c r="AN15" s="36" t="s">
        <v>314</v>
      </c>
    </row>
    <row r="16" spans="2:44">
      <c r="B16" s="43">
        <v>12</v>
      </c>
      <c r="C16" s="29" t="s">
        <v>91</v>
      </c>
      <c r="D16" s="44">
        <f>Sheet1!G99</f>
        <v>592515</v>
      </c>
      <c r="E16" s="44">
        <f>Sheet1!G98</f>
        <v>4558495</v>
      </c>
      <c r="F16" s="44">
        <f>Sheet1!L98</f>
        <v>3965980</v>
      </c>
      <c r="J16" s="102"/>
      <c r="K16" s="103">
        <v>44347</v>
      </c>
      <c r="L16" s="104">
        <v>20000</v>
      </c>
      <c r="M16" s="28" t="s">
        <v>184</v>
      </c>
      <c r="N16" s="103">
        <v>44350</v>
      </c>
      <c r="O16" s="28">
        <v>10000</v>
      </c>
      <c r="P16" s="36" t="s">
        <v>212</v>
      </c>
      <c r="T16" s="60">
        <v>44296</v>
      </c>
      <c r="U16" s="28">
        <v>5000</v>
      </c>
      <c r="V16" s="36" t="s">
        <v>193</v>
      </c>
      <c r="Y16" s="60">
        <v>44316</v>
      </c>
      <c r="Z16" s="28">
        <v>8000</v>
      </c>
      <c r="AA16" s="36" t="s">
        <v>217</v>
      </c>
      <c r="AB16">
        <v>15500</v>
      </c>
      <c r="AC16" t="s">
        <v>227</v>
      </c>
      <c r="AD16" s="60">
        <v>44365</v>
      </c>
      <c r="AE16" s="28">
        <v>5000</v>
      </c>
      <c r="AF16" s="36" t="s">
        <v>277</v>
      </c>
      <c r="AH16" s="60">
        <v>44554</v>
      </c>
      <c r="AI16" s="28">
        <v>2000</v>
      </c>
      <c r="AJ16" s="36">
        <v>8688649037</v>
      </c>
      <c r="AL16" s="60">
        <v>44397</v>
      </c>
      <c r="AM16" s="28">
        <v>400000</v>
      </c>
      <c r="AN16" s="36" t="s">
        <v>397</v>
      </c>
    </row>
    <row r="17" spans="2:40">
      <c r="B17" s="43">
        <v>13</v>
      </c>
      <c r="C17" s="29" t="s">
        <v>92</v>
      </c>
      <c r="D17" s="44"/>
      <c r="E17" s="44"/>
      <c r="F17" s="44"/>
      <c r="J17" s="102"/>
      <c r="K17" s="51">
        <v>44351</v>
      </c>
      <c r="L17" s="52">
        <v>20000</v>
      </c>
      <c r="M17" s="125" t="s">
        <v>184</v>
      </c>
      <c r="N17" s="103">
        <v>44372</v>
      </c>
      <c r="O17" s="104">
        <v>10000</v>
      </c>
      <c r="P17" s="105" t="s">
        <v>122</v>
      </c>
      <c r="T17" s="60">
        <v>44296</v>
      </c>
      <c r="U17" s="28">
        <v>3000</v>
      </c>
      <c r="V17" s="36" t="s">
        <v>194</v>
      </c>
      <c r="Y17" s="60">
        <v>44315</v>
      </c>
      <c r="Z17" s="28">
        <v>116</v>
      </c>
      <c r="AA17" s="36" t="s">
        <v>200</v>
      </c>
      <c r="AB17">
        <v>15000</v>
      </c>
      <c r="AC17" t="s">
        <v>228</v>
      </c>
      <c r="AD17" s="60">
        <v>44376</v>
      </c>
      <c r="AE17" s="28">
        <v>2000</v>
      </c>
      <c r="AF17" s="36" t="s">
        <v>331</v>
      </c>
      <c r="AH17" s="60">
        <v>44555</v>
      </c>
      <c r="AI17" s="28">
        <v>8000</v>
      </c>
      <c r="AJ17" s="36" t="s">
        <v>649</v>
      </c>
      <c r="AL17" s="60"/>
      <c r="AM17" s="28">
        <v>4000</v>
      </c>
      <c r="AN17" s="36" t="s">
        <v>398</v>
      </c>
    </row>
    <row r="18" spans="2:40">
      <c r="B18" s="43">
        <v>14</v>
      </c>
      <c r="C18" s="29" t="s">
        <v>93</v>
      </c>
      <c r="D18" s="44">
        <f>Sheet1!G199</f>
        <v>0</v>
      </c>
      <c r="E18" s="44">
        <f>Sheet1!G198</f>
        <v>771125</v>
      </c>
      <c r="F18" s="44">
        <f>Sheet1!L198</f>
        <v>771125</v>
      </c>
      <c r="J18" s="102"/>
      <c r="K18" s="103">
        <v>44354</v>
      </c>
      <c r="L18" s="104">
        <v>40000</v>
      </c>
      <c r="M18" s="125" t="s">
        <v>184</v>
      </c>
      <c r="N18" s="103">
        <v>44379</v>
      </c>
      <c r="O18" s="104">
        <v>10000</v>
      </c>
      <c r="P18" s="105" t="s">
        <v>122</v>
      </c>
      <c r="T18" s="60">
        <v>44301</v>
      </c>
      <c r="U18" s="28">
        <v>700</v>
      </c>
      <c r="V18" s="36" t="s">
        <v>195</v>
      </c>
      <c r="Y18" s="60">
        <v>44317</v>
      </c>
      <c r="Z18" s="28">
        <v>4500</v>
      </c>
      <c r="AA18" s="36" t="s">
        <v>217</v>
      </c>
      <c r="AB18">
        <v>8000</v>
      </c>
      <c r="AC18" t="s">
        <v>229</v>
      </c>
      <c r="AD18" s="60">
        <v>44378</v>
      </c>
      <c r="AE18" s="28">
        <v>7500</v>
      </c>
      <c r="AF18" s="36" t="s">
        <v>332</v>
      </c>
      <c r="AH18" s="60">
        <v>44557</v>
      </c>
      <c r="AI18" s="28">
        <v>300000</v>
      </c>
      <c r="AJ18" s="36" t="s">
        <v>6</v>
      </c>
      <c r="AL18" s="60"/>
      <c r="AM18" s="28">
        <v>50000</v>
      </c>
      <c r="AN18" s="36" t="s">
        <v>399</v>
      </c>
    </row>
    <row r="19" spans="2:40">
      <c r="B19" s="43">
        <v>15</v>
      </c>
      <c r="C19" s="29" t="s">
        <v>94</v>
      </c>
      <c r="D19" s="44">
        <f>Sheet1!G159</f>
        <v>200300</v>
      </c>
      <c r="E19" s="44">
        <f>Sheet1!G158</f>
        <v>811585</v>
      </c>
      <c r="F19" s="44">
        <f>Sheet1!L158</f>
        <v>611285</v>
      </c>
      <c r="J19" s="102"/>
      <c r="K19" s="103">
        <v>44364</v>
      </c>
      <c r="L19" s="104">
        <v>15000</v>
      </c>
      <c r="M19" s="125" t="s">
        <v>184</v>
      </c>
      <c r="N19" s="103">
        <v>44383</v>
      </c>
      <c r="O19" s="104">
        <v>10000</v>
      </c>
      <c r="P19" s="105" t="s">
        <v>184</v>
      </c>
      <c r="T19" s="60">
        <v>44305</v>
      </c>
      <c r="U19" s="28">
        <v>1000</v>
      </c>
      <c r="V19" s="36" t="s">
        <v>196</v>
      </c>
      <c r="Y19" s="60">
        <v>44319</v>
      </c>
      <c r="Z19" s="28">
        <v>33000</v>
      </c>
      <c r="AA19" s="36" t="s">
        <v>218</v>
      </c>
      <c r="AB19">
        <v>10000</v>
      </c>
      <c r="AC19" t="s">
        <v>224</v>
      </c>
      <c r="AD19" s="60">
        <v>44378</v>
      </c>
      <c r="AE19" s="28">
        <v>6200</v>
      </c>
      <c r="AF19" s="36" t="s">
        <v>193</v>
      </c>
      <c r="AH19" s="60">
        <v>44557</v>
      </c>
      <c r="AI19" s="28">
        <v>40000</v>
      </c>
      <c r="AJ19" s="36">
        <v>9440370408</v>
      </c>
      <c r="AL19" s="60"/>
      <c r="AM19" s="28">
        <v>200000</v>
      </c>
      <c r="AN19" s="36" t="s">
        <v>400</v>
      </c>
    </row>
    <row r="20" spans="2:40">
      <c r="B20" s="43">
        <v>16</v>
      </c>
      <c r="C20" s="29" t="s">
        <v>95</v>
      </c>
      <c r="D20" s="44">
        <f>Sheet1!G182</f>
        <v>-10187</v>
      </c>
      <c r="E20" s="44">
        <f>Sheet1!G181</f>
        <v>1661813</v>
      </c>
      <c r="F20" s="44">
        <f>Sheet1!L181</f>
        <v>1672000</v>
      </c>
      <c r="J20" s="102"/>
      <c r="K20" s="103">
        <v>44369</v>
      </c>
      <c r="L20" s="104">
        <v>5000</v>
      </c>
      <c r="M20" s="125" t="s">
        <v>184</v>
      </c>
      <c r="N20" s="103">
        <v>44389</v>
      </c>
      <c r="O20" s="104">
        <v>10000</v>
      </c>
      <c r="P20" s="105" t="s">
        <v>184</v>
      </c>
      <c r="T20" s="60">
        <v>44308</v>
      </c>
      <c r="U20" s="28">
        <v>44924</v>
      </c>
      <c r="V20" s="36" t="s">
        <v>149</v>
      </c>
      <c r="W20" s="28"/>
      <c r="Y20" s="60">
        <v>44320</v>
      </c>
      <c r="Z20" s="28">
        <v>1500</v>
      </c>
      <c r="AA20" s="36" t="s">
        <v>217</v>
      </c>
      <c r="AB20">
        <v>2000</v>
      </c>
      <c r="AC20" t="s">
        <v>224</v>
      </c>
      <c r="AD20" s="60">
        <v>44379</v>
      </c>
      <c r="AE20" s="28">
        <v>8000</v>
      </c>
      <c r="AF20" s="150" t="s">
        <v>333</v>
      </c>
      <c r="AH20" s="60">
        <v>44559</v>
      </c>
      <c r="AI20" s="28">
        <v>15000</v>
      </c>
      <c r="AJ20" s="150">
        <v>9948221429</v>
      </c>
      <c r="AL20" s="51">
        <v>44554</v>
      </c>
      <c r="AM20" s="52">
        <v>200000</v>
      </c>
      <c r="AN20" s="36" t="s">
        <v>640</v>
      </c>
    </row>
    <row r="21" spans="2:40">
      <c r="B21" s="43">
        <v>17</v>
      </c>
      <c r="C21" s="29" t="s">
        <v>627</v>
      </c>
      <c r="D21" s="44">
        <f>Sheet2!G21</f>
        <v>19996</v>
      </c>
      <c r="E21" s="44">
        <f>Sheet2!G20</f>
        <v>713671</v>
      </c>
      <c r="F21" s="44">
        <f>Sheet2!L20</f>
        <v>693675</v>
      </c>
      <c r="J21" s="102"/>
      <c r="K21" s="103">
        <v>44411</v>
      </c>
      <c r="L21" s="104">
        <v>5000</v>
      </c>
      <c r="M21" s="168" t="s">
        <v>394</v>
      </c>
      <c r="N21" s="103">
        <v>44392</v>
      </c>
      <c r="O21" s="104">
        <v>5000</v>
      </c>
      <c r="P21" s="105" t="s">
        <v>394</v>
      </c>
      <c r="T21" s="60">
        <v>44310</v>
      </c>
      <c r="U21">
        <v>41127</v>
      </c>
      <c r="V21" s="36" t="s">
        <v>197</v>
      </c>
      <c r="Y21" s="60">
        <v>44321</v>
      </c>
      <c r="Z21" s="28">
        <v>10000</v>
      </c>
      <c r="AA21" s="36" t="s">
        <v>219</v>
      </c>
      <c r="AB21">
        <v>15000</v>
      </c>
      <c r="AC21" t="s">
        <v>224</v>
      </c>
      <c r="AD21" s="60">
        <v>44379</v>
      </c>
      <c r="AE21" s="28">
        <v>3000</v>
      </c>
      <c r="AF21" s="36" t="s">
        <v>334</v>
      </c>
      <c r="AH21" s="60">
        <v>44559</v>
      </c>
      <c r="AI21" s="28">
        <v>4500</v>
      </c>
      <c r="AJ21" s="36" t="s">
        <v>649</v>
      </c>
      <c r="AL21" s="60"/>
      <c r="AM21" s="28"/>
      <c r="AN21" s="36"/>
    </row>
    <row r="22" spans="2:40">
      <c r="B22" s="43">
        <v>18</v>
      </c>
      <c r="C22" s="29" t="s">
        <v>96</v>
      </c>
      <c r="D22" s="44">
        <f>Sheet4!G65</f>
        <v>41650</v>
      </c>
      <c r="E22" s="44">
        <f>Sheet4!G64</f>
        <v>201650</v>
      </c>
      <c r="F22" s="44">
        <f>Sheet4!L64</f>
        <v>160000</v>
      </c>
      <c r="J22" s="102"/>
      <c r="K22" s="103">
        <v>44406</v>
      </c>
      <c r="L22" s="104">
        <v>5000</v>
      </c>
      <c r="M22" s="168" t="s">
        <v>483</v>
      </c>
      <c r="N22" s="103">
        <v>44558</v>
      </c>
      <c r="O22" s="104">
        <v>9000</v>
      </c>
      <c r="P22" s="105" t="s">
        <v>684</v>
      </c>
      <c r="T22" s="60">
        <v>44311</v>
      </c>
      <c r="U22" s="28">
        <v>50000</v>
      </c>
      <c r="V22" s="115" t="s">
        <v>234</v>
      </c>
      <c r="Y22" s="60">
        <v>44321</v>
      </c>
      <c r="Z22" s="28">
        <v>4200</v>
      </c>
      <c r="AA22" s="115" t="s">
        <v>220</v>
      </c>
      <c r="AB22" s="116">
        <v>10000</v>
      </c>
      <c r="AC22" t="s">
        <v>227</v>
      </c>
      <c r="AD22" s="60"/>
      <c r="AE22" s="28"/>
      <c r="AF22" s="115"/>
      <c r="AH22" s="60">
        <v>44559</v>
      </c>
      <c r="AI22" s="28">
        <v>40000</v>
      </c>
      <c r="AJ22" s="115">
        <v>9440370408</v>
      </c>
      <c r="AL22" s="60"/>
      <c r="AM22" s="28"/>
      <c r="AN22" s="115"/>
    </row>
    <row r="23" spans="2:40">
      <c r="B23" s="43">
        <v>19</v>
      </c>
      <c r="C23" s="29" t="s">
        <v>97</v>
      </c>
      <c r="D23" s="44"/>
      <c r="E23" s="44"/>
      <c r="F23" s="44"/>
      <c r="J23" s="102"/>
      <c r="K23" s="60">
        <v>44446</v>
      </c>
      <c r="L23" s="28">
        <v>2000</v>
      </c>
      <c r="M23" s="168" t="s">
        <v>184</v>
      </c>
      <c r="N23" s="103"/>
      <c r="O23" s="104"/>
      <c r="P23" s="105"/>
      <c r="T23" s="60">
        <v>44312</v>
      </c>
      <c r="U23" s="28">
        <v>5000</v>
      </c>
      <c r="V23" s="36" t="s">
        <v>195</v>
      </c>
      <c r="Y23" s="60">
        <v>44323</v>
      </c>
      <c r="Z23" s="52">
        <v>35000</v>
      </c>
      <c r="AA23" s="36" t="s">
        <v>223</v>
      </c>
      <c r="AB23">
        <v>3000</v>
      </c>
      <c r="AC23" t="s">
        <v>325</v>
      </c>
      <c r="AD23" s="60"/>
      <c r="AE23" s="28"/>
      <c r="AF23" s="36"/>
      <c r="AH23" s="60">
        <v>44560</v>
      </c>
      <c r="AI23" s="28">
        <v>1500</v>
      </c>
      <c r="AJ23" s="36" t="s">
        <v>685</v>
      </c>
      <c r="AL23" s="60"/>
      <c r="AM23" s="28"/>
      <c r="AN23" s="36"/>
    </row>
    <row r="24" spans="2:40">
      <c r="B24" s="43">
        <v>20</v>
      </c>
      <c r="C24" s="29" t="s">
        <v>98</v>
      </c>
      <c r="D24" s="44"/>
      <c r="E24" s="44"/>
      <c r="F24" s="44"/>
      <c r="J24" s="102"/>
      <c r="K24" s="103">
        <v>44509</v>
      </c>
      <c r="L24" s="104">
        <v>10000</v>
      </c>
      <c r="M24" s="168" t="s">
        <v>184</v>
      </c>
      <c r="N24" s="103"/>
      <c r="O24" s="104"/>
      <c r="P24" s="105"/>
      <c r="T24" s="60">
        <v>44312</v>
      </c>
      <c r="U24" s="28">
        <v>2600</v>
      </c>
      <c r="V24" s="36" t="s">
        <v>198</v>
      </c>
      <c r="Y24" s="60">
        <v>44324</v>
      </c>
      <c r="Z24" s="28">
        <v>5000</v>
      </c>
      <c r="AA24" s="36" t="s">
        <v>189</v>
      </c>
      <c r="AB24">
        <v>3000</v>
      </c>
      <c r="AC24" t="s">
        <v>325</v>
      </c>
      <c r="AD24" s="60"/>
      <c r="AE24" s="28"/>
      <c r="AF24" s="36"/>
      <c r="AH24" s="60">
        <v>44560</v>
      </c>
      <c r="AI24" s="28">
        <v>17150</v>
      </c>
      <c r="AJ24" s="36" t="s">
        <v>686</v>
      </c>
      <c r="AL24" s="60"/>
      <c r="AM24" s="28"/>
      <c r="AN24" s="36"/>
    </row>
    <row r="25" spans="2:40">
      <c r="B25" s="43">
        <v>21</v>
      </c>
      <c r="C25" s="29" t="s">
        <v>99</v>
      </c>
      <c r="D25" s="44">
        <f>Sheet1!G137</f>
        <v>399854.5</v>
      </c>
      <c r="E25" s="44">
        <f>Sheet1!G136</f>
        <v>2647874.5</v>
      </c>
      <c r="F25" s="44">
        <f>Sheet1!L136</f>
        <v>2248020</v>
      </c>
      <c r="J25" s="102"/>
      <c r="K25" s="103">
        <v>44515</v>
      </c>
      <c r="L25" s="104">
        <v>10000</v>
      </c>
      <c r="M25" s="168" t="s">
        <v>184</v>
      </c>
      <c r="N25" s="103"/>
      <c r="O25" s="104"/>
      <c r="P25" s="105"/>
      <c r="T25" s="60">
        <v>44315</v>
      </c>
      <c r="U25" s="28">
        <v>27392</v>
      </c>
      <c r="V25" s="36" t="s">
        <v>199</v>
      </c>
      <c r="Y25" s="60">
        <v>44326</v>
      </c>
      <c r="Z25" s="28">
        <v>12600</v>
      </c>
      <c r="AA25" s="36" t="s">
        <v>225</v>
      </c>
      <c r="AB25">
        <v>5000</v>
      </c>
      <c r="AC25" t="s">
        <v>227</v>
      </c>
      <c r="AD25" s="60"/>
      <c r="AE25" s="28"/>
      <c r="AF25" s="36"/>
      <c r="AH25" s="60">
        <v>44561</v>
      </c>
      <c r="AI25" s="28">
        <v>6500</v>
      </c>
      <c r="AJ25" s="36" t="s">
        <v>687</v>
      </c>
      <c r="AL25" s="60"/>
      <c r="AM25" s="28"/>
      <c r="AN25" s="36"/>
    </row>
    <row r="26" spans="2:40">
      <c r="B26" s="43">
        <v>22</v>
      </c>
      <c r="C26" s="29" t="s">
        <v>100</v>
      </c>
      <c r="D26" s="44">
        <f>Sheet2!G41</f>
        <v>-14670</v>
      </c>
      <c r="E26" s="44">
        <f>Sheet2!G40</f>
        <v>442330</v>
      </c>
      <c r="F26" s="44">
        <f>Sheet2!L40</f>
        <v>457000</v>
      </c>
      <c r="J26" s="102"/>
      <c r="K26" s="103">
        <v>44515</v>
      </c>
      <c r="L26" s="104">
        <v>3000</v>
      </c>
      <c r="M26" s="168" t="s">
        <v>184</v>
      </c>
      <c r="N26" s="103"/>
      <c r="O26" s="104"/>
      <c r="P26" s="105"/>
      <c r="T26" s="60">
        <v>44315</v>
      </c>
      <c r="U26" s="28">
        <v>1931</v>
      </c>
      <c r="V26" s="36" t="s">
        <v>200</v>
      </c>
      <c r="Y26" s="60">
        <v>44341</v>
      </c>
      <c r="Z26" s="28">
        <v>50000</v>
      </c>
      <c r="AA26" s="36" t="s">
        <v>230</v>
      </c>
      <c r="AD26" s="60"/>
      <c r="AE26" s="28"/>
      <c r="AF26" s="36"/>
      <c r="AH26" s="60">
        <v>44561</v>
      </c>
      <c r="AI26" s="28">
        <v>500</v>
      </c>
      <c r="AJ26" s="36" t="s">
        <v>688</v>
      </c>
      <c r="AL26" s="60"/>
      <c r="AM26" s="28"/>
      <c r="AN26" s="36"/>
    </row>
    <row r="27" spans="2:40">
      <c r="B27" s="43">
        <v>23</v>
      </c>
      <c r="C27" s="29" t="s">
        <v>101</v>
      </c>
      <c r="D27" s="44">
        <f>Sheet2!G142</f>
        <v>118350</v>
      </c>
      <c r="E27" s="44">
        <f>Sheet2!G141</f>
        <v>688450</v>
      </c>
      <c r="F27" s="44">
        <f>Sheet2!L141</f>
        <v>570100</v>
      </c>
      <c r="J27" s="102"/>
      <c r="K27" s="103">
        <v>44541</v>
      </c>
      <c r="L27" s="104">
        <v>5000</v>
      </c>
      <c r="M27" s="168" t="s">
        <v>184</v>
      </c>
      <c r="N27" s="103"/>
      <c r="O27" s="104"/>
      <c r="P27" s="105"/>
      <c r="T27" s="60">
        <v>44319</v>
      </c>
      <c r="U27" s="28">
        <v>63515</v>
      </c>
      <c r="V27" s="36" t="s">
        <v>186</v>
      </c>
      <c r="Y27" s="60">
        <v>44342</v>
      </c>
      <c r="Z27" s="28">
        <v>21990</v>
      </c>
      <c r="AA27" s="36" t="s">
        <v>205</v>
      </c>
      <c r="AD27" s="60"/>
      <c r="AE27" s="28"/>
      <c r="AF27" s="36"/>
      <c r="AH27" s="60">
        <v>44202</v>
      </c>
      <c r="AI27" s="28">
        <v>50000</v>
      </c>
      <c r="AJ27" s="36">
        <v>9963970114</v>
      </c>
      <c r="AL27" s="60"/>
      <c r="AM27" s="28"/>
      <c r="AN27" s="36"/>
    </row>
    <row r="28" spans="2:40">
      <c r="B28" s="43">
        <v>24</v>
      </c>
      <c r="C28" s="29" t="s">
        <v>102</v>
      </c>
      <c r="D28" s="44">
        <f>Sheet2!G159</f>
        <v>122500</v>
      </c>
      <c r="E28" s="44">
        <f>Sheet2!G158</f>
        <v>433650</v>
      </c>
      <c r="F28" s="44">
        <f>Sheet2!L158</f>
        <v>311150</v>
      </c>
      <c r="J28" s="102"/>
      <c r="K28" s="103">
        <v>44541</v>
      </c>
      <c r="L28" s="104">
        <v>5000</v>
      </c>
      <c r="M28" s="168" t="s">
        <v>184</v>
      </c>
      <c r="N28" s="103"/>
      <c r="O28" s="104"/>
      <c r="P28" s="105"/>
      <c r="T28" s="60">
        <v>44342</v>
      </c>
      <c r="U28" s="28">
        <v>3000</v>
      </c>
      <c r="V28" s="36" t="s">
        <v>201</v>
      </c>
      <c r="Y28" s="60">
        <v>44346</v>
      </c>
      <c r="Z28" s="28">
        <v>644</v>
      </c>
      <c r="AA28" s="36" t="s">
        <v>200</v>
      </c>
      <c r="AD28" s="60"/>
      <c r="AE28" s="28"/>
      <c r="AF28" s="36"/>
      <c r="AH28" s="60">
        <v>44203</v>
      </c>
      <c r="AI28" s="28">
        <v>13500</v>
      </c>
      <c r="AJ28" s="36" t="s">
        <v>689</v>
      </c>
      <c r="AL28" s="60"/>
      <c r="AM28" s="28"/>
      <c r="AN28" s="36"/>
    </row>
    <row r="29" spans="2:40">
      <c r="B29" s="43">
        <v>25</v>
      </c>
      <c r="C29" s="29" t="s">
        <v>103</v>
      </c>
      <c r="D29" s="44">
        <f>Sheet4!G35</f>
        <v>3200</v>
      </c>
      <c r="E29" s="44">
        <f>Sheet4!G34</f>
        <v>44600</v>
      </c>
      <c r="F29" s="44">
        <f>Sheet4!L34</f>
        <v>41400</v>
      </c>
      <c r="J29" s="102"/>
      <c r="K29" s="103"/>
      <c r="L29" s="104"/>
      <c r="M29" s="168"/>
      <c r="N29" s="103"/>
      <c r="O29" s="104"/>
      <c r="P29" s="105"/>
      <c r="T29" s="60">
        <v>44343</v>
      </c>
      <c r="U29" s="28">
        <v>10000</v>
      </c>
      <c r="V29" s="36" t="s">
        <v>189</v>
      </c>
      <c r="Y29" s="60">
        <v>44350</v>
      </c>
      <c r="Z29" s="28">
        <v>9000</v>
      </c>
      <c r="AA29" s="36" t="s">
        <v>278</v>
      </c>
      <c r="AB29">
        <v>199900</v>
      </c>
      <c r="AC29" s="51">
        <v>44342</v>
      </c>
      <c r="AD29" s="60"/>
      <c r="AE29" s="28"/>
      <c r="AF29" s="36"/>
      <c r="AH29" s="60">
        <v>44205</v>
      </c>
      <c r="AI29" s="28">
        <v>11000</v>
      </c>
      <c r="AJ29" s="36" t="s">
        <v>690</v>
      </c>
      <c r="AL29" s="60"/>
      <c r="AM29" s="28"/>
      <c r="AN29" s="36"/>
    </row>
    <row r="30" spans="2:40">
      <c r="B30" s="43">
        <v>26</v>
      </c>
      <c r="C30" s="29" t="s">
        <v>104</v>
      </c>
      <c r="D30" s="44">
        <f>Sheet2!G181</f>
        <v>53480</v>
      </c>
      <c r="E30" s="44">
        <f>Sheet2!G180</f>
        <v>434705</v>
      </c>
      <c r="F30" s="44">
        <f>Sheet2!L180</f>
        <v>381225</v>
      </c>
      <c r="J30" s="102"/>
      <c r="K30" s="103"/>
      <c r="L30" s="104"/>
      <c r="M30" s="168"/>
      <c r="N30" s="103"/>
      <c r="O30" s="104"/>
      <c r="P30" s="105"/>
      <c r="T30" s="60">
        <v>44344</v>
      </c>
      <c r="U30" s="28">
        <v>50000</v>
      </c>
      <c r="V30" s="36" t="s">
        <v>202</v>
      </c>
      <c r="Y30" s="60">
        <v>44350</v>
      </c>
      <c r="Z30" s="28">
        <v>500</v>
      </c>
      <c r="AA30" s="36" t="s">
        <v>149</v>
      </c>
      <c r="AD30" s="60"/>
      <c r="AE30" s="28"/>
      <c r="AF30" s="36"/>
      <c r="AH30" s="60"/>
      <c r="AI30" s="28"/>
      <c r="AJ30" s="36"/>
      <c r="AL30" s="60"/>
      <c r="AM30" s="28"/>
      <c r="AN30" s="36"/>
    </row>
    <row r="31" spans="2:40">
      <c r="B31" s="43">
        <v>27</v>
      </c>
      <c r="C31" s="29" t="s">
        <v>105</v>
      </c>
      <c r="D31" s="44">
        <f>Sheet1!G57</f>
        <v>0</v>
      </c>
      <c r="E31" s="44">
        <f>Sheet1!G56</f>
        <v>121950</v>
      </c>
      <c r="F31" s="44">
        <f>Sheet1!L56</f>
        <v>121950</v>
      </c>
      <c r="J31" s="102"/>
      <c r="K31" s="103"/>
      <c r="L31" s="104"/>
      <c r="M31" s="104"/>
      <c r="N31" s="104"/>
      <c r="O31" s="104"/>
      <c r="P31" s="105"/>
      <c r="T31" s="60">
        <v>44345</v>
      </c>
      <c r="U31" s="28">
        <v>4000</v>
      </c>
      <c r="V31" s="36" t="s">
        <v>203</v>
      </c>
      <c r="Y31" s="60">
        <v>44358</v>
      </c>
      <c r="Z31" s="28">
        <v>5000</v>
      </c>
      <c r="AA31" s="36" t="s">
        <v>189</v>
      </c>
      <c r="AD31" s="60"/>
      <c r="AE31" s="28"/>
      <c r="AF31" s="36"/>
      <c r="AH31" s="60"/>
      <c r="AI31" s="28"/>
      <c r="AJ31" s="36"/>
      <c r="AL31" s="60"/>
      <c r="AM31" s="28"/>
      <c r="AN31" s="36"/>
    </row>
    <row r="32" spans="2:40">
      <c r="B32" s="46">
        <v>28</v>
      </c>
      <c r="C32" s="47" t="s">
        <v>106</v>
      </c>
      <c r="D32" s="44"/>
      <c r="E32" s="44"/>
      <c r="F32" s="44"/>
      <c r="J32" s="102"/>
      <c r="K32" s="103"/>
      <c r="L32" s="104"/>
      <c r="M32" s="104"/>
      <c r="N32" s="104"/>
      <c r="O32" s="104"/>
      <c r="P32" s="105"/>
      <c r="T32" s="60">
        <v>44345</v>
      </c>
      <c r="U32" s="28">
        <v>9600</v>
      </c>
      <c r="V32" s="36" t="s">
        <v>204</v>
      </c>
      <c r="Y32" s="60">
        <v>44362</v>
      </c>
      <c r="Z32" s="28">
        <v>12000</v>
      </c>
      <c r="AA32" s="36" t="s">
        <v>279</v>
      </c>
      <c r="AD32" s="60"/>
      <c r="AE32" s="28"/>
      <c r="AF32" s="36"/>
      <c r="AH32" s="60"/>
      <c r="AI32" s="28"/>
      <c r="AJ32" s="36"/>
      <c r="AL32" s="60"/>
      <c r="AM32" s="28"/>
      <c r="AN32" s="36"/>
    </row>
    <row r="33" spans="2:40" ht="15" thickBot="1">
      <c r="B33" s="46">
        <v>29</v>
      </c>
      <c r="C33" s="29" t="s">
        <v>107</v>
      </c>
      <c r="D33" s="44">
        <f>Sheet3!G130</f>
        <v>0</v>
      </c>
      <c r="E33" s="44">
        <f>Sheet3!G129</f>
        <v>239700</v>
      </c>
      <c r="F33" s="44">
        <f>Sheet3!L129</f>
        <v>239700</v>
      </c>
      <c r="J33" s="37"/>
      <c r="K33" s="38"/>
      <c r="L33" s="38"/>
      <c r="M33" s="126" t="s">
        <v>7</v>
      </c>
      <c r="N33" s="126">
        <f>SUM(O9:O32)+SUM(L9:L32)</f>
        <v>434600</v>
      </c>
      <c r="O33" s="38"/>
      <c r="P33" s="39"/>
      <c r="T33" s="60">
        <v>44346</v>
      </c>
      <c r="U33" s="28">
        <v>1951</v>
      </c>
      <c r="V33" s="36" t="s">
        <v>205</v>
      </c>
      <c r="Y33" s="60">
        <v>44362</v>
      </c>
      <c r="Z33" s="28">
        <v>11000</v>
      </c>
      <c r="AA33" s="36" t="s">
        <v>279</v>
      </c>
      <c r="AD33" s="60"/>
      <c r="AE33" s="28"/>
      <c r="AF33" s="36"/>
      <c r="AH33" s="60"/>
      <c r="AI33" s="28"/>
      <c r="AJ33" s="36"/>
      <c r="AL33" s="60"/>
      <c r="AM33" s="28"/>
      <c r="AN33" s="36"/>
    </row>
    <row r="34" spans="2:40">
      <c r="B34" s="46">
        <v>30</v>
      </c>
      <c r="C34" s="29" t="s">
        <v>108</v>
      </c>
      <c r="D34" s="44">
        <f>Sheet3!G147</f>
        <v>0</v>
      </c>
      <c r="E34" s="44">
        <f>Sheet3!G146</f>
        <v>110575</v>
      </c>
      <c r="F34" s="44">
        <f>Sheet3!L146</f>
        <v>110575</v>
      </c>
      <c r="T34" s="60">
        <v>44346</v>
      </c>
      <c r="U34" s="28">
        <v>80000</v>
      </c>
      <c r="V34" s="36" t="s">
        <v>206</v>
      </c>
      <c r="Y34" s="60">
        <v>44369</v>
      </c>
      <c r="Z34" s="28">
        <v>50000</v>
      </c>
      <c r="AA34" s="36" t="s">
        <v>326</v>
      </c>
      <c r="AD34" s="60"/>
      <c r="AE34" s="28"/>
      <c r="AF34" s="36"/>
      <c r="AH34" s="60"/>
      <c r="AI34" s="28"/>
      <c r="AJ34" s="36"/>
      <c r="AL34" s="60"/>
      <c r="AM34" s="28"/>
      <c r="AN34" s="36"/>
    </row>
    <row r="35" spans="2:40">
      <c r="B35" s="46">
        <v>31</v>
      </c>
      <c r="C35" s="29" t="s">
        <v>109</v>
      </c>
      <c r="D35" s="44"/>
      <c r="E35" s="44"/>
      <c r="F35" s="44"/>
      <c r="T35" s="60">
        <v>44347</v>
      </c>
      <c r="U35" s="28">
        <v>18602</v>
      </c>
      <c r="V35" s="36" t="s">
        <v>199</v>
      </c>
      <c r="Y35" s="60">
        <v>44370</v>
      </c>
      <c r="Z35" s="28">
        <v>32731</v>
      </c>
      <c r="AA35" s="36" t="s">
        <v>327</v>
      </c>
      <c r="AD35" s="60"/>
      <c r="AE35" s="28"/>
      <c r="AF35" s="36"/>
      <c r="AH35" s="60"/>
      <c r="AI35" s="28"/>
      <c r="AJ35" s="36"/>
      <c r="AL35" s="60"/>
      <c r="AM35" s="28"/>
      <c r="AN35" s="36"/>
    </row>
    <row r="36" spans="2:40">
      <c r="B36" s="46">
        <v>32</v>
      </c>
      <c r="C36" s="29" t="s">
        <v>110</v>
      </c>
      <c r="D36" s="44">
        <f>Sheet3!G164</f>
        <v>35025</v>
      </c>
      <c r="E36" s="44">
        <f>Sheet3!G163</f>
        <v>105025</v>
      </c>
      <c r="F36" s="44">
        <f>Sheet3!L163</f>
        <v>70000</v>
      </c>
      <c r="T36" s="60">
        <v>44347</v>
      </c>
      <c r="U36" s="28">
        <v>13966</v>
      </c>
      <c r="V36" s="36" t="s">
        <v>149</v>
      </c>
      <c r="Y36" s="60">
        <v>44371</v>
      </c>
      <c r="Z36" s="28">
        <v>932</v>
      </c>
      <c r="AA36" s="36" t="s">
        <v>328</v>
      </c>
      <c r="AD36" s="60"/>
      <c r="AE36" s="28"/>
      <c r="AF36" s="36"/>
      <c r="AH36" s="60"/>
      <c r="AI36" s="28"/>
      <c r="AJ36" s="36"/>
      <c r="AL36" s="60"/>
      <c r="AM36" s="28"/>
      <c r="AN36" s="36"/>
    </row>
    <row r="37" spans="2:40">
      <c r="B37" s="46">
        <v>33</v>
      </c>
      <c r="C37" s="29" t="s">
        <v>111</v>
      </c>
      <c r="D37" s="44">
        <f>Sheet3!G113</f>
        <v>-34790</v>
      </c>
      <c r="E37" s="44">
        <f>Sheet3!G112</f>
        <v>320210</v>
      </c>
      <c r="F37" s="44">
        <f>Sheet3!L112</f>
        <v>355000</v>
      </c>
      <c r="T37" s="60">
        <v>44347</v>
      </c>
      <c r="U37" s="28">
        <v>5000</v>
      </c>
      <c r="V37" s="36" t="s">
        <v>207</v>
      </c>
      <c r="Y37" s="60">
        <v>44377</v>
      </c>
      <c r="Z37" s="28">
        <v>175</v>
      </c>
      <c r="AA37" s="36" t="s">
        <v>328</v>
      </c>
      <c r="AD37" s="60"/>
      <c r="AE37" s="28"/>
      <c r="AF37" s="36"/>
      <c r="AH37" s="60"/>
      <c r="AI37" s="28"/>
      <c r="AJ37" s="36"/>
      <c r="AL37" s="60"/>
      <c r="AM37" s="28"/>
      <c r="AN37" s="36"/>
    </row>
    <row r="38" spans="2:40" ht="15" thickBot="1">
      <c r="B38" s="43">
        <v>34</v>
      </c>
      <c r="C38" s="29" t="s">
        <v>112</v>
      </c>
      <c r="D38" s="44"/>
      <c r="E38" s="44"/>
      <c r="F38" s="44"/>
      <c r="T38" s="60">
        <v>44347</v>
      </c>
      <c r="U38" s="28">
        <v>2592</v>
      </c>
      <c r="V38" s="36" t="s">
        <v>200</v>
      </c>
      <c r="Y38" s="60">
        <v>44377</v>
      </c>
      <c r="Z38" s="28">
        <v>40850</v>
      </c>
      <c r="AA38" s="36" t="s">
        <v>329</v>
      </c>
      <c r="AD38" s="60"/>
      <c r="AE38" s="28"/>
      <c r="AF38" s="36"/>
      <c r="AH38" s="60"/>
      <c r="AI38" s="28"/>
      <c r="AJ38" s="36"/>
      <c r="AL38" s="60"/>
      <c r="AM38" s="28"/>
      <c r="AN38" s="36"/>
    </row>
    <row r="39" spans="2:40" ht="15" thickBot="1">
      <c r="B39" s="43">
        <v>35</v>
      </c>
      <c r="C39" s="29" t="s">
        <v>625</v>
      </c>
      <c r="D39" s="44">
        <f>Sheet3!G179</f>
        <v>28000</v>
      </c>
      <c r="E39" s="44"/>
      <c r="F39" s="44"/>
      <c r="J39" s="233" t="s">
        <v>183</v>
      </c>
      <c r="K39" s="234"/>
      <c r="L39" s="234"/>
      <c r="M39" s="234"/>
      <c r="N39" s="234"/>
      <c r="O39" s="234"/>
      <c r="P39" s="235"/>
      <c r="T39" s="60">
        <v>44348</v>
      </c>
      <c r="U39" s="28">
        <v>6900</v>
      </c>
      <c r="V39" s="36" t="s">
        <v>280</v>
      </c>
      <c r="Y39" s="60">
        <v>44386</v>
      </c>
      <c r="Z39" s="28">
        <v>45000</v>
      </c>
      <c r="AA39" s="36" t="s">
        <v>390</v>
      </c>
      <c r="AD39" s="27"/>
      <c r="AE39" s="28"/>
      <c r="AF39" s="36"/>
      <c r="AH39" s="27"/>
      <c r="AI39" s="28"/>
      <c r="AJ39" s="36"/>
      <c r="AL39" s="27"/>
      <c r="AM39" s="28"/>
      <c r="AN39" s="36"/>
    </row>
    <row r="40" spans="2:40">
      <c r="B40" s="43">
        <v>36</v>
      </c>
      <c r="C40" s="29" t="s">
        <v>113</v>
      </c>
      <c r="D40" s="44">
        <f>Sheet3!G53</f>
        <v>2704</v>
      </c>
      <c r="E40" s="44">
        <f>Sheet3!G52</f>
        <v>287904</v>
      </c>
      <c r="F40" s="44">
        <f>Sheet3!L52</f>
        <v>285200</v>
      </c>
      <c r="J40" s="49"/>
      <c r="K40" s="32" t="s">
        <v>41</v>
      </c>
      <c r="L40" s="32" t="s">
        <v>31</v>
      </c>
      <c r="M40" s="32"/>
      <c r="N40" s="32" t="s">
        <v>41</v>
      </c>
      <c r="O40" s="32" t="s">
        <v>31</v>
      </c>
      <c r="P40" s="50"/>
      <c r="T40" s="60">
        <v>44351</v>
      </c>
      <c r="U40" s="28">
        <v>11500</v>
      </c>
      <c r="V40" s="36" t="s">
        <v>192</v>
      </c>
      <c r="Y40" s="60">
        <v>44386</v>
      </c>
      <c r="Z40" s="28">
        <v>20000</v>
      </c>
      <c r="AA40" s="36" t="s">
        <v>391</v>
      </c>
      <c r="AD40" s="27"/>
      <c r="AE40" s="28"/>
      <c r="AF40" s="36"/>
      <c r="AH40" s="27"/>
      <c r="AI40" s="28"/>
      <c r="AJ40" s="36"/>
      <c r="AL40" s="27"/>
      <c r="AM40" s="28"/>
      <c r="AN40" s="36"/>
    </row>
    <row r="41" spans="2:40">
      <c r="B41" s="43">
        <v>37</v>
      </c>
      <c r="C41" s="29" t="s">
        <v>596</v>
      </c>
      <c r="D41" s="44">
        <f>Sheet2!G192</f>
        <v>68800</v>
      </c>
      <c r="E41" s="44"/>
      <c r="F41" s="44"/>
      <c r="J41" s="27"/>
      <c r="K41" s="40">
        <v>44271</v>
      </c>
      <c r="L41" s="28">
        <v>112000</v>
      </c>
      <c r="M41" s="28" t="s">
        <v>237</v>
      </c>
      <c r="N41" s="40"/>
      <c r="O41" s="28"/>
      <c r="P41" s="36"/>
      <c r="T41" s="60">
        <v>44353</v>
      </c>
      <c r="U41">
        <v>99000</v>
      </c>
      <c r="V41" s="36" t="s">
        <v>281</v>
      </c>
      <c r="Y41" s="60">
        <v>44388</v>
      </c>
      <c r="Z41" s="28">
        <v>40000</v>
      </c>
      <c r="AA41" s="150" t="s">
        <v>392</v>
      </c>
      <c r="AD41" s="27"/>
      <c r="AE41" s="28"/>
      <c r="AF41" s="36"/>
      <c r="AH41" s="27"/>
      <c r="AI41" s="28"/>
      <c r="AJ41" s="36"/>
      <c r="AL41" s="27"/>
      <c r="AM41" s="28"/>
      <c r="AN41" s="36"/>
    </row>
    <row r="42" spans="2:40">
      <c r="B42" s="43">
        <v>38</v>
      </c>
      <c r="C42" s="29" t="s">
        <v>599</v>
      </c>
      <c r="D42" s="44">
        <f>Sheet2!G205</f>
        <v>-13650</v>
      </c>
      <c r="E42" s="44"/>
      <c r="F42" s="44"/>
      <c r="J42" s="27"/>
      <c r="K42" s="51">
        <v>44264</v>
      </c>
      <c r="L42">
        <v>281000</v>
      </c>
      <c r="M42" t="s">
        <v>238</v>
      </c>
      <c r="N42" s="40">
        <v>44309</v>
      </c>
      <c r="O42" s="28">
        <v>50000</v>
      </c>
      <c r="P42" s="36" t="s">
        <v>211</v>
      </c>
      <c r="T42" s="60">
        <v>44355</v>
      </c>
      <c r="U42">
        <v>520000</v>
      </c>
      <c r="V42" s="36" t="s">
        <v>282</v>
      </c>
      <c r="Y42" s="60">
        <v>44388</v>
      </c>
      <c r="Z42" s="28">
        <v>19488</v>
      </c>
      <c r="AA42" s="150" t="s">
        <v>392</v>
      </c>
      <c r="AD42" s="27"/>
      <c r="AE42" s="28"/>
      <c r="AF42" s="36"/>
      <c r="AH42" s="27"/>
      <c r="AI42" s="28"/>
      <c r="AJ42" s="36"/>
      <c r="AL42" s="27"/>
      <c r="AM42" s="28"/>
      <c r="AN42" s="36"/>
    </row>
    <row r="43" spans="2:40">
      <c r="B43" s="43">
        <v>39</v>
      </c>
      <c r="C43" s="29" t="s">
        <v>114</v>
      </c>
      <c r="D43" s="44"/>
      <c r="E43" s="44"/>
      <c r="F43" s="44"/>
      <c r="J43" s="27"/>
      <c r="K43" s="51">
        <v>44285</v>
      </c>
      <c r="L43">
        <v>50000</v>
      </c>
      <c r="M43" t="s">
        <v>184</v>
      </c>
      <c r="N43" s="40">
        <v>44313</v>
      </c>
      <c r="O43" s="28">
        <v>60000</v>
      </c>
      <c r="P43" s="36" t="s">
        <v>236</v>
      </c>
      <c r="T43" s="60">
        <v>44355</v>
      </c>
      <c r="U43" s="28">
        <v>4100</v>
      </c>
      <c r="V43" s="36" t="s">
        <v>280</v>
      </c>
      <c r="Y43" s="60">
        <v>44389</v>
      </c>
      <c r="Z43" s="28">
        <v>28000</v>
      </c>
      <c r="AA43" s="36" t="s">
        <v>393</v>
      </c>
      <c r="AD43" s="27"/>
      <c r="AE43" s="28"/>
      <c r="AF43" s="36"/>
      <c r="AH43" s="27"/>
      <c r="AI43" s="28"/>
      <c r="AJ43" s="36"/>
      <c r="AL43" s="27"/>
      <c r="AM43" s="28"/>
      <c r="AN43" s="36"/>
    </row>
    <row r="44" spans="2:40">
      <c r="B44" s="43">
        <v>40</v>
      </c>
      <c r="C44" s="29" t="s">
        <v>570</v>
      </c>
      <c r="D44" s="44">
        <f>Sheet4!G81</f>
        <v>55515</v>
      </c>
      <c r="E44" s="44">
        <f>Sheet4!G80</f>
        <v>55515</v>
      </c>
      <c r="F44" s="44">
        <f>Sheet4!L80</f>
        <v>0</v>
      </c>
      <c r="J44" s="27"/>
      <c r="K44" s="51">
        <v>44285</v>
      </c>
      <c r="L44">
        <v>39000</v>
      </c>
      <c r="M44" t="s">
        <v>184</v>
      </c>
      <c r="N44" s="103">
        <v>44308</v>
      </c>
      <c r="O44" s="104">
        <v>50000</v>
      </c>
      <c r="P44" s="104" t="s">
        <v>211</v>
      </c>
      <c r="T44" s="60">
        <v>44358</v>
      </c>
      <c r="U44" s="28">
        <v>1200</v>
      </c>
      <c r="V44" s="36" t="s">
        <v>283</v>
      </c>
      <c r="Y44" s="60">
        <v>44396</v>
      </c>
      <c r="Z44" s="28">
        <v>14000</v>
      </c>
      <c r="AA44" s="36" t="s">
        <v>395</v>
      </c>
      <c r="AD44" s="27"/>
      <c r="AE44" s="28"/>
      <c r="AF44" s="36"/>
      <c r="AH44" s="27"/>
      <c r="AI44" s="28"/>
      <c r="AJ44" s="36"/>
      <c r="AL44" s="27"/>
      <c r="AM44" s="28"/>
      <c r="AN44" s="36"/>
    </row>
    <row r="45" spans="2:40">
      <c r="B45" s="43"/>
      <c r="C45" s="29"/>
      <c r="D45" s="44"/>
      <c r="E45" s="44"/>
      <c r="F45" s="44"/>
      <c r="J45" s="27"/>
      <c r="K45" s="41">
        <v>44289</v>
      </c>
      <c r="L45" s="28">
        <v>50000</v>
      </c>
      <c r="M45" s="28" t="s">
        <v>184</v>
      </c>
      <c r="N45" s="28"/>
      <c r="O45" s="28"/>
      <c r="P45" s="36"/>
      <c r="T45" s="60">
        <v>44361</v>
      </c>
      <c r="U45" s="28">
        <v>10000</v>
      </c>
      <c r="V45" s="36" t="s">
        <v>284</v>
      </c>
      <c r="Y45" s="60">
        <v>44399</v>
      </c>
      <c r="Z45" s="28">
        <v>7000</v>
      </c>
      <c r="AA45" s="36" t="s">
        <v>189</v>
      </c>
      <c r="AD45" s="27"/>
      <c r="AE45" s="28"/>
      <c r="AF45" s="36"/>
      <c r="AH45" s="27"/>
      <c r="AI45" s="28"/>
      <c r="AJ45" s="36"/>
      <c r="AL45" s="27"/>
      <c r="AM45" s="28"/>
      <c r="AN45" s="36"/>
    </row>
    <row r="46" spans="2:40">
      <c r="B46" s="43"/>
      <c r="C46" s="29"/>
      <c r="D46" s="44"/>
      <c r="E46" s="44"/>
      <c r="F46" s="44"/>
      <c r="J46" s="27"/>
      <c r="K46" s="41">
        <v>44289</v>
      </c>
      <c r="L46" s="28">
        <v>11000</v>
      </c>
      <c r="M46" s="28" t="s">
        <v>184</v>
      </c>
      <c r="N46" s="28"/>
      <c r="O46" s="28"/>
      <c r="P46" s="36"/>
      <c r="T46" s="60">
        <v>44362</v>
      </c>
      <c r="U46" s="28">
        <v>100000</v>
      </c>
      <c r="V46" s="36" t="s">
        <v>285</v>
      </c>
      <c r="Y46" s="60">
        <v>44404</v>
      </c>
      <c r="Z46" s="28">
        <v>10000</v>
      </c>
      <c r="AA46" s="36" t="s">
        <v>189</v>
      </c>
      <c r="AD46" s="27"/>
      <c r="AE46" s="28"/>
      <c r="AF46" s="36"/>
      <c r="AH46" s="27"/>
      <c r="AI46" s="28"/>
      <c r="AJ46" s="36"/>
      <c r="AL46" s="27"/>
      <c r="AM46" s="28"/>
      <c r="AN46" s="36"/>
    </row>
    <row r="47" spans="2:40">
      <c r="B47" s="43"/>
      <c r="C47" s="29"/>
      <c r="D47" s="44"/>
      <c r="E47" s="44"/>
      <c r="F47" s="44"/>
      <c r="J47" s="102"/>
      <c r="K47" s="40">
        <v>44291</v>
      </c>
      <c r="L47" s="28">
        <v>50000</v>
      </c>
      <c r="M47" s="28" t="s">
        <v>184</v>
      </c>
      <c r="N47" s="104"/>
      <c r="O47" s="104"/>
      <c r="P47" s="105"/>
      <c r="T47" s="60">
        <v>44362</v>
      </c>
      <c r="U47" s="28">
        <v>100000</v>
      </c>
      <c r="V47" s="36" t="s">
        <v>285</v>
      </c>
      <c r="Y47" s="60">
        <v>44407</v>
      </c>
      <c r="Z47" s="28">
        <v>105900</v>
      </c>
      <c r="AA47" s="36" t="s">
        <v>396</v>
      </c>
      <c r="AD47" s="27"/>
      <c r="AE47" s="28"/>
      <c r="AF47" s="36"/>
      <c r="AH47" s="27"/>
      <c r="AI47" s="28"/>
      <c r="AJ47" s="36"/>
      <c r="AL47" s="27"/>
      <c r="AM47" s="28"/>
      <c r="AN47" s="36"/>
    </row>
    <row r="48" spans="2:40">
      <c r="B48" s="45" t="s">
        <v>7</v>
      </c>
      <c r="C48" s="29"/>
      <c r="D48" s="48">
        <f>SUM(D5:D47)</f>
        <v>4424192.88</v>
      </c>
      <c r="E48" s="48">
        <f>SUM(E5:E47)</f>
        <v>26126355.879999999</v>
      </c>
      <c r="F48" s="48">
        <f>SUM(F5:F47)</f>
        <v>21785313</v>
      </c>
      <c r="J48" s="102"/>
      <c r="K48" s="40">
        <v>44293</v>
      </c>
      <c r="L48" s="28">
        <v>50000</v>
      </c>
      <c r="M48" s="28" t="s">
        <v>184</v>
      </c>
      <c r="N48" s="104"/>
      <c r="O48" s="104"/>
      <c r="P48" s="105"/>
      <c r="T48" s="60">
        <v>44362</v>
      </c>
      <c r="U48" s="28">
        <v>100000</v>
      </c>
      <c r="V48" s="36" t="s">
        <v>286</v>
      </c>
      <c r="Y48" s="60">
        <v>44407</v>
      </c>
      <c r="Z48" s="28">
        <v>13844</v>
      </c>
      <c r="AA48" s="36" t="s">
        <v>205</v>
      </c>
      <c r="AD48" s="27"/>
      <c r="AE48" s="28"/>
      <c r="AF48" s="36"/>
      <c r="AH48" s="27"/>
      <c r="AI48" s="28"/>
      <c r="AJ48" s="36"/>
      <c r="AL48" s="27"/>
      <c r="AM48" s="28"/>
      <c r="AN48" s="36"/>
    </row>
    <row r="49" spans="10:40">
      <c r="J49" s="102"/>
      <c r="K49" s="40">
        <v>44293</v>
      </c>
      <c r="L49" s="28">
        <v>25000</v>
      </c>
      <c r="M49" s="28" t="s">
        <v>184</v>
      </c>
      <c r="N49" s="104"/>
      <c r="O49" s="104"/>
      <c r="P49" s="105"/>
      <c r="T49" s="60">
        <v>44368</v>
      </c>
      <c r="U49" s="28">
        <v>7500</v>
      </c>
      <c r="V49" s="36" t="s">
        <v>310</v>
      </c>
      <c r="Y49" s="60">
        <v>44408</v>
      </c>
      <c r="Z49" s="28">
        <v>419</v>
      </c>
      <c r="AA49" s="36" t="s">
        <v>320</v>
      </c>
      <c r="AD49" s="27"/>
      <c r="AE49" s="28"/>
      <c r="AF49" s="36"/>
      <c r="AH49" s="27"/>
      <c r="AI49" s="28"/>
      <c r="AJ49" s="36"/>
      <c r="AL49" s="27"/>
      <c r="AM49" s="28"/>
      <c r="AN49" s="36"/>
    </row>
    <row r="50" spans="10:40">
      <c r="J50" s="102"/>
      <c r="K50" s="103">
        <v>44294</v>
      </c>
      <c r="L50" s="104">
        <v>50000</v>
      </c>
      <c r="M50" s="28" t="s">
        <v>184</v>
      </c>
      <c r="N50" s="104"/>
      <c r="O50" s="104"/>
      <c r="P50" s="105"/>
      <c r="T50" s="60">
        <v>44370</v>
      </c>
      <c r="U50" s="28">
        <v>5000</v>
      </c>
      <c r="V50" s="150" t="s">
        <v>311</v>
      </c>
      <c r="Y50" s="27"/>
      <c r="Z50" s="28"/>
      <c r="AA50" s="36"/>
      <c r="AD50" s="27"/>
      <c r="AE50" s="28"/>
      <c r="AF50" s="36"/>
      <c r="AH50" s="27"/>
      <c r="AI50" s="28"/>
      <c r="AJ50" s="36"/>
      <c r="AL50" s="27"/>
      <c r="AM50" s="28"/>
      <c r="AN50" s="36"/>
    </row>
    <row r="51" spans="10:40">
      <c r="J51" s="102"/>
      <c r="K51" s="103">
        <v>44295</v>
      </c>
      <c r="L51" s="104">
        <v>50000</v>
      </c>
      <c r="M51" s="28" t="s">
        <v>184</v>
      </c>
      <c r="N51" s="104"/>
      <c r="O51" s="104"/>
      <c r="P51" s="105"/>
      <c r="T51" s="60">
        <v>44373</v>
      </c>
      <c r="U51" s="28">
        <v>25000</v>
      </c>
      <c r="V51" s="36" t="s">
        <v>312</v>
      </c>
      <c r="Y51" s="27"/>
      <c r="Z51" s="28"/>
      <c r="AA51" s="36"/>
      <c r="AD51" s="27"/>
      <c r="AE51" s="28"/>
      <c r="AF51" s="36"/>
      <c r="AH51" s="27"/>
      <c r="AI51" s="28"/>
      <c r="AJ51" s="36"/>
      <c r="AL51" s="27"/>
      <c r="AM51" s="28"/>
      <c r="AN51" s="36"/>
    </row>
    <row r="52" spans="10:40">
      <c r="J52" s="102"/>
      <c r="K52" s="103">
        <v>44297</v>
      </c>
      <c r="L52" s="104">
        <v>50000</v>
      </c>
      <c r="M52" s="28" t="s">
        <v>184</v>
      </c>
      <c r="N52" s="104"/>
      <c r="O52" s="104"/>
      <c r="P52" s="105"/>
      <c r="T52" s="60">
        <v>44373</v>
      </c>
      <c r="U52" s="28">
        <v>1200</v>
      </c>
      <c r="V52" s="36" t="s">
        <v>313</v>
      </c>
      <c r="Y52" s="27"/>
      <c r="Z52" s="28"/>
      <c r="AA52" s="36"/>
      <c r="AD52" s="27"/>
      <c r="AE52" s="28"/>
      <c r="AF52" s="36"/>
      <c r="AH52" s="27"/>
      <c r="AI52" s="28"/>
      <c r="AJ52" s="36"/>
      <c r="AL52" s="27"/>
      <c r="AM52" s="28"/>
      <c r="AN52" s="36"/>
    </row>
    <row r="53" spans="10:40">
      <c r="J53" s="102"/>
      <c r="K53" s="103">
        <v>44305</v>
      </c>
      <c r="L53" s="104">
        <v>50000</v>
      </c>
      <c r="M53" s="28" t="s">
        <v>184</v>
      </c>
      <c r="N53" s="104"/>
      <c r="O53" s="104"/>
      <c r="P53" s="105"/>
      <c r="T53" s="60">
        <v>44374</v>
      </c>
      <c r="U53" s="28">
        <v>1400</v>
      </c>
      <c r="V53" s="36" t="s">
        <v>313</v>
      </c>
      <c r="Y53" s="27"/>
      <c r="Z53" s="28"/>
      <c r="AA53" s="36"/>
      <c r="AD53" s="27"/>
      <c r="AE53" s="28"/>
      <c r="AF53" s="36"/>
      <c r="AH53" s="27"/>
      <c r="AI53" s="28"/>
      <c r="AJ53" s="36"/>
      <c r="AL53" s="27"/>
      <c r="AM53" s="28"/>
      <c r="AN53" s="36"/>
    </row>
    <row r="54" spans="10:40">
      <c r="J54" s="102"/>
      <c r="K54" s="103">
        <v>44307</v>
      </c>
      <c r="L54" s="104">
        <v>50000</v>
      </c>
      <c r="M54" s="28" t="s">
        <v>184</v>
      </c>
      <c r="N54" s="104"/>
      <c r="O54" s="104"/>
      <c r="P54" s="105"/>
      <c r="T54" s="60">
        <v>44375</v>
      </c>
      <c r="U54" s="28">
        <v>2300</v>
      </c>
      <c r="V54" s="36" t="s">
        <v>316</v>
      </c>
      <c r="Y54" s="27"/>
      <c r="Z54" s="28"/>
      <c r="AA54" s="36"/>
      <c r="AD54" s="27"/>
      <c r="AE54" s="28"/>
      <c r="AF54" s="36"/>
      <c r="AH54" s="27"/>
      <c r="AI54" s="28"/>
      <c r="AJ54" s="36"/>
      <c r="AL54" s="27"/>
      <c r="AM54" s="28"/>
      <c r="AN54" s="36"/>
    </row>
    <row r="55" spans="10:40">
      <c r="J55" s="102"/>
      <c r="K55" s="103">
        <v>44345</v>
      </c>
      <c r="L55" s="104">
        <v>50000</v>
      </c>
      <c r="M55" s="28" t="s">
        <v>184</v>
      </c>
      <c r="N55" s="104"/>
      <c r="O55" s="104"/>
      <c r="P55" s="105"/>
      <c r="T55" s="60">
        <v>44376</v>
      </c>
      <c r="U55" s="28">
        <v>3746</v>
      </c>
      <c r="V55" s="36" t="s">
        <v>199</v>
      </c>
      <c r="Y55" s="27"/>
      <c r="Z55" s="28"/>
      <c r="AA55" s="36"/>
      <c r="AD55" s="27"/>
      <c r="AE55" s="28"/>
      <c r="AF55" s="36"/>
      <c r="AH55" s="27"/>
      <c r="AI55" s="28"/>
      <c r="AJ55" s="36"/>
      <c r="AL55" s="27"/>
      <c r="AM55" s="28"/>
      <c r="AN55" s="36"/>
    </row>
    <row r="56" spans="10:40">
      <c r="J56" s="102"/>
      <c r="K56" s="103"/>
      <c r="L56" s="104"/>
      <c r="M56" s="104"/>
      <c r="N56" s="104"/>
      <c r="O56" s="104"/>
      <c r="P56" s="105"/>
      <c r="T56" s="60">
        <v>44376</v>
      </c>
      <c r="U56" s="28">
        <v>8500</v>
      </c>
      <c r="V56" s="150" t="s">
        <v>317</v>
      </c>
      <c r="Y56" s="27"/>
      <c r="Z56" s="28"/>
      <c r="AA56" s="36"/>
      <c r="AD56" s="27"/>
      <c r="AE56" s="28"/>
      <c r="AF56" s="36"/>
      <c r="AH56" s="27"/>
      <c r="AI56" s="28"/>
      <c r="AJ56" s="36"/>
      <c r="AL56" s="27"/>
      <c r="AM56" s="28"/>
      <c r="AN56" s="36"/>
    </row>
    <row r="57" spans="10:40">
      <c r="J57" s="102"/>
      <c r="K57" s="52"/>
      <c r="L57" s="104"/>
      <c r="M57" s="104"/>
      <c r="N57" s="104"/>
      <c r="O57" s="104"/>
      <c r="P57" s="105"/>
      <c r="T57" s="60">
        <v>44376</v>
      </c>
      <c r="U57" s="28">
        <v>15000</v>
      </c>
      <c r="V57" s="36" t="s">
        <v>318</v>
      </c>
      <c r="Y57" s="27"/>
      <c r="Z57" s="28"/>
      <c r="AA57" s="36"/>
      <c r="AD57" s="27"/>
      <c r="AE57" s="28"/>
      <c r="AF57" s="36"/>
      <c r="AH57" s="27"/>
      <c r="AI57" s="28"/>
      <c r="AJ57" s="36"/>
      <c r="AL57" s="27"/>
      <c r="AM57" s="28"/>
      <c r="AN57" s="36"/>
    </row>
    <row r="58" spans="10:40">
      <c r="J58" s="102"/>
      <c r="K58" s="103"/>
      <c r="L58" s="104"/>
      <c r="M58" s="104"/>
      <c r="N58" s="104"/>
      <c r="O58" s="104"/>
      <c r="P58" s="105"/>
      <c r="T58" s="60">
        <v>44377</v>
      </c>
      <c r="U58" s="28">
        <v>158128</v>
      </c>
      <c r="V58" s="36" t="s">
        <v>319</v>
      </c>
      <c r="Y58" s="27"/>
      <c r="Z58" s="28"/>
      <c r="AA58" s="36"/>
      <c r="AD58" s="27"/>
      <c r="AE58" s="28"/>
      <c r="AF58" s="36"/>
      <c r="AH58" s="27"/>
      <c r="AI58" s="28"/>
      <c r="AJ58" s="36"/>
      <c r="AL58" s="27"/>
      <c r="AM58" s="28"/>
      <c r="AN58" s="36"/>
    </row>
    <row r="59" spans="10:40">
      <c r="J59" s="102"/>
      <c r="K59" s="103"/>
      <c r="L59" s="104"/>
      <c r="M59" s="104"/>
      <c r="N59" s="104"/>
      <c r="O59" s="104"/>
      <c r="P59" s="105"/>
      <c r="T59" s="60">
        <v>44376</v>
      </c>
      <c r="U59" s="28">
        <v>937</v>
      </c>
      <c r="V59" s="36" t="s">
        <v>320</v>
      </c>
      <c r="Y59" s="27"/>
      <c r="Z59" s="28"/>
      <c r="AA59" s="36"/>
      <c r="AD59" s="27"/>
      <c r="AE59" s="28"/>
      <c r="AF59" s="36"/>
      <c r="AH59" s="27"/>
      <c r="AI59" s="28"/>
      <c r="AJ59" s="36"/>
      <c r="AL59" s="27"/>
      <c r="AM59" s="28"/>
      <c r="AN59" s="36"/>
    </row>
    <row r="60" spans="10:40">
      <c r="J60" s="102"/>
      <c r="K60" s="103"/>
      <c r="L60" s="104"/>
      <c r="M60" s="104"/>
      <c r="N60" s="104"/>
      <c r="O60" s="104"/>
      <c r="P60" s="105"/>
      <c r="T60" s="60">
        <v>44378</v>
      </c>
      <c r="U60" s="28">
        <v>23500</v>
      </c>
      <c r="V60" s="36" t="s">
        <v>193</v>
      </c>
      <c r="Y60" s="27"/>
      <c r="Z60" s="28"/>
      <c r="AA60" s="36"/>
      <c r="AD60" s="27"/>
      <c r="AE60" s="28"/>
      <c r="AF60" s="36"/>
      <c r="AH60" s="27"/>
      <c r="AI60" s="28"/>
      <c r="AJ60" s="36"/>
      <c r="AL60" s="27"/>
      <c r="AM60" s="28"/>
      <c r="AN60" s="36"/>
    </row>
    <row r="61" spans="10:40" ht="15" thickBot="1">
      <c r="J61" s="37"/>
      <c r="K61" s="38"/>
      <c r="L61" s="38">
        <f>SUM(L41:L60)+SUM(O42:O60)</f>
        <v>1128000</v>
      </c>
      <c r="M61" s="38"/>
      <c r="N61" s="38"/>
      <c r="O61" s="38"/>
      <c r="P61" s="39"/>
      <c r="T61" s="60">
        <v>44379</v>
      </c>
      <c r="U61" s="28">
        <v>10000</v>
      </c>
      <c r="V61" s="36" t="s">
        <v>321</v>
      </c>
      <c r="Y61" s="27"/>
      <c r="Z61" s="28"/>
      <c r="AA61" s="36"/>
      <c r="AD61" s="27"/>
      <c r="AE61" s="28"/>
      <c r="AF61" s="36"/>
      <c r="AH61" s="27"/>
      <c r="AI61" s="28"/>
      <c r="AJ61" s="36"/>
      <c r="AL61" s="27"/>
      <c r="AM61" s="28"/>
      <c r="AN61" s="36"/>
    </row>
    <row r="62" spans="10:40">
      <c r="T62" s="60">
        <v>44380</v>
      </c>
      <c r="U62" s="28">
        <v>10000</v>
      </c>
      <c r="V62" s="150" t="s">
        <v>322</v>
      </c>
      <c r="Y62" s="27"/>
      <c r="Z62" s="28"/>
      <c r="AA62" s="36"/>
      <c r="AD62" s="27"/>
      <c r="AE62" s="28"/>
      <c r="AF62" s="36"/>
      <c r="AH62" s="27"/>
      <c r="AI62" s="28"/>
      <c r="AJ62" s="36"/>
      <c r="AL62" s="27"/>
      <c r="AM62" s="28"/>
      <c r="AN62" s="36"/>
    </row>
    <row r="63" spans="10:40" ht="15" thickBot="1">
      <c r="T63" s="60">
        <v>44381</v>
      </c>
      <c r="U63" s="28">
        <v>7000</v>
      </c>
      <c r="V63" s="36" t="s">
        <v>323</v>
      </c>
      <c r="Y63" s="27"/>
      <c r="Z63" s="28"/>
      <c r="AA63" s="36"/>
      <c r="AD63" s="27"/>
      <c r="AE63" s="28"/>
      <c r="AF63" s="36"/>
      <c r="AH63" s="27"/>
      <c r="AI63" s="28"/>
      <c r="AJ63" s="36"/>
      <c r="AL63" s="27"/>
      <c r="AM63" s="28"/>
      <c r="AN63" s="36"/>
    </row>
    <row r="64" spans="10:40" ht="15" thickBot="1">
      <c r="J64" s="233" t="s">
        <v>481</v>
      </c>
      <c r="K64" s="234"/>
      <c r="L64" s="234"/>
      <c r="M64" s="234"/>
      <c r="N64" s="234"/>
      <c r="O64" s="234"/>
      <c r="P64" s="235"/>
      <c r="T64" s="60">
        <v>44381</v>
      </c>
      <c r="U64" s="28">
        <v>11840</v>
      </c>
      <c r="V64" s="36" t="s">
        <v>192</v>
      </c>
      <c r="Y64" s="27"/>
      <c r="Z64" s="28"/>
      <c r="AA64" s="36"/>
      <c r="AD64" s="27"/>
      <c r="AE64" s="28"/>
      <c r="AF64" s="36"/>
      <c r="AH64" s="27"/>
      <c r="AI64" s="28"/>
      <c r="AJ64" s="36"/>
      <c r="AL64" s="27"/>
      <c r="AM64" s="28"/>
      <c r="AN64" s="36"/>
    </row>
    <row r="65" spans="10:40">
      <c r="J65" s="49" t="s">
        <v>41</v>
      </c>
      <c r="K65" s="32" t="s">
        <v>30</v>
      </c>
      <c r="L65" s="32" t="s">
        <v>31</v>
      </c>
      <c r="M65" s="32"/>
      <c r="N65" s="32" t="s">
        <v>41</v>
      </c>
      <c r="O65" s="32" t="s">
        <v>31</v>
      </c>
      <c r="P65" s="50"/>
      <c r="T65" s="60">
        <v>44381</v>
      </c>
      <c r="U65" s="28">
        <v>1000</v>
      </c>
      <c r="V65" s="36" t="s">
        <v>324</v>
      </c>
      <c r="Y65" s="27"/>
      <c r="Z65" s="28"/>
      <c r="AA65" s="36"/>
      <c r="AD65" s="27"/>
      <c r="AE65" s="28"/>
      <c r="AF65" s="36"/>
      <c r="AH65" s="27"/>
      <c r="AI65" s="28"/>
      <c r="AJ65" s="36"/>
      <c r="AL65" s="27"/>
      <c r="AM65" s="28"/>
      <c r="AN65" s="36"/>
    </row>
    <row r="66" spans="10:40">
      <c r="J66" s="60">
        <v>44489</v>
      </c>
      <c r="K66" s="106">
        <f>240.9-6.61</f>
        <v>234.29</v>
      </c>
      <c r="L66" s="28">
        <v>2350</v>
      </c>
      <c r="M66" s="28">
        <f>L66*K66</f>
        <v>550581.5</v>
      </c>
      <c r="N66" s="40">
        <v>44496</v>
      </c>
      <c r="O66" s="28">
        <v>100000</v>
      </c>
      <c r="P66" s="36" t="s">
        <v>482</v>
      </c>
      <c r="T66" s="60">
        <v>44384</v>
      </c>
      <c r="U66" s="131">
        <v>1000</v>
      </c>
      <c r="V66" s="36"/>
      <c r="Y66" s="27"/>
      <c r="Z66" s="28"/>
      <c r="AA66" s="36"/>
      <c r="AD66" s="27"/>
      <c r="AE66" s="28"/>
      <c r="AF66" s="36"/>
      <c r="AH66" s="27"/>
      <c r="AI66" s="28"/>
      <c r="AJ66" s="36"/>
      <c r="AL66" s="27"/>
      <c r="AM66" s="28"/>
      <c r="AN66" s="36"/>
    </row>
    <row r="67" spans="10:40">
      <c r="J67" s="60">
        <v>44493</v>
      </c>
      <c r="K67" s="106">
        <f>81.4-2.2</f>
        <v>79.2</v>
      </c>
      <c r="L67" s="28">
        <v>2350</v>
      </c>
      <c r="M67" s="28">
        <f>L67*K67</f>
        <v>186120</v>
      </c>
      <c r="N67" s="40"/>
      <c r="O67" s="28"/>
      <c r="P67" s="36"/>
      <c r="T67" s="60">
        <v>44384</v>
      </c>
      <c r="U67" s="131">
        <v>3600</v>
      </c>
      <c r="V67" s="36"/>
      <c r="Y67" s="27"/>
      <c r="Z67" s="28"/>
      <c r="AA67" s="36"/>
      <c r="AD67" s="27"/>
      <c r="AE67" s="28"/>
      <c r="AF67" s="36"/>
      <c r="AH67" s="27"/>
      <c r="AI67" s="28"/>
      <c r="AJ67" s="36"/>
      <c r="AL67" s="27"/>
      <c r="AM67" s="28"/>
      <c r="AN67" s="36"/>
    </row>
    <row r="68" spans="10:40">
      <c r="J68" s="27"/>
      <c r="K68" s="106"/>
      <c r="L68" s="28"/>
      <c r="M68" s="28"/>
      <c r="N68" s="40"/>
      <c r="O68" s="28"/>
      <c r="P68" s="36"/>
      <c r="T68" s="60">
        <v>44385</v>
      </c>
      <c r="U68" s="28">
        <v>12000</v>
      </c>
      <c r="V68" s="36" t="s">
        <v>374</v>
      </c>
      <c r="Y68" s="27"/>
      <c r="Z68" s="28"/>
      <c r="AA68" s="36"/>
      <c r="AD68" s="27"/>
      <c r="AE68" s="28"/>
      <c r="AF68" s="36"/>
      <c r="AH68" s="27"/>
      <c r="AI68" s="28"/>
      <c r="AJ68" s="36"/>
      <c r="AL68" s="27"/>
      <c r="AM68" s="28"/>
      <c r="AN68" s="36"/>
    </row>
    <row r="69" spans="10:40">
      <c r="J69" s="27"/>
      <c r="K69" s="106"/>
      <c r="L69" s="28"/>
      <c r="M69" s="28"/>
      <c r="N69" s="40"/>
      <c r="O69" s="28"/>
      <c r="P69" s="36"/>
      <c r="T69" s="60">
        <v>44385</v>
      </c>
      <c r="U69" s="28">
        <v>5000</v>
      </c>
      <c r="V69" s="36" t="s">
        <v>375</v>
      </c>
      <c r="Y69" s="27"/>
      <c r="Z69" s="28"/>
      <c r="AA69" s="36"/>
      <c r="AD69" s="27"/>
      <c r="AE69" s="28"/>
      <c r="AF69" s="36"/>
      <c r="AH69" s="27"/>
      <c r="AI69" s="28"/>
      <c r="AJ69" s="36"/>
      <c r="AL69" s="27"/>
      <c r="AM69" s="28"/>
      <c r="AN69" s="36"/>
    </row>
    <row r="70" spans="10:40">
      <c r="J70" s="27"/>
      <c r="K70" s="106"/>
      <c r="L70" s="28"/>
      <c r="M70" s="28"/>
      <c r="N70" s="40"/>
      <c r="O70" s="28"/>
      <c r="P70" s="36"/>
      <c r="T70" s="60">
        <v>44386</v>
      </c>
      <c r="U70" s="28">
        <v>7000</v>
      </c>
      <c r="V70" s="36" t="s">
        <v>376</v>
      </c>
      <c r="Y70" s="27"/>
      <c r="Z70" s="28"/>
      <c r="AA70" s="36"/>
      <c r="AD70" s="27"/>
      <c r="AE70" s="28"/>
      <c r="AF70" s="36"/>
      <c r="AH70" s="27"/>
      <c r="AI70" s="28"/>
      <c r="AJ70" s="36"/>
      <c r="AL70" s="27"/>
      <c r="AM70" s="28"/>
      <c r="AN70" s="36"/>
    </row>
    <row r="71" spans="10:40">
      <c r="J71" s="27"/>
      <c r="K71" s="106"/>
      <c r="L71" s="28"/>
      <c r="M71" s="28"/>
      <c r="N71" s="40"/>
      <c r="O71" s="28"/>
      <c r="P71" s="36"/>
      <c r="T71" s="60">
        <v>44386</v>
      </c>
      <c r="U71" s="28">
        <v>78900</v>
      </c>
      <c r="V71" s="36" t="s">
        <v>377</v>
      </c>
      <c r="Y71" s="27"/>
      <c r="Z71" s="28"/>
      <c r="AA71" s="36"/>
      <c r="AD71" s="27"/>
      <c r="AE71" s="28"/>
      <c r="AF71" s="36"/>
      <c r="AH71" s="27"/>
      <c r="AI71" s="28"/>
      <c r="AJ71" s="36"/>
      <c r="AL71" s="27"/>
      <c r="AM71" s="28"/>
      <c r="AN71" s="36"/>
    </row>
    <row r="72" spans="10:40">
      <c r="J72" s="27"/>
      <c r="K72" s="179"/>
      <c r="L72" s="104"/>
      <c r="M72" s="104"/>
      <c r="N72" s="40"/>
      <c r="O72" s="28"/>
      <c r="P72" s="36"/>
      <c r="T72" s="60">
        <v>44386</v>
      </c>
      <c r="U72" s="28">
        <v>50000</v>
      </c>
      <c r="V72" s="36" t="s">
        <v>378</v>
      </c>
      <c r="Y72" s="27"/>
      <c r="Z72" s="28"/>
      <c r="AA72" s="36"/>
      <c r="AD72" s="27"/>
      <c r="AE72" s="28"/>
      <c r="AF72" s="36"/>
      <c r="AH72" s="27"/>
      <c r="AI72" s="28"/>
      <c r="AJ72" s="36"/>
      <c r="AL72" s="27"/>
      <c r="AM72" s="28"/>
      <c r="AN72" s="36"/>
    </row>
    <row r="73" spans="10:40">
      <c r="J73" s="102"/>
      <c r="K73" s="179"/>
      <c r="L73" s="104"/>
      <c r="M73" s="28"/>
      <c r="N73" s="103"/>
      <c r="O73" s="28"/>
      <c r="P73" s="36"/>
      <c r="T73" s="60">
        <v>44386</v>
      </c>
      <c r="U73" s="28">
        <v>8450</v>
      </c>
      <c r="V73" s="36" t="s">
        <v>186</v>
      </c>
      <c r="Y73" s="27"/>
      <c r="Z73" s="28"/>
      <c r="AA73" s="36"/>
      <c r="AD73" s="27"/>
      <c r="AE73" s="28"/>
      <c r="AF73" s="36"/>
      <c r="AH73" s="27"/>
      <c r="AI73" s="28"/>
      <c r="AJ73" s="36"/>
      <c r="AL73" s="27"/>
      <c r="AM73" s="28"/>
      <c r="AN73" s="36"/>
    </row>
    <row r="74" spans="10:40">
      <c r="J74" s="102"/>
      <c r="K74" s="26"/>
      <c r="L74" s="52"/>
      <c r="M74" s="125"/>
      <c r="N74" s="103"/>
      <c r="O74" s="104"/>
      <c r="P74" s="105"/>
      <c r="T74" s="60">
        <v>44387</v>
      </c>
      <c r="U74" s="28">
        <v>99000</v>
      </c>
      <c r="V74" s="36" t="s">
        <v>379</v>
      </c>
      <c r="Y74" s="27"/>
      <c r="Z74" s="28"/>
      <c r="AA74" s="36"/>
      <c r="AD74" s="27"/>
      <c r="AE74" s="28"/>
      <c r="AF74" s="36"/>
      <c r="AH74" s="27"/>
      <c r="AI74" s="28"/>
      <c r="AJ74" s="36"/>
      <c r="AL74" s="27"/>
      <c r="AM74" s="28"/>
      <c r="AN74" s="36"/>
    </row>
    <row r="75" spans="10:40" ht="15" thickBot="1">
      <c r="J75" s="102"/>
      <c r="K75" s="179"/>
      <c r="L75" s="104"/>
      <c r="M75" s="125"/>
      <c r="N75" s="103"/>
      <c r="O75" s="104"/>
      <c r="P75" s="105"/>
      <c r="T75" s="60">
        <v>44389</v>
      </c>
      <c r="U75" s="28">
        <v>238000</v>
      </c>
      <c r="V75" s="36" t="s">
        <v>380</v>
      </c>
      <c r="Y75" s="37"/>
      <c r="Z75" s="38"/>
      <c r="AA75" s="39"/>
      <c r="AD75" s="37"/>
      <c r="AE75" s="38"/>
      <c r="AF75" s="39"/>
      <c r="AH75" s="37"/>
      <c r="AI75" s="38"/>
      <c r="AJ75" s="39"/>
      <c r="AL75" s="37"/>
      <c r="AM75" s="38"/>
      <c r="AN75" s="39"/>
    </row>
    <row r="76" spans="10:40">
      <c r="J76" s="102"/>
      <c r="K76" s="179"/>
      <c r="L76" s="104"/>
      <c r="M76" s="125"/>
      <c r="N76" s="103"/>
      <c r="O76" s="104"/>
      <c r="P76" s="105"/>
      <c r="T76" s="60">
        <v>44389</v>
      </c>
      <c r="U76" s="28">
        <v>2000</v>
      </c>
      <c r="V76" s="36" t="s">
        <v>381</v>
      </c>
    </row>
    <row r="77" spans="10:40">
      <c r="J77" s="102"/>
      <c r="K77" s="179"/>
      <c r="L77" s="104"/>
      <c r="M77" s="125"/>
      <c r="N77" s="103"/>
      <c r="O77" s="104"/>
      <c r="P77" s="105"/>
      <c r="T77" s="60">
        <v>44389</v>
      </c>
      <c r="U77" s="28">
        <v>17000</v>
      </c>
      <c r="V77" s="36" t="s">
        <v>382</v>
      </c>
    </row>
    <row r="78" spans="10:40">
      <c r="J78" s="102"/>
      <c r="K78" s="179"/>
      <c r="L78" s="104"/>
      <c r="M78" s="168"/>
      <c r="N78" s="103"/>
      <c r="O78" s="104"/>
      <c r="P78" s="105"/>
      <c r="T78" s="60">
        <v>44389</v>
      </c>
      <c r="U78" s="28">
        <v>49999</v>
      </c>
      <c r="V78" s="36" t="s">
        <v>383</v>
      </c>
    </row>
    <row r="79" spans="10:40">
      <c r="J79" s="102"/>
      <c r="K79" s="179"/>
      <c r="L79" s="104"/>
      <c r="M79" s="168"/>
      <c r="N79" s="103"/>
      <c r="O79" s="104"/>
      <c r="P79" s="105"/>
      <c r="T79" s="60">
        <v>44390</v>
      </c>
      <c r="U79" s="28">
        <v>3600</v>
      </c>
      <c r="V79" s="36" t="s">
        <v>384</v>
      </c>
    </row>
    <row r="80" spans="10:40">
      <c r="J80" s="102"/>
      <c r="K80" s="107"/>
      <c r="L80" s="28"/>
      <c r="M80" s="168"/>
      <c r="N80" s="103"/>
      <c r="O80" s="104"/>
      <c r="P80" s="105"/>
      <c r="T80" s="60">
        <v>44391</v>
      </c>
      <c r="U80" s="28">
        <v>3100</v>
      </c>
      <c r="V80" s="36" t="s">
        <v>385</v>
      </c>
    </row>
    <row r="81" spans="10:22">
      <c r="J81" s="102"/>
      <c r="K81" s="179"/>
      <c r="L81" s="104"/>
      <c r="M81" s="168"/>
      <c r="N81" s="103"/>
      <c r="O81" s="104"/>
      <c r="P81" s="105"/>
      <c r="T81" s="60">
        <v>44391</v>
      </c>
      <c r="U81" s="28">
        <v>3500</v>
      </c>
      <c r="V81" s="36" t="s">
        <v>386</v>
      </c>
    </row>
    <row r="82" spans="10:22" ht="15" thickBot="1">
      <c r="J82" s="37"/>
      <c r="K82" s="122"/>
      <c r="L82" s="38"/>
      <c r="M82" s="178"/>
      <c r="N82" s="122"/>
      <c r="O82" s="38"/>
      <c r="P82" s="39"/>
      <c r="T82" s="60">
        <v>44396</v>
      </c>
      <c r="U82" s="28">
        <v>1200</v>
      </c>
      <c r="V82" s="36"/>
    </row>
    <row r="83" spans="10:22">
      <c r="T83" s="60">
        <v>44396</v>
      </c>
      <c r="U83" s="28">
        <v>600</v>
      </c>
      <c r="V83" s="36"/>
    </row>
    <row r="84" spans="10:22">
      <c r="T84" s="60">
        <v>44396</v>
      </c>
      <c r="U84" s="28">
        <v>1200</v>
      </c>
      <c r="V84" s="36"/>
    </row>
    <row r="85" spans="10:22">
      <c r="T85" s="60">
        <v>44402</v>
      </c>
      <c r="U85" s="28">
        <v>3000</v>
      </c>
      <c r="V85" s="36" t="s">
        <v>387</v>
      </c>
    </row>
    <row r="86" spans="10:22">
      <c r="T86" s="60">
        <v>44406</v>
      </c>
      <c r="U86" s="28">
        <v>14354.7</v>
      </c>
      <c r="V86" s="36" t="s">
        <v>199</v>
      </c>
    </row>
    <row r="87" spans="10:22">
      <c r="T87" s="60">
        <v>44407</v>
      </c>
      <c r="U87" s="28">
        <v>5000</v>
      </c>
      <c r="V87" s="36" t="s">
        <v>388</v>
      </c>
    </row>
    <row r="88" spans="10:22">
      <c r="T88" s="60">
        <v>44408</v>
      </c>
      <c r="U88" s="28">
        <v>2257</v>
      </c>
      <c r="V88" s="36" t="s">
        <v>320</v>
      </c>
    </row>
    <row r="89" spans="10:22">
      <c r="T89" s="60">
        <v>44411</v>
      </c>
      <c r="U89" s="28">
        <v>2000</v>
      </c>
      <c r="V89" s="36" t="s">
        <v>389</v>
      </c>
    </row>
    <row r="90" spans="10:22">
      <c r="T90" s="60">
        <v>44413</v>
      </c>
      <c r="U90" s="28">
        <v>27190.57</v>
      </c>
      <c r="V90" s="36" t="s">
        <v>186</v>
      </c>
    </row>
    <row r="91" spans="10:22">
      <c r="T91" s="60">
        <v>44418</v>
      </c>
      <c r="U91" s="28">
        <v>83030</v>
      </c>
      <c r="V91" s="36" t="s">
        <v>436</v>
      </c>
    </row>
    <row r="92" spans="10:22">
      <c r="T92" s="60">
        <v>44418</v>
      </c>
      <c r="U92" s="28">
        <v>15000</v>
      </c>
      <c r="V92" s="36" t="s">
        <v>189</v>
      </c>
    </row>
    <row r="93" spans="10:22">
      <c r="T93" s="60">
        <v>44418</v>
      </c>
      <c r="U93" s="28">
        <v>990</v>
      </c>
      <c r="V93" s="36" t="s">
        <v>437</v>
      </c>
    </row>
    <row r="94" spans="10:22">
      <c r="T94" s="60">
        <v>44419</v>
      </c>
      <c r="U94" s="28">
        <v>18000</v>
      </c>
      <c r="V94" s="115"/>
    </row>
    <row r="95" spans="10:22">
      <c r="T95" s="60">
        <v>44420</v>
      </c>
      <c r="U95" s="28">
        <v>5000</v>
      </c>
      <c r="V95" s="115" t="s">
        <v>323</v>
      </c>
    </row>
    <row r="96" spans="10:22">
      <c r="T96" s="60">
        <v>44423</v>
      </c>
      <c r="U96" s="28">
        <v>236189</v>
      </c>
      <c r="V96" s="115" t="s">
        <v>149</v>
      </c>
    </row>
    <row r="97" spans="19:22">
      <c r="T97" s="60">
        <v>44423</v>
      </c>
      <c r="U97" s="28">
        <v>1300</v>
      </c>
      <c r="V97" s="115" t="s">
        <v>149</v>
      </c>
    </row>
    <row r="98" spans="19:22">
      <c r="T98" s="60">
        <v>44423</v>
      </c>
      <c r="U98" s="28">
        <v>5000</v>
      </c>
      <c r="V98" s="115" t="s">
        <v>387</v>
      </c>
    </row>
    <row r="99" spans="19:22">
      <c r="T99" s="60">
        <v>44423</v>
      </c>
      <c r="U99" s="28">
        <v>8600</v>
      </c>
      <c r="V99" s="115" t="s">
        <v>438</v>
      </c>
    </row>
    <row r="100" spans="19:22">
      <c r="S100">
        <v>8143955523</v>
      </c>
      <c r="T100" s="60">
        <v>44424</v>
      </c>
      <c r="U100" s="28">
        <v>2150</v>
      </c>
      <c r="V100" s="115"/>
    </row>
    <row r="101" spans="19:22">
      <c r="T101" s="60">
        <v>44425</v>
      </c>
      <c r="U101" s="28">
        <v>1500</v>
      </c>
      <c r="V101" s="115" t="s">
        <v>313</v>
      </c>
    </row>
    <row r="102" spans="19:22">
      <c r="T102" s="60">
        <v>44425</v>
      </c>
      <c r="U102" s="28">
        <v>4300</v>
      </c>
      <c r="V102" s="115" t="s">
        <v>456</v>
      </c>
    </row>
    <row r="103" spans="19:22">
      <c r="T103" s="60">
        <v>44425</v>
      </c>
      <c r="U103" s="28">
        <v>500</v>
      </c>
      <c r="V103" s="115" t="s">
        <v>313</v>
      </c>
    </row>
    <row r="104" spans="19:22">
      <c r="T104" s="60">
        <v>44431</v>
      </c>
      <c r="U104" s="28">
        <v>400</v>
      </c>
      <c r="V104" s="115" t="s">
        <v>457</v>
      </c>
    </row>
    <row r="105" spans="19:22">
      <c r="T105" s="60">
        <v>44432</v>
      </c>
      <c r="U105" s="28">
        <v>500</v>
      </c>
      <c r="V105" s="115" t="s">
        <v>458</v>
      </c>
    </row>
    <row r="106" spans="19:22">
      <c r="T106" s="60">
        <v>44433</v>
      </c>
      <c r="U106" s="28">
        <v>2000</v>
      </c>
      <c r="V106" s="115" t="s">
        <v>459</v>
      </c>
    </row>
    <row r="107" spans="19:22">
      <c r="T107" s="60">
        <v>44434</v>
      </c>
      <c r="U107" s="28">
        <v>4000</v>
      </c>
      <c r="V107" s="115" t="s">
        <v>460</v>
      </c>
    </row>
    <row r="108" spans="19:22">
      <c r="T108" s="60">
        <v>44434</v>
      </c>
      <c r="U108" s="28">
        <v>1000</v>
      </c>
      <c r="V108" s="115" t="s">
        <v>461</v>
      </c>
    </row>
    <row r="109" spans="19:22">
      <c r="T109" s="60">
        <v>44435</v>
      </c>
      <c r="U109" s="28">
        <v>2640</v>
      </c>
      <c r="V109" s="115" t="s">
        <v>462</v>
      </c>
    </row>
    <row r="110" spans="19:22">
      <c r="T110" s="60">
        <v>44436</v>
      </c>
      <c r="U110" s="28">
        <v>8000</v>
      </c>
      <c r="V110" s="115" t="s">
        <v>280</v>
      </c>
    </row>
    <row r="111" spans="19:22">
      <c r="T111" s="60">
        <v>44438</v>
      </c>
      <c r="U111" s="28">
        <v>2815.61</v>
      </c>
      <c r="V111" s="115" t="s">
        <v>199</v>
      </c>
    </row>
    <row r="112" spans="19:22">
      <c r="T112" s="60">
        <v>44439</v>
      </c>
      <c r="U112" s="28">
        <v>700</v>
      </c>
      <c r="V112" s="115" t="s">
        <v>463</v>
      </c>
    </row>
    <row r="113" spans="20:22">
      <c r="T113" s="60">
        <v>44439</v>
      </c>
      <c r="U113" s="28">
        <v>4096</v>
      </c>
      <c r="V113" s="115" t="s">
        <v>464</v>
      </c>
    </row>
    <row r="114" spans="20:22">
      <c r="T114" s="60">
        <v>44440</v>
      </c>
      <c r="U114" s="28">
        <v>2000</v>
      </c>
      <c r="V114" s="115" t="s">
        <v>465</v>
      </c>
    </row>
    <row r="115" spans="20:22">
      <c r="T115" s="60">
        <v>44440</v>
      </c>
      <c r="U115" s="28">
        <v>400</v>
      </c>
      <c r="V115" s="115" t="s">
        <v>466</v>
      </c>
    </row>
    <row r="116" spans="20:22">
      <c r="T116" s="60">
        <v>44441</v>
      </c>
      <c r="U116" s="28">
        <v>4000</v>
      </c>
      <c r="V116" s="115" t="s">
        <v>280</v>
      </c>
    </row>
    <row r="117" spans="20:22">
      <c r="T117" s="60">
        <v>44442</v>
      </c>
      <c r="U117" s="28">
        <v>8000</v>
      </c>
      <c r="V117" s="115" t="s">
        <v>467</v>
      </c>
    </row>
    <row r="118" spans="20:22">
      <c r="T118" s="60">
        <v>44443</v>
      </c>
      <c r="U118" s="28">
        <v>11537.92</v>
      </c>
      <c r="V118" s="115" t="s">
        <v>186</v>
      </c>
    </row>
    <row r="119" spans="20:22">
      <c r="T119" s="60">
        <v>44443</v>
      </c>
      <c r="U119" s="28">
        <v>400000</v>
      </c>
      <c r="V119" s="115" t="s">
        <v>468</v>
      </c>
    </row>
    <row r="120" spans="20:22" ht="15" thickBot="1">
      <c r="T120" s="165">
        <v>44443</v>
      </c>
      <c r="U120" s="104">
        <v>1000</v>
      </c>
      <c r="V120" s="173" t="s">
        <v>469</v>
      </c>
    </row>
    <row r="121" spans="20:22">
      <c r="T121" s="174">
        <v>44446</v>
      </c>
      <c r="U121" s="175">
        <v>6300</v>
      </c>
      <c r="V121" s="176" t="s">
        <v>470</v>
      </c>
    </row>
    <row r="122" spans="20:22">
      <c r="T122" s="60">
        <v>44446</v>
      </c>
      <c r="U122" s="28">
        <v>1134</v>
      </c>
      <c r="V122" s="115" t="s">
        <v>471</v>
      </c>
    </row>
    <row r="123" spans="20:22">
      <c r="T123" s="60">
        <v>44447</v>
      </c>
      <c r="U123" s="28">
        <v>7500</v>
      </c>
      <c r="V123" s="115" t="s">
        <v>280</v>
      </c>
    </row>
    <row r="124" spans="20:22">
      <c r="T124" s="60">
        <v>44452</v>
      </c>
      <c r="U124" s="28">
        <v>1500</v>
      </c>
      <c r="V124" s="115" t="s">
        <v>472</v>
      </c>
    </row>
    <row r="125" spans="20:22">
      <c r="T125" s="60">
        <v>44468</v>
      </c>
      <c r="U125" s="28">
        <v>10500</v>
      </c>
      <c r="V125" s="115" t="s">
        <v>473</v>
      </c>
    </row>
    <row r="126" spans="20:22">
      <c r="T126" s="60">
        <v>44467</v>
      </c>
      <c r="U126" s="28">
        <v>2203.6999999999998</v>
      </c>
      <c r="V126" s="115" t="s">
        <v>199</v>
      </c>
    </row>
    <row r="127" spans="20:22">
      <c r="T127" s="60">
        <v>44469</v>
      </c>
      <c r="U127" s="28">
        <v>3530</v>
      </c>
      <c r="V127" s="115" t="s">
        <v>320</v>
      </c>
    </row>
    <row r="128" spans="20:22">
      <c r="T128" s="60">
        <v>44474</v>
      </c>
      <c r="U128" s="28">
        <v>3500</v>
      </c>
      <c r="V128" s="115" t="s">
        <v>376</v>
      </c>
    </row>
    <row r="129" spans="17:22">
      <c r="T129" s="60">
        <v>44474</v>
      </c>
      <c r="U129" s="28">
        <v>10000</v>
      </c>
      <c r="V129" s="115" t="s">
        <v>474</v>
      </c>
    </row>
    <row r="130" spans="17:22">
      <c r="T130" s="60">
        <v>44475</v>
      </c>
      <c r="U130" s="28">
        <v>10000</v>
      </c>
      <c r="V130" s="115" t="s">
        <v>475</v>
      </c>
    </row>
    <row r="131" spans="17:22">
      <c r="T131" s="60">
        <v>44475</v>
      </c>
      <c r="U131" s="28">
        <v>29910</v>
      </c>
      <c r="V131" s="115" t="s">
        <v>149</v>
      </c>
    </row>
    <row r="132" spans="17:22">
      <c r="T132" s="60">
        <v>44476</v>
      </c>
      <c r="U132" s="28">
        <v>30000</v>
      </c>
      <c r="V132" s="115" t="s">
        <v>476</v>
      </c>
    </row>
    <row r="133" spans="17:22">
      <c r="T133" s="60">
        <v>44476</v>
      </c>
      <c r="U133" s="28">
        <v>5100</v>
      </c>
      <c r="V133" s="115" t="s">
        <v>477</v>
      </c>
    </row>
    <row r="134" spans="17:22">
      <c r="T134" s="60">
        <v>44478</v>
      </c>
      <c r="U134" s="28">
        <v>14000</v>
      </c>
      <c r="V134" s="115" t="s">
        <v>384</v>
      </c>
    </row>
    <row r="135" spans="17:22">
      <c r="T135" s="60">
        <v>44482</v>
      </c>
      <c r="U135" s="28">
        <v>4000</v>
      </c>
      <c r="V135" s="115" t="s">
        <v>280</v>
      </c>
    </row>
    <row r="136" spans="17:22">
      <c r="Q136">
        <v>145</v>
      </c>
      <c r="R136" t="s">
        <v>133</v>
      </c>
      <c r="T136" s="60">
        <v>44485</v>
      </c>
      <c r="U136" s="28">
        <v>2000</v>
      </c>
      <c r="V136" s="115" t="s">
        <v>478</v>
      </c>
    </row>
    <row r="137" spans="17:22">
      <c r="T137" s="60">
        <v>44487</v>
      </c>
      <c r="U137" s="28">
        <v>10000</v>
      </c>
      <c r="V137" s="115" t="s">
        <v>312</v>
      </c>
    </row>
    <row r="138" spans="17:22">
      <c r="T138" s="60">
        <v>44496</v>
      </c>
      <c r="U138" s="28">
        <v>2000</v>
      </c>
      <c r="V138" s="115" t="s">
        <v>543</v>
      </c>
    </row>
    <row r="139" spans="17:22">
      <c r="T139" s="60">
        <v>44496</v>
      </c>
      <c r="U139" s="28">
        <v>41900</v>
      </c>
      <c r="V139" s="115"/>
    </row>
    <row r="140" spans="17:22">
      <c r="T140" s="60">
        <v>44497</v>
      </c>
      <c r="U140" s="28">
        <v>10000</v>
      </c>
      <c r="V140" s="115" t="s">
        <v>387</v>
      </c>
    </row>
    <row r="141" spans="17:22">
      <c r="T141" s="60">
        <v>44497</v>
      </c>
      <c r="U141" s="28">
        <v>5000</v>
      </c>
      <c r="V141" s="115" t="s">
        <v>387</v>
      </c>
    </row>
    <row r="142" spans="17:22">
      <c r="T142" s="60">
        <v>44497</v>
      </c>
      <c r="U142" s="28">
        <v>35000</v>
      </c>
      <c r="V142" s="115" t="s">
        <v>544</v>
      </c>
    </row>
    <row r="143" spans="17:22">
      <c r="T143" s="60">
        <v>44498</v>
      </c>
      <c r="U143" s="28">
        <v>17778.5</v>
      </c>
      <c r="V143" s="115" t="s">
        <v>199</v>
      </c>
    </row>
    <row r="144" spans="17:22">
      <c r="T144" s="60">
        <v>44498</v>
      </c>
      <c r="U144" s="28">
        <v>9536.5</v>
      </c>
      <c r="V144" s="115" t="s">
        <v>186</v>
      </c>
    </row>
    <row r="145" spans="20:22">
      <c r="T145" s="60">
        <v>44499</v>
      </c>
      <c r="U145" s="28">
        <v>2581</v>
      </c>
      <c r="V145" s="115" t="s">
        <v>320</v>
      </c>
    </row>
    <row r="146" spans="20:22">
      <c r="T146" s="60">
        <v>44504</v>
      </c>
      <c r="U146" s="28">
        <v>2000</v>
      </c>
      <c r="V146" s="115"/>
    </row>
    <row r="147" spans="20:22">
      <c r="T147" s="60">
        <v>44504</v>
      </c>
      <c r="U147" s="28">
        <v>10000</v>
      </c>
      <c r="V147" s="115">
        <v>8886068770</v>
      </c>
    </row>
    <row r="148" spans="20:22">
      <c r="T148" s="60">
        <v>44504</v>
      </c>
      <c r="U148" s="28">
        <v>10000</v>
      </c>
      <c r="V148" s="115">
        <v>9502983024</v>
      </c>
    </row>
    <row r="149" spans="20:22">
      <c r="T149" s="60">
        <v>44505</v>
      </c>
      <c r="U149" s="28">
        <v>20000</v>
      </c>
      <c r="V149" s="115" t="s">
        <v>382</v>
      </c>
    </row>
    <row r="150" spans="20:22">
      <c r="T150" s="60">
        <v>44508</v>
      </c>
      <c r="U150" s="28">
        <v>15793</v>
      </c>
      <c r="V150" s="115" t="s">
        <v>149</v>
      </c>
    </row>
    <row r="151" spans="20:22">
      <c r="T151" s="60">
        <v>44508</v>
      </c>
      <c r="U151" s="28">
        <v>1800</v>
      </c>
      <c r="V151" s="115" t="s">
        <v>545</v>
      </c>
    </row>
    <row r="152" spans="20:22">
      <c r="T152" s="60">
        <v>44508</v>
      </c>
      <c r="U152" s="28">
        <v>1150</v>
      </c>
      <c r="V152" s="115" t="s">
        <v>546</v>
      </c>
    </row>
    <row r="153" spans="20:22">
      <c r="T153" s="60">
        <v>44509</v>
      </c>
      <c r="U153" s="28">
        <v>5000</v>
      </c>
      <c r="V153" s="115" t="s">
        <v>547</v>
      </c>
    </row>
    <row r="154" spans="20:22">
      <c r="T154" s="60">
        <v>44509</v>
      </c>
      <c r="U154" s="28">
        <v>1680</v>
      </c>
      <c r="V154" s="115"/>
    </row>
    <row r="155" spans="20:22">
      <c r="T155" s="60">
        <v>44509</v>
      </c>
      <c r="U155" s="28">
        <v>36000</v>
      </c>
      <c r="V155" s="115" t="s">
        <v>548</v>
      </c>
    </row>
    <row r="156" spans="20:22">
      <c r="T156" s="60">
        <v>44509</v>
      </c>
      <c r="U156" s="28">
        <v>1000</v>
      </c>
      <c r="V156" s="115" t="s">
        <v>546</v>
      </c>
    </row>
    <row r="157" spans="20:22">
      <c r="T157" s="60">
        <v>44509</v>
      </c>
      <c r="U157" s="28">
        <v>671</v>
      </c>
      <c r="V157" s="115"/>
    </row>
    <row r="158" spans="20:22">
      <c r="T158" s="60">
        <v>44509</v>
      </c>
      <c r="U158" s="28">
        <v>31540</v>
      </c>
      <c r="V158" s="115" t="s">
        <v>549</v>
      </c>
    </row>
    <row r="159" spans="20:22">
      <c r="T159" s="60">
        <v>44510</v>
      </c>
      <c r="U159" s="28">
        <v>4100</v>
      </c>
      <c r="V159" s="115" t="s">
        <v>550</v>
      </c>
    </row>
    <row r="160" spans="20:22">
      <c r="T160" s="60">
        <v>44512</v>
      </c>
      <c r="U160" s="28">
        <v>5000</v>
      </c>
      <c r="V160" s="115" t="s">
        <v>551</v>
      </c>
    </row>
    <row r="161" spans="20:22">
      <c r="T161" s="60">
        <v>44513</v>
      </c>
      <c r="U161" s="28">
        <v>10000</v>
      </c>
      <c r="V161" s="115" t="s">
        <v>382</v>
      </c>
    </row>
    <row r="162" spans="20:22">
      <c r="T162" s="60">
        <v>44515</v>
      </c>
      <c r="U162" s="28">
        <v>85000</v>
      </c>
      <c r="V162" s="115" t="s">
        <v>552</v>
      </c>
    </row>
    <row r="163" spans="20:22">
      <c r="T163" s="60">
        <v>44515</v>
      </c>
      <c r="U163" s="28">
        <v>800</v>
      </c>
      <c r="V163" s="115">
        <v>9959016199</v>
      </c>
    </row>
    <row r="164" spans="20:22">
      <c r="T164" s="60">
        <v>44517</v>
      </c>
      <c r="U164" s="28">
        <v>1950</v>
      </c>
      <c r="V164" s="115" t="s">
        <v>641</v>
      </c>
    </row>
    <row r="165" spans="20:22">
      <c r="T165" s="60">
        <v>44522</v>
      </c>
      <c r="U165" s="28">
        <v>50000</v>
      </c>
      <c r="V165" s="115" t="s">
        <v>468</v>
      </c>
    </row>
    <row r="166" spans="20:22">
      <c r="T166" s="60">
        <v>44522</v>
      </c>
      <c r="U166" s="28">
        <v>36500</v>
      </c>
      <c r="V166" s="115">
        <v>9246346616</v>
      </c>
    </row>
    <row r="167" spans="20:22">
      <c r="T167" s="60">
        <v>44522</v>
      </c>
      <c r="U167" s="28">
        <v>9074</v>
      </c>
      <c r="V167" s="115" t="s">
        <v>641</v>
      </c>
    </row>
    <row r="168" spans="20:22">
      <c r="T168" s="60">
        <v>44523</v>
      </c>
      <c r="U168" s="28">
        <v>14400</v>
      </c>
      <c r="V168" s="115" t="s">
        <v>553</v>
      </c>
    </row>
    <row r="169" spans="20:22">
      <c r="T169" s="60">
        <v>44523</v>
      </c>
      <c r="U169" s="28">
        <v>24750</v>
      </c>
      <c r="V169" s="115" t="s">
        <v>642</v>
      </c>
    </row>
    <row r="170" spans="20:22">
      <c r="T170" s="60">
        <v>44525</v>
      </c>
      <c r="U170" s="28">
        <v>2000</v>
      </c>
      <c r="V170" s="115" t="s">
        <v>554</v>
      </c>
    </row>
    <row r="171" spans="20:22">
      <c r="T171" s="60">
        <v>44525</v>
      </c>
      <c r="U171" s="28">
        <v>2000</v>
      </c>
      <c r="V171" s="115" t="s">
        <v>555</v>
      </c>
    </row>
    <row r="172" spans="20:22">
      <c r="T172" s="60">
        <v>44525</v>
      </c>
      <c r="U172" s="28">
        <v>12000</v>
      </c>
      <c r="V172" s="115"/>
    </row>
    <row r="173" spans="20:22">
      <c r="T173" s="60">
        <v>44525</v>
      </c>
      <c r="U173" s="28">
        <v>3500</v>
      </c>
      <c r="V173" s="115"/>
    </row>
    <row r="174" spans="20:22">
      <c r="T174" s="60">
        <v>44525</v>
      </c>
      <c r="U174" s="28">
        <v>5000</v>
      </c>
      <c r="V174" s="115" t="s">
        <v>387</v>
      </c>
    </row>
    <row r="175" spans="20:22">
      <c r="T175" s="60">
        <v>44526</v>
      </c>
      <c r="U175" s="28">
        <v>4500</v>
      </c>
      <c r="V175" s="115" t="s">
        <v>556</v>
      </c>
    </row>
    <row r="176" spans="20:22">
      <c r="T176" s="60">
        <v>44528</v>
      </c>
      <c r="U176" s="28">
        <v>10000</v>
      </c>
      <c r="V176" s="115"/>
    </row>
    <row r="177" spans="20:22">
      <c r="T177" s="60">
        <v>44529</v>
      </c>
      <c r="U177" s="28">
        <v>17688</v>
      </c>
      <c r="V177" s="115" t="s">
        <v>199</v>
      </c>
    </row>
    <row r="178" spans="20:22">
      <c r="T178" s="60">
        <v>44530</v>
      </c>
      <c r="U178" s="28">
        <v>3631</v>
      </c>
      <c r="V178" s="115" t="s">
        <v>320</v>
      </c>
    </row>
    <row r="179" spans="20:22">
      <c r="T179" s="60">
        <v>44534</v>
      </c>
      <c r="U179" s="28">
        <v>6800</v>
      </c>
      <c r="V179" s="115" t="s">
        <v>459</v>
      </c>
    </row>
    <row r="180" spans="20:22">
      <c r="T180" s="60">
        <v>44534</v>
      </c>
      <c r="U180" s="28">
        <v>10000</v>
      </c>
      <c r="V180" s="115" t="s">
        <v>643</v>
      </c>
    </row>
    <row r="181" spans="20:22">
      <c r="T181" s="60">
        <v>44535</v>
      </c>
      <c r="U181" s="28">
        <v>5000</v>
      </c>
      <c r="V181" s="115" t="s">
        <v>388</v>
      </c>
    </row>
    <row r="182" spans="20:22">
      <c r="T182" s="60">
        <v>44535</v>
      </c>
      <c r="U182" s="28">
        <v>5000</v>
      </c>
      <c r="V182" s="150" t="s">
        <v>644</v>
      </c>
    </row>
    <row r="183" spans="20:22">
      <c r="T183" s="60">
        <v>44535</v>
      </c>
      <c r="U183" s="28">
        <v>5000</v>
      </c>
      <c r="V183" s="115" t="s">
        <v>645</v>
      </c>
    </row>
    <row r="184" spans="20:22">
      <c r="T184" s="60">
        <v>44535</v>
      </c>
      <c r="U184" s="28">
        <v>30000</v>
      </c>
      <c r="V184" s="115" t="s">
        <v>468</v>
      </c>
    </row>
    <row r="185" spans="20:22">
      <c r="T185" s="60">
        <v>44536</v>
      </c>
      <c r="U185" s="28">
        <v>910</v>
      </c>
      <c r="V185" s="115">
        <v>7989034875</v>
      </c>
    </row>
    <row r="186" spans="20:22">
      <c r="T186" s="60">
        <v>44536</v>
      </c>
      <c r="U186" s="28">
        <v>10000</v>
      </c>
      <c r="V186" s="115" t="s">
        <v>646</v>
      </c>
    </row>
    <row r="187" spans="20:22">
      <c r="T187" s="60">
        <v>44536</v>
      </c>
      <c r="U187" s="28">
        <v>6800</v>
      </c>
      <c r="V187" s="115" t="s">
        <v>459</v>
      </c>
    </row>
    <row r="188" spans="20:22">
      <c r="T188" s="60">
        <v>44537</v>
      </c>
      <c r="U188" s="28">
        <v>120000</v>
      </c>
      <c r="V188" s="115" t="s">
        <v>468</v>
      </c>
    </row>
    <row r="189" spans="20:22">
      <c r="T189" s="60">
        <v>44537</v>
      </c>
      <c r="U189" s="28">
        <v>3010</v>
      </c>
      <c r="V189" s="115" t="s">
        <v>208</v>
      </c>
    </row>
    <row r="190" spans="20:22">
      <c r="T190" s="60">
        <v>44537</v>
      </c>
      <c r="U190" s="28">
        <v>730</v>
      </c>
      <c r="V190" s="115" t="s">
        <v>647</v>
      </c>
    </row>
    <row r="191" spans="20:22">
      <c r="T191" s="60">
        <v>44537</v>
      </c>
      <c r="U191" s="28">
        <v>1597</v>
      </c>
      <c r="V191" s="115" t="s">
        <v>648</v>
      </c>
    </row>
    <row r="192" spans="20:22">
      <c r="T192" s="60">
        <v>44538</v>
      </c>
      <c r="U192" s="28">
        <v>4200</v>
      </c>
      <c r="V192" s="115" t="s">
        <v>376</v>
      </c>
    </row>
    <row r="193" spans="20:22">
      <c r="T193" s="60">
        <v>44539</v>
      </c>
      <c r="U193" s="28">
        <v>5000</v>
      </c>
      <c r="V193" s="115" t="s">
        <v>649</v>
      </c>
    </row>
    <row r="194" spans="20:22">
      <c r="T194" s="60">
        <v>44539</v>
      </c>
      <c r="U194" s="28">
        <v>33000</v>
      </c>
      <c r="V194" s="115" t="s">
        <v>650</v>
      </c>
    </row>
    <row r="195" spans="20:22">
      <c r="T195" s="60">
        <v>44539</v>
      </c>
      <c r="U195" s="28">
        <v>2000</v>
      </c>
      <c r="V195" s="115" t="s">
        <v>189</v>
      </c>
    </row>
    <row r="196" spans="20:22">
      <c r="T196" s="60">
        <v>44539</v>
      </c>
      <c r="U196" s="28">
        <v>3000</v>
      </c>
      <c r="V196" s="115" t="s">
        <v>651</v>
      </c>
    </row>
    <row r="197" spans="20:22">
      <c r="T197" s="60">
        <v>44539</v>
      </c>
      <c r="U197" s="28">
        <v>4500</v>
      </c>
      <c r="V197" s="115" t="s">
        <v>652</v>
      </c>
    </row>
    <row r="198" spans="20:22">
      <c r="T198" s="60">
        <v>44540</v>
      </c>
      <c r="U198" s="28">
        <v>10500</v>
      </c>
      <c r="V198" s="115" t="s">
        <v>653</v>
      </c>
    </row>
    <row r="199" spans="20:22">
      <c r="T199" s="60">
        <v>44540</v>
      </c>
      <c r="U199" s="28">
        <v>15137</v>
      </c>
      <c r="V199" s="115" t="s">
        <v>149</v>
      </c>
    </row>
    <row r="200" spans="20:22">
      <c r="T200" s="60">
        <v>44541</v>
      </c>
      <c r="U200" s="28">
        <v>9475</v>
      </c>
      <c r="V200" s="115" t="s">
        <v>186</v>
      </c>
    </row>
    <row r="201" spans="20:22">
      <c r="T201" s="60">
        <v>44541</v>
      </c>
      <c r="U201" s="28">
        <v>1500</v>
      </c>
      <c r="V201" s="115" t="s">
        <v>654</v>
      </c>
    </row>
    <row r="202" spans="20:22">
      <c r="T202" s="60">
        <v>44542</v>
      </c>
      <c r="U202" s="28">
        <v>120700</v>
      </c>
      <c r="V202" s="115" t="s">
        <v>655</v>
      </c>
    </row>
    <row r="203" spans="20:22">
      <c r="T203" s="60">
        <v>44542</v>
      </c>
      <c r="U203" s="28">
        <v>4800</v>
      </c>
      <c r="V203" s="115">
        <v>9441615379</v>
      </c>
    </row>
    <row r="204" spans="20:22">
      <c r="T204" s="60">
        <v>44542</v>
      </c>
      <c r="U204" s="28">
        <v>500</v>
      </c>
      <c r="V204" s="115" t="s">
        <v>656</v>
      </c>
    </row>
    <row r="205" spans="20:22">
      <c r="T205" s="60">
        <v>44542</v>
      </c>
      <c r="U205" s="28">
        <v>2000</v>
      </c>
      <c r="V205" s="115">
        <v>9640594013</v>
      </c>
    </row>
    <row r="206" spans="20:22">
      <c r="T206" s="60">
        <v>44542</v>
      </c>
      <c r="U206" s="28">
        <v>1000</v>
      </c>
      <c r="V206" s="115">
        <v>9912564041</v>
      </c>
    </row>
    <row r="207" spans="20:22">
      <c r="T207" s="60">
        <v>44543</v>
      </c>
      <c r="U207" s="28">
        <v>2000</v>
      </c>
      <c r="V207" s="115" t="s">
        <v>657</v>
      </c>
    </row>
    <row r="208" spans="20:22">
      <c r="T208" s="60">
        <v>44544</v>
      </c>
      <c r="U208" s="28">
        <v>11000</v>
      </c>
      <c r="V208" s="115" t="s">
        <v>459</v>
      </c>
    </row>
    <row r="209" spans="20:22">
      <c r="T209" s="60">
        <v>44544</v>
      </c>
      <c r="U209" s="28">
        <v>5000</v>
      </c>
      <c r="V209" s="115" t="s">
        <v>658</v>
      </c>
    </row>
    <row r="210" spans="20:22">
      <c r="T210" s="60">
        <v>44544</v>
      </c>
      <c r="U210" s="28">
        <v>5000</v>
      </c>
      <c r="V210" s="115" t="s">
        <v>659</v>
      </c>
    </row>
    <row r="211" spans="20:22">
      <c r="T211" s="60">
        <v>44544</v>
      </c>
      <c r="U211" s="28">
        <v>2700</v>
      </c>
      <c r="V211" s="115" t="s">
        <v>660</v>
      </c>
    </row>
    <row r="212" spans="20:22">
      <c r="T212" s="60">
        <v>44545</v>
      </c>
      <c r="U212" s="28">
        <v>5200</v>
      </c>
      <c r="V212" s="115" t="s">
        <v>653</v>
      </c>
    </row>
    <row r="213" spans="20:22">
      <c r="T213" s="60">
        <v>44546</v>
      </c>
      <c r="U213" s="28">
        <v>10000</v>
      </c>
      <c r="V213" s="115"/>
    </row>
    <row r="214" spans="20:22">
      <c r="T214" s="60">
        <v>44546</v>
      </c>
      <c r="U214" s="28">
        <v>5600</v>
      </c>
      <c r="V214" s="115" t="s">
        <v>661</v>
      </c>
    </row>
    <row r="215" spans="20:22">
      <c r="T215" s="60">
        <v>44546</v>
      </c>
      <c r="U215" s="28">
        <v>950</v>
      </c>
      <c r="V215" s="115" t="s">
        <v>662</v>
      </c>
    </row>
    <row r="216" spans="20:22">
      <c r="T216" s="60">
        <v>44546</v>
      </c>
      <c r="U216" s="28">
        <v>15000</v>
      </c>
      <c r="V216" s="115" t="s">
        <v>663</v>
      </c>
    </row>
    <row r="217" spans="20:22">
      <c r="T217" s="60">
        <v>44547</v>
      </c>
      <c r="U217" s="28">
        <v>5000</v>
      </c>
      <c r="V217" s="115" t="s">
        <v>664</v>
      </c>
    </row>
    <row r="218" spans="20:22">
      <c r="T218" s="60">
        <v>44547</v>
      </c>
      <c r="U218" s="28">
        <v>7977.5</v>
      </c>
      <c r="V218" s="115" t="s">
        <v>665</v>
      </c>
    </row>
    <row r="219" spans="20:22">
      <c r="T219" s="60">
        <v>44548</v>
      </c>
      <c r="U219" s="28">
        <v>70000</v>
      </c>
      <c r="V219" s="115" t="s">
        <v>666</v>
      </c>
    </row>
    <row r="220" spans="20:22">
      <c r="T220" s="60">
        <v>44549</v>
      </c>
      <c r="U220" s="28">
        <v>6500</v>
      </c>
      <c r="V220" s="115" t="s">
        <v>667</v>
      </c>
    </row>
    <row r="221" spans="20:22">
      <c r="T221" s="60">
        <v>44549</v>
      </c>
      <c r="U221" s="28">
        <v>10000</v>
      </c>
      <c r="V221" s="115">
        <v>9441352896</v>
      </c>
    </row>
    <row r="222" spans="20:22">
      <c r="T222" s="60">
        <v>44550</v>
      </c>
      <c r="U222" s="28">
        <v>30000</v>
      </c>
      <c r="V222" s="115" t="s">
        <v>649</v>
      </c>
    </row>
    <row r="223" spans="20:22">
      <c r="T223" s="60">
        <v>44550</v>
      </c>
      <c r="U223" s="28">
        <v>25000</v>
      </c>
      <c r="V223" s="115" t="s">
        <v>668</v>
      </c>
    </row>
    <row r="224" spans="20:22">
      <c r="T224" s="60">
        <v>44550</v>
      </c>
      <c r="U224" s="28">
        <v>55000</v>
      </c>
      <c r="V224" s="115" t="s">
        <v>669</v>
      </c>
    </row>
    <row r="225" spans="20:22">
      <c r="T225" s="60">
        <v>44550</v>
      </c>
      <c r="U225" s="28">
        <v>2800</v>
      </c>
      <c r="V225" s="115">
        <v>9985525365</v>
      </c>
    </row>
    <row r="226" spans="20:22">
      <c r="T226" s="60">
        <v>44551</v>
      </c>
      <c r="U226" s="28">
        <v>65000</v>
      </c>
      <c r="V226" s="115" t="s">
        <v>666</v>
      </c>
    </row>
    <row r="227" spans="20:22">
      <c r="T227" s="60">
        <v>44551</v>
      </c>
      <c r="U227" s="28">
        <v>100000</v>
      </c>
      <c r="V227" s="115" t="s">
        <v>670</v>
      </c>
    </row>
    <row r="228" spans="20:22">
      <c r="T228" s="60">
        <v>44553</v>
      </c>
      <c r="U228" s="28">
        <v>50000</v>
      </c>
      <c r="V228" s="115"/>
    </row>
    <row r="229" spans="20:22">
      <c r="T229" s="60">
        <v>44556</v>
      </c>
      <c r="U229" s="28">
        <v>11374</v>
      </c>
      <c r="V229" s="115" t="s">
        <v>149</v>
      </c>
    </row>
    <row r="230" spans="20:22">
      <c r="T230" s="60">
        <v>44558</v>
      </c>
      <c r="U230" s="28">
        <v>51438</v>
      </c>
      <c r="V230" s="115" t="s">
        <v>199</v>
      </c>
    </row>
    <row r="231" spans="20:22">
      <c r="T231" s="60">
        <v>44560</v>
      </c>
      <c r="U231" s="28">
        <v>500000</v>
      </c>
      <c r="V231" s="115" t="s">
        <v>671</v>
      </c>
    </row>
    <row r="232" spans="20:22">
      <c r="T232" s="60">
        <v>44561</v>
      </c>
      <c r="U232" s="28">
        <v>1749</v>
      </c>
      <c r="V232" s="115" t="s">
        <v>320</v>
      </c>
    </row>
    <row r="233" spans="20:22">
      <c r="T233" s="60">
        <v>44561</v>
      </c>
      <c r="U233" s="28">
        <v>8000</v>
      </c>
      <c r="V233" s="115" t="s">
        <v>672</v>
      </c>
    </row>
    <row r="234" spans="20:22">
      <c r="T234" s="60">
        <v>44562</v>
      </c>
      <c r="U234" s="28">
        <v>5000</v>
      </c>
      <c r="V234" s="115" t="s">
        <v>659</v>
      </c>
    </row>
    <row r="235" spans="20:22">
      <c r="T235" s="60">
        <v>44562</v>
      </c>
      <c r="U235" s="28">
        <v>35000</v>
      </c>
      <c r="V235" s="115" t="s">
        <v>649</v>
      </c>
    </row>
    <row r="236" spans="20:22">
      <c r="T236" s="60">
        <v>44563</v>
      </c>
      <c r="U236" s="28">
        <v>1850</v>
      </c>
      <c r="V236" s="115" t="s">
        <v>673</v>
      </c>
    </row>
    <row r="237" spans="20:22">
      <c r="T237" s="60">
        <v>44563</v>
      </c>
      <c r="U237" s="28">
        <v>10000</v>
      </c>
      <c r="V237" s="115" t="s">
        <v>649</v>
      </c>
    </row>
    <row r="238" spans="20:22">
      <c r="T238" s="60">
        <v>44564</v>
      </c>
      <c r="U238" s="28">
        <v>500000</v>
      </c>
      <c r="V238" s="115" t="s">
        <v>674</v>
      </c>
    </row>
    <row r="239" spans="20:22">
      <c r="T239" s="60">
        <v>44565</v>
      </c>
      <c r="U239" s="28">
        <v>7300</v>
      </c>
      <c r="V239" s="115" t="s">
        <v>649</v>
      </c>
    </row>
    <row r="240" spans="20:22">
      <c r="T240" s="60">
        <v>44565</v>
      </c>
      <c r="U240" s="28">
        <v>10200</v>
      </c>
      <c r="V240" s="115">
        <v>8143282239</v>
      </c>
    </row>
    <row r="241" spans="20:22">
      <c r="T241" s="60">
        <v>44565</v>
      </c>
      <c r="U241" s="28">
        <v>10000</v>
      </c>
      <c r="V241" s="115">
        <v>9989629829</v>
      </c>
    </row>
    <row r="242" spans="20:22">
      <c r="T242" s="60">
        <v>44565</v>
      </c>
      <c r="U242" s="28">
        <v>40000</v>
      </c>
      <c r="V242" s="115" t="s">
        <v>675</v>
      </c>
    </row>
    <row r="243" spans="20:22">
      <c r="T243" s="60">
        <v>44566</v>
      </c>
      <c r="U243" s="28">
        <v>5000</v>
      </c>
      <c r="V243" s="115" t="s">
        <v>477</v>
      </c>
    </row>
    <row r="244" spans="20:22">
      <c r="T244" s="60">
        <v>44566</v>
      </c>
      <c r="U244" s="28">
        <v>13040</v>
      </c>
      <c r="V244" s="115" t="s">
        <v>675</v>
      </c>
    </row>
    <row r="245" spans="20:22">
      <c r="T245" s="60">
        <v>44566</v>
      </c>
      <c r="U245" s="28">
        <v>300000</v>
      </c>
      <c r="V245" s="115" t="s">
        <v>676</v>
      </c>
    </row>
    <row r="246" spans="20:22">
      <c r="T246" s="60">
        <v>44566</v>
      </c>
      <c r="U246" s="28">
        <v>28000</v>
      </c>
      <c r="V246" s="115" t="s">
        <v>677</v>
      </c>
    </row>
    <row r="247" spans="20:22">
      <c r="T247" s="60">
        <v>44566</v>
      </c>
      <c r="U247" s="28">
        <v>250000</v>
      </c>
      <c r="V247" s="115" t="s">
        <v>678</v>
      </c>
    </row>
    <row r="248" spans="20:22">
      <c r="T248" s="60">
        <v>44566</v>
      </c>
      <c r="U248" s="28">
        <v>40114.5</v>
      </c>
      <c r="V248" s="115" t="s">
        <v>186</v>
      </c>
    </row>
    <row r="249" spans="20:22">
      <c r="T249" s="60"/>
      <c r="U249" s="28"/>
      <c r="V249" s="115"/>
    </row>
    <row r="250" spans="20:22">
      <c r="T250" s="60"/>
      <c r="U250" s="28"/>
      <c r="V250" s="115"/>
    </row>
    <row r="251" spans="20:22">
      <c r="T251" s="60"/>
      <c r="U251" s="28"/>
      <c r="V251" s="115"/>
    </row>
    <row r="252" spans="20:22">
      <c r="T252" s="60"/>
      <c r="U252" s="28"/>
      <c r="V252" s="115"/>
    </row>
    <row r="253" spans="20:22">
      <c r="T253" s="60"/>
      <c r="U253" s="28"/>
      <c r="V253" s="115"/>
    </row>
    <row r="254" spans="20:22">
      <c r="T254" s="60"/>
      <c r="U254" s="28"/>
      <c r="V254" s="115"/>
    </row>
    <row r="255" spans="20:22">
      <c r="T255" s="60"/>
      <c r="U255" s="28"/>
      <c r="V255" s="115"/>
    </row>
    <row r="256" spans="20:22">
      <c r="T256" s="60"/>
      <c r="U256" s="28"/>
      <c r="V256" s="115"/>
    </row>
    <row r="257" spans="20:22">
      <c r="T257" s="60"/>
      <c r="U257" s="28"/>
      <c r="V257" s="115"/>
    </row>
    <row r="258" spans="20:22">
      <c r="T258" s="60"/>
      <c r="U258" s="28"/>
      <c r="V258" s="115"/>
    </row>
    <row r="259" spans="20:22">
      <c r="T259" s="60"/>
      <c r="U259" s="28"/>
      <c r="V259" s="115"/>
    </row>
    <row r="260" spans="20:22">
      <c r="T260" s="60"/>
      <c r="U260" s="28"/>
      <c r="V260" s="115"/>
    </row>
    <row r="261" spans="20:22">
      <c r="T261" s="27"/>
      <c r="U261" s="28"/>
      <c r="V261" s="36"/>
    </row>
    <row r="262" spans="20:22" ht="15" thickBot="1">
      <c r="T262" s="37"/>
      <c r="U262" s="38"/>
      <c r="V262" s="39"/>
    </row>
  </sheetData>
  <mergeCells count="3">
    <mergeCell ref="J7:P7"/>
    <mergeCell ref="J39:P39"/>
    <mergeCell ref="J64:P64"/>
  </mergeCells>
  <pageMargins left="0.7" right="0.7" top="0.75" bottom="0.75" header="0.3" footer="0.3"/>
  <pageSetup orientation="portrait" r:id="rId1"/>
  <ignoredErrors>
    <ignoredError sqref="F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C0B1-98B4-4682-AD5A-37A5D7D895AF}">
  <dimension ref="A3:U263"/>
  <sheetViews>
    <sheetView topLeftCell="A241" zoomScale="70" zoomScaleNormal="70" workbookViewId="0">
      <selection activeCell="J288" sqref="J288"/>
    </sheetView>
  </sheetViews>
  <sheetFormatPr defaultRowHeight="14.4"/>
  <cols>
    <col min="4" max="4" width="10.33203125" bestFit="1" customWidth="1"/>
    <col min="7" max="7" width="14.33203125" customWidth="1"/>
    <col min="8" max="8" width="14.33203125" bestFit="1" customWidth="1"/>
    <col min="9" max="9" width="16.109375" customWidth="1"/>
    <col min="10" max="10" width="19.44140625" bestFit="1" customWidth="1"/>
    <col min="11" max="11" width="13.6640625" bestFit="1" customWidth="1"/>
    <col min="12" max="12" width="13.44140625" bestFit="1" customWidth="1"/>
    <col min="13" max="13" width="60.88671875" bestFit="1" customWidth="1"/>
    <col min="14" max="14" width="20.6640625" customWidth="1"/>
    <col min="15" max="15" width="12.5546875" bestFit="1" customWidth="1"/>
  </cols>
  <sheetData>
    <row r="3" spans="3:18" ht="23.4">
      <c r="F3" s="239" t="s">
        <v>558</v>
      </c>
      <c r="G3" s="239"/>
      <c r="H3" s="239"/>
      <c r="I3" s="239"/>
      <c r="J3" s="239"/>
      <c r="K3" s="239"/>
      <c r="L3" s="239"/>
      <c r="M3" s="239"/>
      <c r="N3" s="188"/>
    </row>
    <row r="4" spans="3:18" ht="15" thickBot="1"/>
    <row r="5" spans="3:18" ht="26.4" thickBot="1">
      <c r="C5" s="236" t="s">
        <v>50</v>
      </c>
      <c r="D5" s="237"/>
      <c r="E5" s="237"/>
      <c r="F5" s="237"/>
      <c r="G5" s="237"/>
      <c r="H5" s="237"/>
      <c r="I5" s="237"/>
      <c r="J5" s="237"/>
      <c r="K5" s="237"/>
      <c r="L5" s="237"/>
      <c r="M5" s="238"/>
      <c r="N5" s="190"/>
      <c r="O5" s="30"/>
      <c r="Q5" s="213"/>
      <c r="R5" t="s">
        <v>584</v>
      </c>
    </row>
    <row r="6" spans="3:18" ht="26.4" thickBot="1">
      <c r="C6" s="160"/>
      <c r="D6" s="161"/>
      <c r="E6" s="161"/>
      <c r="F6" s="161"/>
      <c r="G6" s="161"/>
      <c r="H6" s="161"/>
      <c r="I6" s="161"/>
      <c r="J6" s="161"/>
      <c r="K6" s="161"/>
      <c r="L6" s="161"/>
      <c r="M6" s="162"/>
      <c r="N6" s="190"/>
      <c r="O6" s="30"/>
      <c r="Q6" s="209"/>
      <c r="R6" t="s">
        <v>344</v>
      </c>
    </row>
    <row r="7" spans="3:18" ht="26.4" thickBot="1">
      <c r="C7" s="160"/>
      <c r="D7" s="161"/>
      <c r="E7" s="161"/>
      <c r="F7" s="161"/>
      <c r="G7" s="161"/>
      <c r="H7" s="161"/>
      <c r="I7" s="161"/>
      <c r="J7" s="161"/>
      <c r="K7" s="161"/>
      <c r="L7" s="161"/>
      <c r="M7" s="162"/>
      <c r="N7" s="190"/>
      <c r="O7" s="30"/>
    </row>
    <row r="8" spans="3:18" ht="15" thickBot="1">
      <c r="C8" s="31"/>
    </row>
    <row r="9" spans="3:18" ht="15.6">
      <c r="C9" s="27"/>
      <c r="D9" s="32" t="s">
        <v>47</v>
      </c>
      <c r="E9" s="33" t="s">
        <v>48</v>
      </c>
      <c r="F9" s="33" t="s">
        <v>49</v>
      </c>
      <c r="G9" s="34" t="s">
        <v>41</v>
      </c>
      <c r="H9" s="33" t="s">
        <v>42</v>
      </c>
      <c r="I9" s="33" t="s">
        <v>28</v>
      </c>
      <c r="J9" s="33" t="s">
        <v>43</v>
      </c>
      <c r="K9" s="33" t="s">
        <v>44</v>
      </c>
      <c r="L9" s="33" t="s">
        <v>3</v>
      </c>
      <c r="M9" s="33" t="s">
        <v>45</v>
      </c>
      <c r="N9" s="191" t="s">
        <v>559</v>
      </c>
      <c r="O9" s="35" t="s">
        <v>46</v>
      </c>
    </row>
    <row r="10" spans="3:18">
      <c r="C10" s="27"/>
      <c r="D10" s="28">
        <v>1</v>
      </c>
      <c r="E10" s="119">
        <v>146</v>
      </c>
      <c r="F10" s="28">
        <v>1</v>
      </c>
      <c r="G10" s="40">
        <v>44296</v>
      </c>
      <c r="H10" s="28" t="s">
        <v>56</v>
      </c>
      <c r="I10" s="28">
        <v>160</v>
      </c>
      <c r="J10" s="28" t="s">
        <v>54</v>
      </c>
      <c r="K10" s="28">
        <v>79.099999999999994</v>
      </c>
      <c r="L10" s="28">
        <v>2700</v>
      </c>
      <c r="M10" s="28" t="s">
        <v>170</v>
      </c>
      <c r="N10" s="192" t="s">
        <v>447</v>
      </c>
      <c r="O10" s="36"/>
    </row>
    <row r="11" spans="3:18">
      <c r="C11" s="27"/>
      <c r="D11" s="28">
        <v>2</v>
      </c>
      <c r="E11" s="119">
        <v>391</v>
      </c>
      <c r="F11" s="28">
        <v>2</v>
      </c>
      <c r="G11" s="40">
        <v>44312</v>
      </c>
      <c r="H11" s="28" t="s">
        <v>53</v>
      </c>
      <c r="I11" s="28">
        <v>60</v>
      </c>
      <c r="J11" s="28" t="s">
        <v>54</v>
      </c>
      <c r="K11" s="28">
        <v>30</v>
      </c>
      <c r="L11" s="28">
        <v>3150</v>
      </c>
      <c r="M11" s="28" t="s">
        <v>55</v>
      </c>
      <c r="N11" s="192" t="s">
        <v>447</v>
      </c>
      <c r="O11" s="36"/>
    </row>
    <row r="12" spans="3:18">
      <c r="C12" s="27"/>
      <c r="D12" s="28">
        <v>3</v>
      </c>
      <c r="E12" s="119">
        <v>480</v>
      </c>
      <c r="F12" s="28">
        <v>3</v>
      </c>
      <c r="G12" s="40">
        <v>44317</v>
      </c>
      <c r="H12" s="28" t="s">
        <v>56</v>
      </c>
      <c r="I12" s="28">
        <v>170</v>
      </c>
      <c r="J12" s="28" t="s">
        <v>54</v>
      </c>
      <c r="K12" s="28">
        <v>85</v>
      </c>
      <c r="L12" s="28">
        <v>3000</v>
      </c>
      <c r="M12" s="28" t="s">
        <v>57</v>
      </c>
      <c r="N12" s="192" t="s">
        <v>447</v>
      </c>
      <c r="O12" s="36"/>
    </row>
    <row r="13" spans="3:18">
      <c r="C13" s="27"/>
      <c r="D13" s="28">
        <v>4</v>
      </c>
      <c r="E13" s="119">
        <v>524</v>
      </c>
      <c r="F13" s="28">
        <v>4</v>
      </c>
      <c r="G13" s="40">
        <v>44319</v>
      </c>
      <c r="H13" s="28" t="s">
        <v>56</v>
      </c>
      <c r="I13" s="28">
        <v>132</v>
      </c>
      <c r="J13" s="28" t="s">
        <v>54</v>
      </c>
      <c r="K13" s="28">
        <v>66</v>
      </c>
      <c r="L13" s="28">
        <v>3000</v>
      </c>
      <c r="M13" s="28" t="s">
        <v>58</v>
      </c>
      <c r="N13" s="192" t="s">
        <v>447</v>
      </c>
      <c r="O13" s="36"/>
      <c r="R13" s="28"/>
    </row>
    <row r="14" spans="3:18">
      <c r="C14" s="27"/>
      <c r="D14" s="28">
        <v>5</v>
      </c>
      <c r="E14" s="119">
        <v>880</v>
      </c>
      <c r="F14" s="28">
        <v>5</v>
      </c>
      <c r="G14" s="40">
        <v>44334</v>
      </c>
      <c r="H14" s="28" t="s">
        <v>60</v>
      </c>
      <c r="I14" s="28">
        <v>114</v>
      </c>
      <c r="J14" s="28" t="s">
        <v>54</v>
      </c>
      <c r="K14" s="28">
        <v>57</v>
      </c>
      <c r="L14" s="28">
        <v>3080</v>
      </c>
      <c r="M14" s="28" t="s">
        <v>61</v>
      </c>
      <c r="N14" s="192" t="s">
        <v>447</v>
      </c>
      <c r="O14" s="36"/>
      <c r="R14" s="139"/>
    </row>
    <row r="15" spans="3:18">
      <c r="C15" s="27"/>
      <c r="D15" s="28">
        <v>6</v>
      </c>
      <c r="E15" s="119">
        <v>737</v>
      </c>
      <c r="F15" s="28">
        <v>6</v>
      </c>
      <c r="G15" s="40">
        <v>44338</v>
      </c>
      <c r="H15" s="28" t="s">
        <v>135</v>
      </c>
      <c r="I15" s="28">
        <v>256</v>
      </c>
      <c r="J15" s="28" t="s">
        <v>131</v>
      </c>
      <c r="K15" s="28">
        <v>128</v>
      </c>
      <c r="L15" s="28">
        <v>3150</v>
      </c>
      <c r="M15" s="28" t="s">
        <v>136</v>
      </c>
      <c r="N15" s="192" t="s">
        <v>560</v>
      </c>
      <c r="O15" s="36"/>
      <c r="P15" s="129"/>
      <c r="R15" s="139"/>
    </row>
    <row r="16" spans="3:18">
      <c r="C16" s="27"/>
      <c r="D16" s="28">
        <v>7</v>
      </c>
      <c r="E16" s="119">
        <v>700</v>
      </c>
      <c r="F16" s="28">
        <v>7</v>
      </c>
      <c r="G16" s="40">
        <v>44338</v>
      </c>
      <c r="H16" s="28" t="s">
        <v>137</v>
      </c>
      <c r="I16" s="28">
        <v>62</v>
      </c>
      <c r="J16" s="28" t="s">
        <v>131</v>
      </c>
      <c r="K16" s="28">
        <v>31</v>
      </c>
      <c r="L16" s="28">
        <v>3150</v>
      </c>
      <c r="M16" s="28" t="s">
        <v>138</v>
      </c>
      <c r="N16" s="192" t="s">
        <v>560</v>
      </c>
      <c r="O16" s="36"/>
      <c r="P16" s="129"/>
      <c r="R16" s="139"/>
    </row>
    <row r="17" spans="3:18">
      <c r="C17" s="27"/>
      <c r="D17" s="28">
        <v>8</v>
      </c>
      <c r="E17" s="119">
        <v>708</v>
      </c>
      <c r="F17" s="28">
        <v>8</v>
      </c>
      <c r="G17" s="40">
        <v>44338</v>
      </c>
      <c r="H17" s="28" t="s">
        <v>56</v>
      </c>
      <c r="I17" s="28">
        <v>164</v>
      </c>
      <c r="J17" s="28" t="s">
        <v>131</v>
      </c>
      <c r="K17" s="28">
        <v>82</v>
      </c>
      <c r="L17" s="28">
        <v>3150</v>
      </c>
      <c r="M17" s="28" t="s">
        <v>99</v>
      </c>
      <c r="N17" s="192" t="s">
        <v>560</v>
      </c>
      <c r="O17" s="36">
        <v>3</v>
      </c>
      <c r="P17" s="121"/>
      <c r="Q17" s="128"/>
      <c r="R17" s="140"/>
    </row>
    <row r="18" spans="3:18">
      <c r="C18" s="27"/>
      <c r="D18" s="28">
        <v>9</v>
      </c>
      <c r="E18" s="119">
        <v>736</v>
      </c>
      <c r="F18" s="28">
        <v>9</v>
      </c>
      <c r="G18" s="40">
        <v>44338</v>
      </c>
      <c r="H18" s="28" t="s">
        <v>56</v>
      </c>
      <c r="I18" s="28">
        <v>180</v>
      </c>
      <c r="J18" s="28" t="s">
        <v>131</v>
      </c>
      <c r="K18" s="28">
        <v>97.2</v>
      </c>
      <c r="L18" s="28">
        <v>3150</v>
      </c>
      <c r="M18" s="28" t="s">
        <v>95</v>
      </c>
      <c r="N18" s="192" t="s">
        <v>560</v>
      </c>
      <c r="O18" s="36"/>
      <c r="Q18" s="128"/>
      <c r="R18" s="139"/>
    </row>
    <row r="19" spans="3:18">
      <c r="C19" s="27"/>
      <c r="D19" s="28">
        <v>10</v>
      </c>
      <c r="E19" s="119">
        <v>748</v>
      </c>
      <c r="F19" s="28">
        <v>10</v>
      </c>
      <c r="G19" s="40">
        <v>44338</v>
      </c>
      <c r="H19" s="28" t="s">
        <v>56</v>
      </c>
      <c r="I19" s="28">
        <v>185</v>
      </c>
      <c r="J19" s="28" t="s">
        <v>131</v>
      </c>
      <c r="K19" s="28">
        <v>92.5</v>
      </c>
      <c r="L19" s="28">
        <v>3150</v>
      </c>
      <c r="M19" s="28" t="s">
        <v>64</v>
      </c>
      <c r="N19" s="192" t="s">
        <v>560</v>
      </c>
      <c r="O19" s="36"/>
      <c r="Q19" s="128"/>
      <c r="R19" s="139"/>
    </row>
    <row r="20" spans="3:18">
      <c r="C20" s="27"/>
      <c r="D20" s="28">
        <v>11</v>
      </c>
      <c r="E20" s="119">
        <v>754</v>
      </c>
      <c r="F20" s="28">
        <v>11</v>
      </c>
      <c r="G20" s="40">
        <v>44339</v>
      </c>
      <c r="H20" s="28" t="s">
        <v>56</v>
      </c>
      <c r="I20" s="28">
        <v>180</v>
      </c>
      <c r="J20" s="28" t="s">
        <v>131</v>
      </c>
      <c r="K20" s="28">
        <v>97.2</v>
      </c>
      <c r="L20" s="28">
        <v>2950</v>
      </c>
      <c r="M20" s="28" t="s">
        <v>95</v>
      </c>
      <c r="N20" s="192" t="s">
        <v>560</v>
      </c>
      <c r="O20" s="36"/>
      <c r="P20" s="129"/>
      <c r="Q20" s="128"/>
      <c r="R20" s="139"/>
    </row>
    <row r="21" spans="3:18">
      <c r="C21" s="27"/>
      <c r="D21" s="28">
        <v>12</v>
      </c>
      <c r="E21" s="119">
        <v>755</v>
      </c>
      <c r="F21" s="28">
        <v>12</v>
      </c>
      <c r="G21" s="40">
        <v>44339</v>
      </c>
      <c r="H21" s="28" t="s">
        <v>135</v>
      </c>
      <c r="I21" s="28">
        <v>262</v>
      </c>
      <c r="J21" s="28" t="s">
        <v>131</v>
      </c>
      <c r="K21" s="28">
        <v>131</v>
      </c>
      <c r="L21" s="28">
        <v>2950</v>
      </c>
      <c r="M21" s="28" t="s">
        <v>139</v>
      </c>
      <c r="N21" s="192" t="s">
        <v>560</v>
      </c>
      <c r="O21" s="36"/>
      <c r="P21" s="129"/>
      <c r="Q21" s="128"/>
      <c r="R21" s="139"/>
    </row>
    <row r="22" spans="3:18">
      <c r="C22" s="27"/>
      <c r="D22" s="28">
        <v>13</v>
      </c>
      <c r="E22" s="119">
        <v>769</v>
      </c>
      <c r="F22" s="28">
        <v>13</v>
      </c>
      <c r="G22" s="40">
        <v>44340</v>
      </c>
      <c r="H22" s="28" t="s">
        <v>56</v>
      </c>
      <c r="I22" s="28">
        <v>155</v>
      </c>
      <c r="J22" s="28" t="s">
        <v>131</v>
      </c>
      <c r="K22" s="28">
        <v>81</v>
      </c>
      <c r="L22" s="28">
        <v>2950</v>
      </c>
      <c r="M22" s="28" t="s">
        <v>140</v>
      </c>
      <c r="N22" s="192" t="s">
        <v>560</v>
      </c>
      <c r="O22" s="36">
        <v>6</v>
      </c>
      <c r="P22" s="129"/>
      <c r="Q22" s="130"/>
      <c r="R22" s="139"/>
    </row>
    <row r="23" spans="3:18">
      <c r="C23" s="27"/>
      <c r="D23" s="28">
        <v>14</v>
      </c>
      <c r="E23" s="119">
        <v>793</v>
      </c>
      <c r="F23" s="141">
        <v>14</v>
      </c>
      <c r="G23" s="40">
        <v>44341</v>
      </c>
      <c r="H23" s="28" t="s">
        <v>141</v>
      </c>
      <c r="I23" s="28">
        <v>215</v>
      </c>
      <c r="J23" s="28" t="s">
        <v>131</v>
      </c>
      <c r="K23" s="28">
        <v>107.5</v>
      </c>
      <c r="L23" s="28">
        <v>2950</v>
      </c>
      <c r="M23" s="28" t="s">
        <v>142</v>
      </c>
      <c r="N23" s="192" t="s">
        <v>560</v>
      </c>
      <c r="O23" s="36"/>
      <c r="Q23" s="130"/>
      <c r="R23" s="139"/>
    </row>
    <row r="24" spans="3:18">
      <c r="C24" s="27"/>
      <c r="D24" s="28">
        <v>15</v>
      </c>
      <c r="E24" s="119">
        <v>791</v>
      </c>
      <c r="F24" s="28">
        <v>15</v>
      </c>
      <c r="G24" s="40">
        <v>44341</v>
      </c>
      <c r="H24" s="28" t="s">
        <v>56</v>
      </c>
      <c r="I24" s="28">
        <v>164</v>
      </c>
      <c r="J24" s="28" t="s">
        <v>131</v>
      </c>
      <c r="K24" s="28">
        <v>82</v>
      </c>
      <c r="L24" s="28">
        <v>2950</v>
      </c>
      <c r="M24" s="28" t="s">
        <v>133</v>
      </c>
      <c r="N24" s="192" t="s">
        <v>560</v>
      </c>
      <c r="O24" s="36"/>
      <c r="Q24" s="130"/>
      <c r="R24" s="139"/>
    </row>
    <row r="25" spans="3:18">
      <c r="C25" s="27"/>
      <c r="D25" s="28">
        <v>16</v>
      </c>
      <c r="E25" s="119">
        <v>833</v>
      </c>
      <c r="F25" s="28">
        <v>16</v>
      </c>
      <c r="G25" s="40">
        <v>44343</v>
      </c>
      <c r="H25" s="28" t="s">
        <v>56</v>
      </c>
      <c r="I25" s="28">
        <v>200</v>
      </c>
      <c r="J25" s="28" t="s">
        <v>131</v>
      </c>
      <c r="K25" s="28">
        <v>100</v>
      </c>
      <c r="L25" s="28">
        <v>2950</v>
      </c>
      <c r="M25" s="28" t="s">
        <v>175</v>
      </c>
      <c r="N25" s="192" t="s">
        <v>560</v>
      </c>
      <c r="O25" s="36"/>
      <c r="P25" s="129"/>
      <c r="Q25" s="130"/>
      <c r="R25" s="139"/>
    </row>
    <row r="26" spans="3:18">
      <c r="C26" s="27"/>
      <c r="D26" s="28">
        <v>17</v>
      </c>
      <c r="E26" s="119">
        <v>850</v>
      </c>
      <c r="F26" s="28">
        <v>17</v>
      </c>
      <c r="G26" s="40">
        <v>44343</v>
      </c>
      <c r="H26" s="28" t="s">
        <v>56</v>
      </c>
      <c r="I26" s="28">
        <v>188</v>
      </c>
      <c r="J26" s="28" t="s">
        <v>131</v>
      </c>
      <c r="K26" s="28">
        <v>98.2</v>
      </c>
      <c r="L26" s="28">
        <v>2950</v>
      </c>
      <c r="M26" s="28" t="s">
        <v>176</v>
      </c>
      <c r="N26" s="192" t="s">
        <v>560</v>
      </c>
      <c r="O26" s="36">
        <v>6</v>
      </c>
      <c r="P26" s="129"/>
      <c r="Q26" s="130"/>
      <c r="R26" s="139"/>
    </row>
    <row r="27" spans="3:18">
      <c r="C27" s="27"/>
      <c r="D27" s="28">
        <v>18</v>
      </c>
      <c r="E27" s="119">
        <v>851</v>
      </c>
      <c r="F27" s="28">
        <v>18</v>
      </c>
      <c r="G27" s="40">
        <v>44344</v>
      </c>
      <c r="H27" s="28" t="s">
        <v>135</v>
      </c>
      <c r="I27" s="28">
        <v>164</v>
      </c>
      <c r="J27" s="28" t="s">
        <v>131</v>
      </c>
      <c r="K27" s="28">
        <v>93</v>
      </c>
      <c r="L27" s="28">
        <v>2950</v>
      </c>
      <c r="M27" s="28" t="s">
        <v>177</v>
      </c>
      <c r="N27" s="192" t="s">
        <v>560</v>
      </c>
      <c r="O27" s="36"/>
      <c r="P27" s="129"/>
      <c r="Q27" s="130"/>
      <c r="R27" s="139"/>
    </row>
    <row r="28" spans="3:18">
      <c r="C28" s="27"/>
      <c r="D28" s="28">
        <v>19</v>
      </c>
      <c r="E28" s="119">
        <v>876</v>
      </c>
      <c r="F28" s="28">
        <v>19</v>
      </c>
      <c r="G28" s="40">
        <v>44345</v>
      </c>
      <c r="H28" s="28" t="s">
        <v>56</v>
      </c>
      <c r="I28" s="28">
        <v>196</v>
      </c>
      <c r="J28" s="28" t="s">
        <v>131</v>
      </c>
      <c r="K28" s="28">
        <v>98</v>
      </c>
      <c r="L28" s="28">
        <v>2950</v>
      </c>
      <c r="M28" s="28" t="s">
        <v>133</v>
      </c>
      <c r="N28" s="192" t="s">
        <v>560</v>
      </c>
      <c r="O28" s="36"/>
      <c r="Q28" s="130"/>
      <c r="R28" s="141"/>
    </row>
    <row r="29" spans="3:18">
      <c r="C29" s="27"/>
      <c r="D29" s="28">
        <v>20</v>
      </c>
      <c r="E29" s="119">
        <v>891</v>
      </c>
      <c r="F29" s="28">
        <v>20</v>
      </c>
      <c r="G29" s="40">
        <v>44345</v>
      </c>
      <c r="H29" s="28" t="s">
        <v>135</v>
      </c>
      <c r="I29" s="28">
        <v>287</v>
      </c>
      <c r="J29" s="28" t="s">
        <v>131</v>
      </c>
      <c r="K29" s="28">
        <v>142.6</v>
      </c>
      <c r="L29" s="28">
        <v>2950</v>
      </c>
      <c r="M29" s="28" t="s">
        <v>182</v>
      </c>
      <c r="N29" s="192" t="s">
        <v>560</v>
      </c>
      <c r="O29" s="36"/>
      <c r="Q29" s="130"/>
      <c r="R29" s="139"/>
    </row>
    <row r="30" spans="3:18" s="209" customFormat="1">
      <c r="C30" s="214"/>
      <c r="D30" s="215">
        <v>21</v>
      </c>
      <c r="E30" s="216"/>
      <c r="F30" s="215">
        <v>21</v>
      </c>
      <c r="G30" s="217"/>
      <c r="H30" s="215"/>
      <c r="I30" s="215"/>
      <c r="J30" s="215" t="s">
        <v>244</v>
      </c>
      <c r="K30" s="215"/>
      <c r="L30" s="215"/>
      <c r="M30" s="215"/>
      <c r="N30" s="218"/>
      <c r="O30" s="219"/>
      <c r="Q30" s="220"/>
      <c r="R30" s="221"/>
    </row>
    <row r="31" spans="3:18">
      <c r="C31" s="27"/>
      <c r="D31" s="28">
        <v>22</v>
      </c>
      <c r="E31" s="119">
        <v>901</v>
      </c>
      <c r="F31" s="28">
        <v>22</v>
      </c>
      <c r="G31" s="40">
        <v>44347</v>
      </c>
      <c r="H31" s="28" t="s">
        <v>56</v>
      </c>
      <c r="I31" s="28">
        <v>173</v>
      </c>
      <c r="J31" s="28" t="s">
        <v>131</v>
      </c>
      <c r="K31" s="28">
        <v>86.75</v>
      </c>
      <c r="L31" s="28">
        <v>2950</v>
      </c>
      <c r="M31" s="28" t="s">
        <v>140</v>
      </c>
      <c r="N31" s="192" t="s">
        <v>560</v>
      </c>
      <c r="O31" s="36">
        <v>6</v>
      </c>
      <c r="Q31" s="130"/>
      <c r="R31" s="139"/>
    </row>
    <row r="32" spans="3:18">
      <c r="C32" s="27"/>
      <c r="D32" s="28">
        <v>23</v>
      </c>
      <c r="E32" s="119">
        <v>887</v>
      </c>
      <c r="F32" s="28">
        <v>23</v>
      </c>
      <c r="G32" s="40">
        <v>44346</v>
      </c>
      <c r="H32" s="28" t="s">
        <v>56</v>
      </c>
      <c r="I32" s="28">
        <v>190</v>
      </c>
      <c r="J32" s="28" t="s">
        <v>131</v>
      </c>
      <c r="K32" s="28">
        <v>95</v>
      </c>
      <c r="L32" s="28">
        <v>2950</v>
      </c>
      <c r="M32" s="28" t="s">
        <v>246</v>
      </c>
      <c r="N32" s="192" t="s">
        <v>560</v>
      </c>
      <c r="O32" s="36">
        <v>1</v>
      </c>
      <c r="P32" s="121"/>
      <c r="Q32" s="130"/>
      <c r="R32" s="139"/>
    </row>
    <row r="33" spans="3:18">
      <c r="C33" s="27"/>
      <c r="D33" s="28">
        <v>24</v>
      </c>
      <c r="E33" s="119">
        <v>926</v>
      </c>
      <c r="F33" s="28">
        <v>24</v>
      </c>
      <c r="G33" s="40">
        <v>44348</v>
      </c>
      <c r="H33" s="28" t="s">
        <v>56</v>
      </c>
      <c r="I33" s="28">
        <v>146</v>
      </c>
      <c r="J33" s="28" t="s">
        <v>131</v>
      </c>
      <c r="K33" s="28">
        <v>73</v>
      </c>
      <c r="L33" s="28">
        <v>2770</v>
      </c>
      <c r="M33" s="28" t="s">
        <v>133</v>
      </c>
      <c r="N33" s="192" t="s">
        <v>560</v>
      </c>
      <c r="O33" s="36"/>
      <c r="Q33" s="130"/>
      <c r="R33" s="139"/>
    </row>
    <row r="34" spans="3:18">
      <c r="C34" s="27"/>
      <c r="D34" s="28">
        <v>25</v>
      </c>
      <c r="E34" s="119">
        <v>951</v>
      </c>
      <c r="F34" s="28">
        <v>25</v>
      </c>
      <c r="G34" s="40">
        <v>44349</v>
      </c>
      <c r="H34" s="28" t="s">
        <v>56</v>
      </c>
      <c r="I34" s="28">
        <v>146</v>
      </c>
      <c r="J34" s="28" t="s">
        <v>131</v>
      </c>
      <c r="K34" s="28">
        <v>73</v>
      </c>
      <c r="L34" s="28">
        <v>2770</v>
      </c>
      <c r="M34" s="28" t="s">
        <v>247</v>
      </c>
      <c r="N34" s="192" t="s">
        <v>560</v>
      </c>
      <c r="O34" s="36"/>
      <c r="Q34" s="130"/>
    </row>
    <row r="35" spans="3:18">
      <c r="C35" s="27"/>
      <c r="D35" s="28">
        <v>26</v>
      </c>
      <c r="E35" s="119">
        <v>944</v>
      </c>
      <c r="F35" s="28">
        <v>26</v>
      </c>
      <c r="G35" s="40">
        <v>44349</v>
      </c>
      <c r="H35" s="28" t="s">
        <v>135</v>
      </c>
      <c r="I35" s="28">
        <v>238</v>
      </c>
      <c r="J35" s="28" t="s">
        <v>131</v>
      </c>
      <c r="K35" s="28">
        <v>119</v>
      </c>
      <c r="L35" s="28">
        <v>2770</v>
      </c>
      <c r="M35" s="28" t="s">
        <v>136</v>
      </c>
      <c r="N35" s="192" t="s">
        <v>560</v>
      </c>
      <c r="O35" s="36"/>
      <c r="Q35" s="130"/>
    </row>
    <row r="36" spans="3:18">
      <c r="C36" s="27"/>
      <c r="D36" s="28">
        <v>27</v>
      </c>
      <c r="E36" s="119">
        <v>968</v>
      </c>
      <c r="F36" s="28">
        <v>27</v>
      </c>
      <c r="G36" s="40">
        <v>44350</v>
      </c>
      <c r="H36" s="28" t="s">
        <v>135</v>
      </c>
      <c r="I36" s="28">
        <v>264</v>
      </c>
      <c r="J36" s="28" t="s">
        <v>131</v>
      </c>
      <c r="K36" s="28">
        <v>132</v>
      </c>
      <c r="L36" s="28">
        <v>2770</v>
      </c>
      <c r="M36" s="28" t="s">
        <v>248</v>
      </c>
      <c r="N36" s="192" t="s">
        <v>560</v>
      </c>
      <c r="O36" s="36"/>
      <c r="Q36" s="130"/>
    </row>
    <row r="37" spans="3:18">
      <c r="C37" s="27"/>
      <c r="D37" s="119">
        <v>28</v>
      </c>
      <c r="E37" s="119">
        <v>987</v>
      </c>
      <c r="F37" s="119">
        <v>28</v>
      </c>
      <c r="G37" s="40">
        <v>44351</v>
      </c>
      <c r="H37" s="106" t="s">
        <v>56</v>
      </c>
      <c r="I37" s="106">
        <v>176</v>
      </c>
      <c r="J37" s="28" t="s">
        <v>131</v>
      </c>
      <c r="K37" s="106">
        <v>88</v>
      </c>
      <c r="L37" s="123">
        <v>2770</v>
      </c>
      <c r="M37" s="106" t="s">
        <v>133</v>
      </c>
      <c r="N37" s="192" t="s">
        <v>560</v>
      </c>
      <c r="O37" s="36"/>
    </row>
    <row r="38" spans="3:18">
      <c r="C38" s="27"/>
      <c r="D38" s="28">
        <v>29</v>
      </c>
      <c r="E38" s="119">
        <v>996</v>
      </c>
      <c r="F38" s="28">
        <v>29</v>
      </c>
      <c r="G38" s="40">
        <v>44352</v>
      </c>
      <c r="H38" s="28" t="s">
        <v>135</v>
      </c>
      <c r="I38" s="28">
        <v>250</v>
      </c>
      <c r="J38" s="28" t="s">
        <v>131</v>
      </c>
      <c r="K38" s="28">
        <v>122.7</v>
      </c>
      <c r="L38" s="123">
        <v>2770</v>
      </c>
      <c r="M38" s="28" t="s">
        <v>95</v>
      </c>
      <c r="N38" s="192" t="s">
        <v>560</v>
      </c>
      <c r="O38" s="36"/>
    </row>
    <row r="39" spans="3:18">
      <c r="C39" s="27"/>
      <c r="D39" s="28">
        <v>30</v>
      </c>
      <c r="E39" s="119">
        <v>1008</v>
      </c>
      <c r="F39" s="119">
        <v>30</v>
      </c>
      <c r="G39" s="40">
        <v>44353</v>
      </c>
      <c r="H39" s="28" t="s">
        <v>263</v>
      </c>
      <c r="I39" s="28">
        <v>183</v>
      </c>
      <c r="J39" s="28" t="s">
        <v>131</v>
      </c>
      <c r="K39" s="28">
        <v>91.5</v>
      </c>
      <c r="L39" s="123">
        <v>2770</v>
      </c>
      <c r="M39" s="28" t="s">
        <v>99</v>
      </c>
      <c r="N39" s="192" t="s">
        <v>560</v>
      </c>
      <c r="O39" s="36">
        <v>3</v>
      </c>
    </row>
    <row r="40" spans="3:18">
      <c r="C40" s="27"/>
      <c r="D40" s="28">
        <v>31</v>
      </c>
      <c r="E40" s="119">
        <v>1023</v>
      </c>
      <c r="F40" s="28">
        <v>31</v>
      </c>
      <c r="G40" s="40">
        <v>44354</v>
      </c>
      <c r="H40" s="28" t="s">
        <v>263</v>
      </c>
      <c r="I40" s="28">
        <v>180</v>
      </c>
      <c r="J40" s="28" t="s">
        <v>131</v>
      </c>
      <c r="K40" s="28">
        <v>95.1</v>
      </c>
      <c r="L40" s="123">
        <v>2770</v>
      </c>
      <c r="M40" s="28" t="s">
        <v>264</v>
      </c>
      <c r="N40" s="192" t="s">
        <v>560</v>
      </c>
      <c r="O40" s="36"/>
    </row>
    <row r="41" spans="3:18">
      <c r="C41" s="27"/>
      <c r="D41" s="28">
        <v>32</v>
      </c>
      <c r="E41" s="119">
        <v>1027</v>
      </c>
      <c r="F41" s="119">
        <v>32</v>
      </c>
      <c r="G41" s="40">
        <v>44354</v>
      </c>
      <c r="H41" s="28" t="s">
        <v>135</v>
      </c>
      <c r="I41" s="28">
        <v>279</v>
      </c>
      <c r="J41" s="28" t="s">
        <v>131</v>
      </c>
      <c r="K41" s="28">
        <v>138</v>
      </c>
      <c r="L41" s="123">
        <v>2770</v>
      </c>
      <c r="M41" s="28" t="s">
        <v>265</v>
      </c>
      <c r="N41" s="192" t="s">
        <v>560</v>
      </c>
      <c r="O41" s="36">
        <v>3</v>
      </c>
    </row>
    <row r="42" spans="3:18">
      <c r="C42" s="27"/>
      <c r="D42" s="28">
        <v>33</v>
      </c>
      <c r="E42" s="119">
        <v>1048</v>
      </c>
      <c r="F42" s="28">
        <v>33</v>
      </c>
      <c r="G42" s="40">
        <v>44355</v>
      </c>
      <c r="H42" s="28" t="s">
        <v>135</v>
      </c>
      <c r="I42" s="28">
        <v>219</v>
      </c>
      <c r="J42" s="28" t="s">
        <v>131</v>
      </c>
      <c r="K42" s="28">
        <v>109.5</v>
      </c>
      <c r="L42" s="123">
        <v>2770</v>
      </c>
      <c r="M42" s="28" t="s">
        <v>266</v>
      </c>
      <c r="N42" s="192" t="s">
        <v>560</v>
      </c>
      <c r="O42" s="36"/>
    </row>
    <row r="43" spans="3:18">
      <c r="C43" s="27"/>
      <c r="D43" s="28">
        <v>34</v>
      </c>
      <c r="E43" s="119">
        <v>1056</v>
      </c>
      <c r="F43" s="119">
        <v>34</v>
      </c>
      <c r="G43" s="40">
        <v>44355</v>
      </c>
      <c r="H43" s="28" t="s">
        <v>263</v>
      </c>
      <c r="I43" s="28">
        <v>172</v>
      </c>
      <c r="J43" s="28" t="s">
        <v>131</v>
      </c>
      <c r="K43" s="28">
        <v>86</v>
      </c>
      <c r="L43" s="123">
        <v>2770</v>
      </c>
      <c r="M43" s="28" t="s">
        <v>133</v>
      </c>
      <c r="N43" s="192" t="s">
        <v>560</v>
      </c>
      <c r="O43" s="36"/>
    </row>
    <row r="44" spans="3:18">
      <c r="C44" s="27"/>
      <c r="D44" s="28">
        <v>35</v>
      </c>
      <c r="E44" s="119">
        <v>1092</v>
      </c>
      <c r="F44" s="28">
        <v>35</v>
      </c>
      <c r="G44" s="40">
        <v>44358</v>
      </c>
      <c r="H44" s="28" t="s">
        <v>56</v>
      </c>
      <c r="I44" s="28">
        <v>170</v>
      </c>
      <c r="J44" s="28" t="s">
        <v>131</v>
      </c>
      <c r="K44" s="28">
        <v>92.05</v>
      </c>
      <c r="L44" s="123">
        <v>2650</v>
      </c>
      <c r="M44" s="28" t="s">
        <v>140</v>
      </c>
      <c r="N44" s="192" t="s">
        <v>560</v>
      </c>
      <c r="O44" s="36">
        <v>6</v>
      </c>
    </row>
    <row r="45" spans="3:18">
      <c r="C45" s="27"/>
      <c r="D45" s="28">
        <v>36</v>
      </c>
      <c r="E45" s="119">
        <v>1113</v>
      </c>
      <c r="F45" s="119">
        <v>36</v>
      </c>
      <c r="G45" s="40">
        <v>44359</v>
      </c>
      <c r="H45" s="28" t="s">
        <v>56</v>
      </c>
      <c r="I45" s="28">
        <v>190</v>
      </c>
      <c r="J45" s="28" t="s">
        <v>131</v>
      </c>
      <c r="K45" s="28">
        <v>95</v>
      </c>
      <c r="L45" s="123">
        <v>2470</v>
      </c>
      <c r="M45" s="28" t="s">
        <v>246</v>
      </c>
      <c r="N45" s="192" t="s">
        <v>560</v>
      </c>
      <c r="O45" s="36">
        <v>6</v>
      </c>
    </row>
    <row r="46" spans="3:18" s="26" customFormat="1">
      <c r="C46" s="107"/>
      <c r="D46" s="123">
        <v>38</v>
      </c>
      <c r="E46" s="119">
        <v>1129</v>
      </c>
      <c r="F46" s="28">
        <v>38</v>
      </c>
      <c r="G46" s="40">
        <v>44360</v>
      </c>
      <c r="H46" s="28" t="s">
        <v>56</v>
      </c>
      <c r="I46" s="123">
        <v>206</v>
      </c>
      <c r="J46" s="28" t="s">
        <v>131</v>
      </c>
      <c r="K46" s="106">
        <v>103</v>
      </c>
      <c r="L46" s="123">
        <v>2470</v>
      </c>
      <c r="M46" s="106" t="s">
        <v>272</v>
      </c>
      <c r="N46" s="192" t="s">
        <v>560</v>
      </c>
      <c r="O46" s="108">
        <v>3</v>
      </c>
    </row>
    <row r="47" spans="3:18" s="26" customFormat="1">
      <c r="C47" s="107"/>
      <c r="D47" s="123">
        <v>37</v>
      </c>
      <c r="E47" s="119">
        <v>1130</v>
      </c>
      <c r="F47" s="123">
        <v>37</v>
      </c>
      <c r="G47" s="40">
        <v>44360</v>
      </c>
      <c r="H47" s="106" t="s">
        <v>141</v>
      </c>
      <c r="I47" s="123">
        <v>250</v>
      </c>
      <c r="J47" s="28" t="s">
        <v>131</v>
      </c>
      <c r="K47" s="106">
        <f>I47/2</f>
        <v>125</v>
      </c>
      <c r="L47" s="123">
        <v>2470</v>
      </c>
      <c r="M47" s="106" t="s">
        <v>273</v>
      </c>
      <c r="N47" s="192" t="s">
        <v>560</v>
      </c>
      <c r="O47" s="108">
        <v>1</v>
      </c>
    </row>
    <row r="48" spans="3:18" s="26" customFormat="1">
      <c r="C48" s="107"/>
      <c r="D48" s="123">
        <v>39</v>
      </c>
      <c r="E48" s="119">
        <v>1146</v>
      </c>
      <c r="F48" s="123">
        <v>39</v>
      </c>
      <c r="G48" s="40">
        <v>44361</v>
      </c>
      <c r="H48" s="106" t="s">
        <v>56</v>
      </c>
      <c r="I48" s="123">
        <v>190</v>
      </c>
      <c r="J48" s="28" t="s">
        <v>131</v>
      </c>
      <c r="K48" s="106">
        <f>I48/2</f>
        <v>95</v>
      </c>
      <c r="L48" s="123">
        <v>2300</v>
      </c>
      <c r="M48" s="106" t="s">
        <v>95</v>
      </c>
      <c r="N48" s="192" t="s">
        <v>560</v>
      </c>
      <c r="O48" s="108"/>
    </row>
    <row r="49" spans="3:15" s="26" customFormat="1">
      <c r="C49" s="107"/>
      <c r="D49" s="123">
        <v>40</v>
      </c>
      <c r="E49" s="119">
        <v>1165</v>
      </c>
      <c r="F49" s="123">
        <v>40</v>
      </c>
      <c r="G49" s="40">
        <v>44363</v>
      </c>
      <c r="H49" s="106" t="s">
        <v>56</v>
      </c>
      <c r="I49" s="123">
        <v>170</v>
      </c>
      <c r="J49" s="28" t="s">
        <v>131</v>
      </c>
      <c r="K49" s="106">
        <v>95.1</v>
      </c>
      <c r="L49" s="123">
        <v>2300</v>
      </c>
      <c r="M49" s="106" t="s">
        <v>274</v>
      </c>
      <c r="N49" s="192" t="s">
        <v>560</v>
      </c>
      <c r="O49" s="108">
        <v>1</v>
      </c>
    </row>
    <row r="50" spans="3:15" s="26" customFormat="1">
      <c r="C50" s="107"/>
      <c r="D50" s="123">
        <v>41</v>
      </c>
      <c r="E50" s="119">
        <v>1218</v>
      </c>
      <c r="F50" s="123">
        <v>41</v>
      </c>
      <c r="G50" s="40">
        <v>44366</v>
      </c>
      <c r="H50" s="106" t="s">
        <v>56</v>
      </c>
      <c r="I50" s="106">
        <v>203</v>
      </c>
      <c r="J50" s="28" t="s">
        <v>131</v>
      </c>
      <c r="K50" s="106">
        <f t="shared" ref="K50:K60" si="0">I50/2</f>
        <v>101.5</v>
      </c>
      <c r="L50" s="123">
        <v>2340</v>
      </c>
      <c r="M50" s="106" t="s">
        <v>290</v>
      </c>
      <c r="N50" s="192" t="s">
        <v>560</v>
      </c>
      <c r="O50" s="108">
        <v>6</v>
      </c>
    </row>
    <row r="51" spans="3:15" s="26" customFormat="1">
      <c r="C51" s="107"/>
      <c r="D51" s="123">
        <v>42</v>
      </c>
      <c r="E51" s="119">
        <v>1230</v>
      </c>
      <c r="F51" s="123">
        <v>42</v>
      </c>
      <c r="G51" s="40">
        <v>44367</v>
      </c>
      <c r="H51" s="106" t="s">
        <v>56</v>
      </c>
      <c r="I51" s="106">
        <v>186</v>
      </c>
      <c r="J51" s="28" t="s">
        <v>131</v>
      </c>
      <c r="K51" s="106">
        <f t="shared" si="0"/>
        <v>93</v>
      </c>
      <c r="L51" s="123">
        <v>2340</v>
      </c>
      <c r="M51" s="106" t="s">
        <v>291</v>
      </c>
      <c r="N51" s="192" t="s">
        <v>560</v>
      </c>
      <c r="O51" s="108"/>
    </row>
    <row r="52" spans="3:15" s="26" customFormat="1">
      <c r="C52" s="107"/>
      <c r="D52" s="123">
        <v>43</v>
      </c>
      <c r="E52" s="119">
        <v>1244</v>
      </c>
      <c r="F52" s="123">
        <v>43</v>
      </c>
      <c r="G52" s="40">
        <v>44368</v>
      </c>
      <c r="H52" s="106" t="s">
        <v>56</v>
      </c>
      <c r="I52" s="106">
        <v>156</v>
      </c>
      <c r="J52" s="28" t="s">
        <v>131</v>
      </c>
      <c r="K52" s="106">
        <f t="shared" si="0"/>
        <v>78</v>
      </c>
      <c r="L52" s="123">
        <v>2340</v>
      </c>
      <c r="M52" s="106" t="s">
        <v>292</v>
      </c>
      <c r="N52" s="192" t="s">
        <v>560</v>
      </c>
      <c r="O52" s="108">
        <v>1</v>
      </c>
    </row>
    <row r="53" spans="3:15" s="26" customFormat="1">
      <c r="C53" s="107"/>
      <c r="D53" s="123">
        <v>44</v>
      </c>
      <c r="E53" s="119">
        <v>1256</v>
      </c>
      <c r="F53" s="123">
        <v>44</v>
      </c>
      <c r="G53" s="40">
        <v>44369</v>
      </c>
      <c r="H53" s="106" t="s">
        <v>56</v>
      </c>
      <c r="I53" s="106">
        <v>126</v>
      </c>
      <c r="J53" s="28" t="s">
        <v>131</v>
      </c>
      <c r="K53" s="106">
        <f t="shared" si="0"/>
        <v>63</v>
      </c>
      <c r="L53" s="123">
        <v>2340</v>
      </c>
      <c r="M53" s="106" t="s">
        <v>345</v>
      </c>
      <c r="N53" s="192" t="s">
        <v>560</v>
      </c>
      <c r="O53" s="108"/>
    </row>
    <row r="54" spans="3:15" s="26" customFormat="1">
      <c r="C54" s="107"/>
      <c r="D54" s="123">
        <v>45</v>
      </c>
      <c r="E54" s="119">
        <v>1648</v>
      </c>
      <c r="F54" s="123">
        <v>45</v>
      </c>
      <c r="G54" s="40">
        <v>44371</v>
      </c>
      <c r="H54" s="106" t="s">
        <v>60</v>
      </c>
      <c r="I54" s="106">
        <v>113</v>
      </c>
      <c r="J54" s="28" t="s">
        <v>54</v>
      </c>
      <c r="K54" s="106">
        <f t="shared" si="0"/>
        <v>56.5</v>
      </c>
      <c r="L54" s="123">
        <v>2500</v>
      </c>
      <c r="M54" s="106" t="s">
        <v>445</v>
      </c>
      <c r="N54" s="193" t="s">
        <v>447</v>
      </c>
      <c r="O54" s="108"/>
    </row>
    <row r="55" spans="3:15" s="26" customFormat="1">
      <c r="C55" s="107"/>
      <c r="D55" s="123">
        <v>46</v>
      </c>
      <c r="E55" s="119">
        <v>1329</v>
      </c>
      <c r="F55" s="123">
        <v>46</v>
      </c>
      <c r="G55" s="40">
        <v>44373</v>
      </c>
      <c r="H55" s="106" t="s">
        <v>56</v>
      </c>
      <c r="I55" s="106">
        <v>121</v>
      </c>
      <c r="J55" s="28" t="s">
        <v>131</v>
      </c>
      <c r="K55" s="106">
        <f t="shared" si="0"/>
        <v>60.5</v>
      </c>
      <c r="L55" s="123">
        <v>2500</v>
      </c>
      <c r="M55" s="106" t="s">
        <v>335</v>
      </c>
      <c r="N55" s="193" t="s">
        <v>560</v>
      </c>
      <c r="O55" s="108"/>
    </row>
    <row r="56" spans="3:15" s="26" customFormat="1">
      <c r="C56" s="107"/>
      <c r="D56" s="123">
        <v>47</v>
      </c>
      <c r="E56" s="119">
        <v>1374</v>
      </c>
      <c r="F56" s="123">
        <v>47</v>
      </c>
      <c r="G56" s="40">
        <v>44376</v>
      </c>
      <c r="H56" s="106" t="s">
        <v>56</v>
      </c>
      <c r="I56" s="106">
        <v>144</v>
      </c>
      <c r="J56" s="28" t="s">
        <v>131</v>
      </c>
      <c r="K56" s="106">
        <f t="shared" si="0"/>
        <v>72</v>
      </c>
      <c r="L56" s="123">
        <v>2570</v>
      </c>
      <c r="M56" s="106" t="s">
        <v>336</v>
      </c>
      <c r="N56" s="193" t="s">
        <v>560</v>
      </c>
      <c r="O56" s="108"/>
    </row>
    <row r="57" spans="3:15" s="26" customFormat="1">
      <c r="C57" s="107"/>
      <c r="D57" s="123">
        <v>48</v>
      </c>
      <c r="E57" s="104">
        <v>2169</v>
      </c>
      <c r="F57" s="123">
        <v>48</v>
      </c>
      <c r="G57" s="40">
        <v>44412</v>
      </c>
      <c r="H57" s="106" t="s">
        <v>56</v>
      </c>
      <c r="I57" s="106">
        <v>173</v>
      </c>
      <c r="J57" s="28" t="s">
        <v>54</v>
      </c>
      <c r="K57" s="106">
        <f t="shared" si="0"/>
        <v>86.5</v>
      </c>
      <c r="L57" s="123">
        <v>3250</v>
      </c>
      <c r="M57" s="106" t="s">
        <v>372</v>
      </c>
      <c r="N57" s="193" t="s">
        <v>447</v>
      </c>
      <c r="O57" s="108"/>
    </row>
    <row r="58" spans="3:15" s="26" customFormat="1">
      <c r="C58" s="107"/>
      <c r="D58" s="123">
        <v>49</v>
      </c>
      <c r="E58" s="104">
        <v>2431</v>
      </c>
      <c r="F58" s="123">
        <v>49</v>
      </c>
      <c r="G58" s="40">
        <v>44430</v>
      </c>
      <c r="H58" s="106" t="s">
        <v>56</v>
      </c>
      <c r="I58" s="106">
        <v>141</v>
      </c>
      <c r="J58" s="28" t="s">
        <v>54</v>
      </c>
      <c r="K58" s="106">
        <f t="shared" si="0"/>
        <v>70.5</v>
      </c>
      <c r="L58" s="123">
        <v>3100</v>
      </c>
      <c r="M58" s="106" t="s">
        <v>408</v>
      </c>
      <c r="N58" s="193" t="s">
        <v>447</v>
      </c>
      <c r="O58" s="108"/>
    </row>
    <row r="59" spans="3:15" s="26" customFormat="1">
      <c r="C59" s="107"/>
      <c r="D59" s="123">
        <v>50</v>
      </c>
      <c r="E59" s="104">
        <v>2541</v>
      </c>
      <c r="F59" s="123">
        <v>50</v>
      </c>
      <c r="G59" s="40">
        <v>44438</v>
      </c>
      <c r="H59" s="106" t="s">
        <v>56</v>
      </c>
      <c r="I59" s="106">
        <v>174</v>
      </c>
      <c r="J59" s="28" t="s">
        <v>54</v>
      </c>
      <c r="K59" s="106">
        <f t="shared" si="0"/>
        <v>87</v>
      </c>
      <c r="L59" s="123">
        <v>2800</v>
      </c>
      <c r="M59" s="106" t="s">
        <v>408</v>
      </c>
      <c r="N59" s="193" t="s">
        <v>447</v>
      </c>
      <c r="O59" s="108"/>
    </row>
    <row r="60" spans="3:15" s="26" customFormat="1">
      <c r="C60" s="107"/>
      <c r="D60" s="123">
        <v>51</v>
      </c>
      <c r="E60" s="106"/>
      <c r="F60" s="123">
        <v>51</v>
      </c>
      <c r="G60" s="40">
        <v>44463</v>
      </c>
      <c r="H60" s="106" t="s">
        <v>56</v>
      </c>
      <c r="I60" s="106">
        <v>113</v>
      </c>
      <c r="J60" s="28" t="s">
        <v>442</v>
      </c>
      <c r="K60" s="106">
        <f t="shared" si="0"/>
        <v>56.5</v>
      </c>
      <c r="L60" s="123">
        <v>2650</v>
      </c>
      <c r="M60" s="106" t="s">
        <v>443</v>
      </c>
      <c r="N60" s="193" t="s">
        <v>447</v>
      </c>
      <c r="O60" s="108"/>
    </row>
    <row r="61" spans="3:15">
      <c r="C61" s="27"/>
      <c r="D61" s="123">
        <v>52</v>
      </c>
      <c r="E61" s="28"/>
      <c r="F61" s="123">
        <v>52</v>
      </c>
      <c r="G61" s="40">
        <v>44467</v>
      </c>
      <c r="H61" s="106" t="s">
        <v>56</v>
      </c>
      <c r="I61" s="28">
        <v>143</v>
      </c>
      <c r="J61" s="28" t="s">
        <v>442</v>
      </c>
      <c r="K61" s="28">
        <v>71.5</v>
      </c>
      <c r="L61" s="123">
        <v>2700</v>
      </c>
      <c r="M61" s="28" t="s">
        <v>408</v>
      </c>
      <c r="N61" s="193" t="s">
        <v>447</v>
      </c>
      <c r="O61" s="36"/>
    </row>
    <row r="62" spans="3:15">
      <c r="C62" s="102"/>
      <c r="D62" s="180">
        <v>53</v>
      </c>
      <c r="E62" s="104"/>
      <c r="F62" s="180">
        <v>53</v>
      </c>
      <c r="G62" s="103">
        <v>44476</v>
      </c>
      <c r="H62" s="106" t="s">
        <v>56</v>
      </c>
      <c r="I62" s="104">
        <v>85</v>
      </c>
      <c r="J62" s="104" t="s">
        <v>54</v>
      </c>
      <c r="K62" s="104">
        <v>42.5</v>
      </c>
      <c r="L62" s="180">
        <v>2850</v>
      </c>
      <c r="M62" s="104" t="s">
        <v>258</v>
      </c>
      <c r="N62" s="193" t="s">
        <v>447</v>
      </c>
      <c r="O62" s="105"/>
    </row>
    <row r="63" spans="3:15">
      <c r="C63" s="102"/>
      <c r="D63" s="180">
        <v>54</v>
      </c>
      <c r="E63" s="104"/>
      <c r="F63" s="180">
        <v>54</v>
      </c>
      <c r="G63" s="103">
        <v>44498</v>
      </c>
      <c r="H63" s="106" t="s">
        <v>56</v>
      </c>
      <c r="I63" s="104">
        <v>136</v>
      </c>
      <c r="J63" s="104" t="s">
        <v>54</v>
      </c>
      <c r="K63" s="104">
        <v>68</v>
      </c>
      <c r="L63" s="180">
        <v>3000</v>
      </c>
      <c r="M63" s="104" t="s">
        <v>258</v>
      </c>
      <c r="N63" s="193" t="s">
        <v>447</v>
      </c>
      <c r="O63" s="105"/>
    </row>
    <row r="64" spans="3:15">
      <c r="C64" s="102"/>
      <c r="D64" s="180">
        <v>55</v>
      </c>
      <c r="E64" s="104"/>
      <c r="F64" s="180">
        <v>55</v>
      </c>
      <c r="G64" s="103">
        <v>44517</v>
      </c>
      <c r="H64" s="106" t="s">
        <v>56</v>
      </c>
      <c r="I64" s="104">
        <v>182</v>
      </c>
      <c r="J64" s="104" t="s">
        <v>487</v>
      </c>
      <c r="K64" s="104">
        <v>91</v>
      </c>
      <c r="L64" s="180">
        <v>2700</v>
      </c>
      <c r="M64" s="104" t="s">
        <v>367</v>
      </c>
      <c r="N64" s="193" t="s">
        <v>447</v>
      </c>
      <c r="O64" s="105"/>
    </row>
    <row r="65" spans="3:15">
      <c r="C65" s="102"/>
      <c r="D65" s="180">
        <v>56</v>
      </c>
      <c r="E65" s="104"/>
      <c r="F65" s="180">
        <v>56</v>
      </c>
      <c r="G65" s="103"/>
      <c r="H65" s="179"/>
      <c r="I65" s="104"/>
      <c r="J65" s="104"/>
      <c r="K65" s="104"/>
      <c r="L65" s="180"/>
      <c r="M65" s="104"/>
      <c r="N65" s="193"/>
      <c r="O65" s="105"/>
    </row>
    <row r="66" spans="3:15">
      <c r="C66" s="102"/>
      <c r="D66" s="180">
        <v>57</v>
      </c>
      <c r="E66" s="104"/>
      <c r="F66" s="180">
        <v>57</v>
      </c>
      <c r="G66" s="103">
        <v>44533</v>
      </c>
      <c r="H66" s="179" t="s">
        <v>60</v>
      </c>
      <c r="I66" s="104">
        <v>90</v>
      </c>
      <c r="J66" s="104" t="s">
        <v>54</v>
      </c>
      <c r="K66" s="104">
        <v>45</v>
      </c>
      <c r="L66" s="180">
        <v>2550</v>
      </c>
      <c r="M66" s="104" t="s">
        <v>113</v>
      </c>
      <c r="N66" s="193" t="s">
        <v>447</v>
      </c>
      <c r="O66" s="105"/>
    </row>
    <row r="67" spans="3:15">
      <c r="C67" s="102"/>
      <c r="D67" s="180">
        <v>58</v>
      </c>
      <c r="E67" s="104"/>
      <c r="F67" s="180">
        <v>58</v>
      </c>
      <c r="G67" s="103">
        <v>44533</v>
      </c>
      <c r="H67" s="179" t="s">
        <v>56</v>
      </c>
      <c r="I67" s="104">
        <v>180</v>
      </c>
      <c r="J67" s="104" t="s">
        <v>487</v>
      </c>
      <c r="K67" s="104">
        <v>90</v>
      </c>
      <c r="L67" s="180">
        <v>2550</v>
      </c>
      <c r="M67" s="104" t="s">
        <v>133</v>
      </c>
      <c r="N67" s="194" t="s">
        <v>560</v>
      </c>
      <c r="O67" s="105"/>
    </row>
    <row r="68" spans="3:15">
      <c r="C68" s="102"/>
      <c r="D68" s="180">
        <v>59</v>
      </c>
      <c r="E68" s="104"/>
      <c r="F68" s="180">
        <v>59</v>
      </c>
      <c r="G68" s="103">
        <v>44533</v>
      </c>
      <c r="H68" s="179" t="s">
        <v>56</v>
      </c>
      <c r="I68" s="104">
        <v>160</v>
      </c>
      <c r="J68" s="104" t="s">
        <v>487</v>
      </c>
      <c r="K68" s="104">
        <v>84</v>
      </c>
      <c r="L68" s="180">
        <v>2500</v>
      </c>
      <c r="M68" s="104" t="s">
        <v>537</v>
      </c>
      <c r="N68" s="194" t="s">
        <v>447</v>
      </c>
      <c r="O68" s="105"/>
    </row>
    <row r="69" spans="3:15">
      <c r="C69" s="102"/>
      <c r="D69" s="180">
        <v>60</v>
      </c>
      <c r="E69" s="104"/>
      <c r="F69" s="180">
        <v>60</v>
      </c>
      <c r="G69" s="103">
        <v>44537</v>
      </c>
      <c r="H69" s="179" t="s">
        <v>56</v>
      </c>
      <c r="I69" s="104">
        <v>180</v>
      </c>
      <c r="J69" s="104" t="s">
        <v>487</v>
      </c>
      <c r="K69" s="104">
        <v>90</v>
      </c>
      <c r="L69" s="180">
        <v>2700</v>
      </c>
      <c r="M69" s="104" t="s">
        <v>494</v>
      </c>
      <c r="N69" s="194" t="s">
        <v>447</v>
      </c>
      <c r="O69" s="105"/>
    </row>
    <row r="70" spans="3:15">
      <c r="C70" s="102"/>
      <c r="D70" s="180">
        <v>61</v>
      </c>
      <c r="E70" s="104"/>
      <c r="F70" s="180">
        <v>61</v>
      </c>
      <c r="G70" s="103">
        <v>44538</v>
      </c>
      <c r="H70" s="179" t="s">
        <v>493</v>
      </c>
      <c r="I70" s="104">
        <v>65</v>
      </c>
      <c r="J70" s="104" t="s">
        <v>487</v>
      </c>
      <c r="K70" s="104">
        <v>35</v>
      </c>
      <c r="L70" s="180">
        <v>2700</v>
      </c>
      <c r="M70" s="104" t="s">
        <v>495</v>
      </c>
      <c r="N70" s="194" t="s">
        <v>447</v>
      </c>
      <c r="O70" s="105"/>
    </row>
    <row r="71" spans="3:15">
      <c r="C71" s="102"/>
      <c r="D71" s="180">
        <v>62</v>
      </c>
      <c r="E71" s="104"/>
      <c r="F71" s="180">
        <v>62</v>
      </c>
      <c r="G71" s="103">
        <v>44538</v>
      </c>
      <c r="H71" s="179" t="s">
        <v>56</v>
      </c>
      <c r="I71" s="104">
        <v>184</v>
      </c>
      <c r="J71" s="104" t="s">
        <v>487</v>
      </c>
      <c r="K71" s="104">
        <v>95.5</v>
      </c>
      <c r="L71" s="180">
        <v>2700</v>
      </c>
      <c r="M71" s="104" t="s">
        <v>496</v>
      </c>
      <c r="N71" s="194" t="s">
        <v>447</v>
      </c>
      <c r="O71" s="105"/>
    </row>
    <row r="72" spans="3:15">
      <c r="C72" s="102"/>
      <c r="D72" s="180">
        <v>63</v>
      </c>
      <c r="E72" s="104"/>
      <c r="F72" s="180">
        <v>63</v>
      </c>
      <c r="G72" s="103">
        <v>44540</v>
      </c>
      <c r="H72" s="179" t="s">
        <v>56</v>
      </c>
      <c r="I72" s="104">
        <v>160</v>
      </c>
      <c r="J72" s="104" t="s">
        <v>487</v>
      </c>
      <c r="K72" s="104">
        <v>80</v>
      </c>
      <c r="L72" s="180">
        <v>2550</v>
      </c>
      <c r="M72" s="104" t="s">
        <v>497</v>
      </c>
      <c r="N72" s="194" t="s">
        <v>447</v>
      </c>
      <c r="O72" s="105"/>
    </row>
    <row r="73" spans="3:15">
      <c r="C73" s="102"/>
      <c r="D73" s="180">
        <v>64</v>
      </c>
      <c r="E73" s="104"/>
      <c r="F73" s="180">
        <v>64</v>
      </c>
      <c r="G73" s="103">
        <v>44541</v>
      </c>
      <c r="H73" s="179" t="s">
        <v>56</v>
      </c>
      <c r="I73" s="104">
        <v>156</v>
      </c>
      <c r="J73" s="104" t="s">
        <v>487</v>
      </c>
      <c r="K73" s="104">
        <v>78</v>
      </c>
      <c r="L73" s="180">
        <v>2550</v>
      </c>
      <c r="M73" s="104" t="s">
        <v>538</v>
      </c>
      <c r="N73" s="194" t="s">
        <v>447</v>
      </c>
      <c r="O73" s="105"/>
    </row>
    <row r="74" spans="3:15">
      <c r="C74" s="102"/>
      <c r="D74" s="180">
        <v>65</v>
      </c>
      <c r="E74" s="104"/>
      <c r="F74" s="180">
        <v>65</v>
      </c>
      <c r="G74" s="103">
        <v>44541</v>
      </c>
      <c r="H74" s="179" t="s">
        <v>493</v>
      </c>
      <c r="I74" s="104">
        <v>66</v>
      </c>
      <c r="J74" s="104" t="s">
        <v>487</v>
      </c>
      <c r="K74" s="104">
        <v>33</v>
      </c>
      <c r="L74" s="180">
        <v>2550</v>
      </c>
      <c r="M74" s="104" t="s">
        <v>505</v>
      </c>
      <c r="N74" s="194" t="s">
        <v>447</v>
      </c>
      <c r="O74" s="105"/>
    </row>
    <row r="75" spans="3:15">
      <c r="C75" s="102"/>
      <c r="D75" s="180">
        <v>66</v>
      </c>
      <c r="E75" s="104"/>
      <c r="F75" s="180">
        <v>66</v>
      </c>
      <c r="G75" s="103">
        <v>44541</v>
      </c>
      <c r="H75" s="179" t="s">
        <v>488</v>
      </c>
      <c r="I75" s="104">
        <v>350</v>
      </c>
      <c r="J75" s="104" t="s">
        <v>489</v>
      </c>
      <c r="K75" s="104">
        <v>175</v>
      </c>
      <c r="L75" s="180">
        <v>2700</v>
      </c>
      <c r="M75" s="104" t="s">
        <v>490</v>
      </c>
      <c r="N75" s="194" t="s">
        <v>447</v>
      </c>
      <c r="O75" s="105"/>
    </row>
    <row r="76" spans="3:15">
      <c r="C76" s="102"/>
      <c r="D76" s="198">
        <v>67</v>
      </c>
      <c r="E76" s="171"/>
      <c r="F76" s="198">
        <v>67</v>
      </c>
      <c r="G76" s="199">
        <v>44541</v>
      </c>
      <c r="H76" s="200" t="s">
        <v>493</v>
      </c>
      <c r="I76" s="171">
        <v>70</v>
      </c>
      <c r="J76" s="171" t="s">
        <v>487</v>
      </c>
      <c r="K76" s="171">
        <v>35</v>
      </c>
      <c r="L76" s="198">
        <v>2550</v>
      </c>
      <c r="M76" s="171" t="s">
        <v>99</v>
      </c>
      <c r="N76" s="194" t="s">
        <v>447</v>
      </c>
      <c r="O76" s="105"/>
    </row>
    <row r="77" spans="3:15">
      <c r="C77" s="102"/>
      <c r="D77" s="180">
        <v>68</v>
      </c>
      <c r="E77" s="104"/>
      <c r="F77" s="180">
        <v>68</v>
      </c>
      <c r="G77" s="103">
        <v>44541</v>
      </c>
      <c r="H77" s="179" t="s">
        <v>56</v>
      </c>
      <c r="I77" s="104">
        <v>172</v>
      </c>
      <c r="J77" s="104" t="s">
        <v>487</v>
      </c>
      <c r="K77" s="104">
        <v>86</v>
      </c>
      <c r="L77" s="180">
        <v>2550</v>
      </c>
      <c r="M77" s="104" t="s">
        <v>133</v>
      </c>
      <c r="N77" s="194" t="s">
        <v>447</v>
      </c>
      <c r="O77" s="105"/>
    </row>
    <row r="78" spans="3:15">
      <c r="C78" s="102"/>
      <c r="D78" s="180">
        <v>69</v>
      </c>
      <c r="E78" s="104"/>
      <c r="F78" s="180">
        <v>69</v>
      </c>
      <c r="G78" s="103">
        <v>44544</v>
      </c>
      <c r="H78" s="179" t="s">
        <v>486</v>
      </c>
      <c r="I78" s="104">
        <v>228</v>
      </c>
      <c r="J78" s="104" t="s">
        <v>487</v>
      </c>
      <c r="K78" s="104">
        <v>114</v>
      </c>
      <c r="L78" s="180">
        <v>2300</v>
      </c>
      <c r="M78" s="104" t="s">
        <v>367</v>
      </c>
      <c r="N78" s="194" t="s">
        <v>447</v>
      </c>
      <c r="O78" s="105"/>
    </row>
    <row r="79" spans="3:15">
      <c r="C79" s="102"/>
      <c r="D79" s="180">
        <v>70</v>
      </c>
      <c r="E79" s="104"/>
      <c r="F79" s="180">
        <v>70</v>
      </c>
      <c r="G79" s="103">
        <v>44546</v>
      </c>
      <c r="H79" s="179"/>
      <c r="I79" s="104">
        <v>389</v>
      </c>
      <c r="J79" s="104" t="s">
        <v>528</v>
      </c>
      <c r="K79" s="104">
        <f>I79/2</f>
        <v>194.5</v>
      </c>
      <c r="L79" s="180">
        <v>2450</v>
      </c>
      <c r="M79" s="104" t="s">
        <v>529</v>
      </c>
      <c r="N79" s="194" t="s">
        <v>447</v>
      </c>
      <c r="O79" s="105"/>
    </row>
    <row r="80" spans="3:15" s="209" customFormat="1">
      <c r="C80" s="203"/>
      <c r="D80" s="204">
        <v>71</v>
      </c>
      <c r="E80" s="205"/>
      <c r="F80" s="204">
        <v>71</v>
      </c>
      <c r="G80" s="211">
        <v>44547</v>
      </c>
      <c r="H80" s="206" t="s">
        <v>56</v>
      </c>
      <c r="I80" s="205">
        <v>112</v>
      </c>
      <c r="J80" s="205" t="s">
        <v>131</v>
      </c>
      <c r="K80" s="205">
        <v>59</v>
      </c>
      <c r="L80" s="204">
        <v>2150</v>
      </c>
      <c r="M80" s="205" t="s">
        <v>527</v>
      </c>
      <c r="N80" s="207" t="s">
        <v>561</v>
      </c>
      <c r="O80" s="208"/>
    </row>
    <row r="81" spans="1:15" s="209" customFormat="1">
      <c r="A81" s="212" t="s">
        <v>344</v>
      </c>
      <c r="C81" s="203"/>
      <c r="D81" s="204">
        <v>72</v>
      </c>
      <c r="E81" s="205"/>
      <c r="F81" s="204"/>
      <c r="G81" s="210" t="s">
        <v>344</v>
      </c>
      <c r="H81" s="206"/>
      <c r="I81" s="205"/>
      <c r="J81" s="205"/>
      <c r="K81" s="205"/>
      <c r="L81" s="204"/>
      <c r="M81" s="205"/>
      <c r="N81" s="207"/>
      <c r="O81" s="208"/>
    </row>
    <row r="82" spans="1:15" s="209" customFormat="1">
      <c r="C82" s="203"/>
      <c r="D82" s="204">
        <v>73</v>
      </c>
      <c r="E82" s="205"/>
      <c r="F82" s="204"/>
      <c r="G82" s="210" t="s">
        <v>300</v>
      </c>
      <c r="H82" s="206"/>
      <c r="I82" s="205"/>
      <c r="J82" s="205"/>
      <c r="K82" s="205"/>
      <c r="L82" s="204"/>
      <c r="M82" s="205"/>
      <c r="N82" s="207"/>
      <c r="O82" s="208"/>
    </row>
    <row r="83" spans="1:15">
      <c r="C83" s="102"/>
      <c r="D83" s="180">
        <v>74</v>
      </c>
      <c r="E83" s="104"/>
      <c r="F83" s="180">
        <v>72</v>
      </c>
      <c r="G83" s="103">
        <v>44549</v>
      </c>
      <c r="H83" s="179" t="s">
        <v>56</v>
      </c>
      <c r="I83" s="104">
        <v>145</v>
      </c>
      <c r="J83" s="104" t="s">
        <v>59</v>
      </c>
      <c r="K83" s="104">
        <v>72.5</v>
      </c>
      <c r="L83" s="180">
        <v>2200</v>
      </c>
      <c r="M83" s="104" t="s">
        <v>573</v>
      </c>
      <c r="N83" s="194" t="s">
        <v>447</v>
      </c>
      <c r="O83" s="105"/>
    </row>
    <row r="84" spans="1:15">
      <c r="C84" s="102"/>
      <c r="D84" s="180">
        <v>75</v>
      </c>
      <c r="E84" s="104"/>
      <c r="F84" s="180">
        <v>75</v>
      </c>
      <c r="G84" s="103">
        <v>44550</v>
      </c>
      <c r="H84" s="179" t="s">
        <v>486</v>
      </c>
      <c r="I84" s="104">
        <v>252</v>
      </c>
      <c r="J84" s="104" t="s">
        <v>562</v>
      </c>
      <c r="K84" s="104">
        <f t="shared" ref="K84:K90" si="1">I84/2</f>
        <v>126</v>
      </c>
      <c r="L84" s="180">
        <v>2200</v>
      </c>
      <c r="M84" s="104" t="s">
        <v>563</v>
      </c>
      <c r="N84" s="194" t="s">
        <v>560</v>
      </c>
      <c r="O84" s="105"/>
    </row>
    <row r="85" spans="1:15">
      <c r="C85" s="102"/>
      <c r="D85" s="180">
        <v>76</v>
      </c>
      <c r="E85" s="104"/>
      <c r="F85" s="180">
        <v>76</v>
      </c>
      <c r="G85" s="103">
        <v>44551</v>
      </c>
      <c r="H85" s="179" t="s">
        <v>56</v>
      </c>
      <c r="I85" s="104">
        <v>181</v>
      </c>
      <c r="J85" s="104" t="s">
        <v>59</v>
      </c>
      <c r="K85" s="104">
        <f t="shared" si="1"/>
        <v>90.5</v>
      </c>
      <c r="L85" s="180">
        <v>2100</v>
      </c>
      <c r="M85" s="104" t="s">
        <v>564</v>
      </c>
      <c r="N85" s="194" t="s">
        <v>447</v>
      </c>
      <c r="O85" s="105"/>
    </row>
    <row r="86" spans="1:15">
      <c r="C86" s="102"/>
      <c r="D86" s="180">
        <v>77</v>
      </c>
      <c r="E86" s="104"/>
      <c r="F86" s="180">
        <v>77</v>
      </c>
      <c r="G86" s="103">
        <v>44551</v>
      </c>
      <c r="H86" s="179" t="s">
        <v>488</v>
      </c>
      <c r="I86" s="104">
        <v>409</v>
      </c>
      <c r="J86" s="104" t="s">
        <v>575</v>
      </c>
      <c r="K86" s="104">
        <f t="shared" si="1"/>
        <v>204.5</v>
      </c>
      <c r="L86" s="180">
        <v>2300</v>
      </c>
      <c r="M86" s="104" t="s">
        <v>576</v>
      </c>
      <c r="N86" s="194" t="s">
        <v>447</v>
      </c>
      <c r="O86" s="105"/>
    </row>
    <row r="87" spans="1:15">
      <c r="C87" s="102"/>
      <c r="D87" s="180">
        <v>78</v>
      </c>
      <c r="E87" s="104"/>
      <c r="F87" s="180">
        <v>78</v>
      </c>
      <c r="G87" s="103">
        <v>44551</v>
      </c>
      <c r="H87" s="179" t="s">
        <v>486</v>
      </c>
      <c r="I87" s="104">
        <v>226</v>
      </c>
      <c r="J87" s="104" t="s">
        <v>59</v>
      </c>
      <c r="K87" s="104">
        <f t="shared" si="1"/>
        <v>113</v>
      </c>
      <c r="L87" s="180">
        <v>2100</v>
      </c>
      <c r="M87" s="104" t="s">
        <v>574</v>
      </c>
      <c r="N87" s="194" t="s">
        <v>447</v>
      </c>
      <c r="O87" s="105"/>
    </row>
    <row r="88" spans="1:15">
      <c r="C88" s="102"/>
      <c r="D88" s="180">
        <v>79</v>
      </c>
      <c r="E88" s="104"/>
      <c r="F88" s="180">
        <v>79</v>
      </c>
      <c r="G88" s="103">
        <v>44552</v>
      </c>
      <c r="H88" s="179" t="s">
        <v>56</v>
      </c>
      <c r="I88" s="104">
        <v>85</v>
      </c>
      <c r="J88" s="104" t="s">
        <v>59</v>
      </c>
      <c r="K88" s="104">
        <f t="shared" si="1"/>
        <v>42.5</v>
      </c>
      <c r="L88" s="180">
        <v>2050</v>
      </c>
      <c r="M88" s="104" t="s">
        <v>566</v>
      </c>
      <c r="N88" s="194" t="s">
        <v>447</v>
      </c>
      <c r="O88" s="105"/>
    </row>
    <row r="89" spans="1:15">
      <c r="C89" s="102"/>
      <c r="D89" s="180">
        <v>80</v>
      </c>
      <c r="E89" s="104"/>
      <c r="F89" s="180">
        <v>80</v>
      </c>
      <c r="G89" s="103">
        <v>44553</v>
      </c>
      <c r="H89" s="179" t="s">
        <v>567</v>
      </c>
      <c r="I89" s="104">
        <v>131</v>
      </c>
      <c r="J89" s="104" t="s">
        <v>131</v>
      </c>
      <c r="K89" s="104">
        <f t="shared" si="1"/>
        <v>65.5</v>
      </c>
      <c r="L89" s="180">
        <v>1970</v>
      </c>
      <c r="M89" s="104" t="s">
        <v>568</v>
      </c>
      <c r="N89" s="194" t="s">
        <v>560</v>
      </c>
      <c r="O89" s="105"/>
    </row>
    <row r="90" spans="1:15">
      <c r="C90" s="102"/>
      <c r="D90" s="180">
        <v>81</v>
      </c>
      <c r="E90" s="104"/>
      <c r="F90" s="180">
        <v>81</v>
      </c>
      <c r="G90" s="103">
        <v>44553</v>
      </c>
      <c r="H90" s="179" t="s">
        <v>486</v>
      </c>
      <c r="I90" s="104">
        <v>213</v>
      </c>
      <c r="J90" s="104" t="s">
        <v>59</v>
      </c>
      <c r="K90" s="104">
        <f t="shared" si="1"/>
        <v>106.5</v>
      </c>
      <c r="L90" s="180">
        <v>2000</v>
      </c>
      <c r="M90" s="104" t="s">
        <v>569</v>
      </c>
      <c r="N90" s="194" t="s">
        <v>447</v>
      </c>
      <c r="O90" s="105">
        <v>2</v>
      </c>
    </row>
    <row r="91" spans="1:15">
      <c r="C91" s="102"/>
      <c r="D91" s="180">
        <v>82</v>
      </c>
      <c r="E91" s="104"/>
      <c r="F91" s="180">
        <v>82</v>
      </c>
      <c r="G91" s="103">
        <v>44553</v>
      </c>
      <c r="H91" s="179" t="s">
        <v>56</v>
      </c>
      <c r="I91" s="104">
        <v>138</v>
      </c>
      <c r="J91" s="104" t="s">
        <v>59</v>
      </c>
      <c r="K91" s="104">
        <f t="shared" ref="K91:K105" si="2">I91/2</f>
        <v>69</v>
      </c>
      <c r="L91" s="180">
        <v>2000</v>
      </c>
      <c r="M91" s="104" t="s">
        <v>572</v>
      </c>
      <c r="N91" s="194" t="s">
        <v>447</v>
      </c>
      <c r="O91" s="105">
        <v>1</v>
      </c>
    </row>
    <row r="92" spans="1:15" s="116" customFormat="1">
      <c r="C92" s="201"/>
      <c r="D92" s="198">
        <v>83</v>
      </c>
      <c r="E92" s="171"/>
      <c r="F92" s="198">
        <v>83</v>
      </c>
      <c r="G92" s="199">
        <v>44554</v>
      </c>
      <c r="H92" s="200" t="s">
        <v>56</v>
      </c>
      <c r="I92" s="171">
        <v>126</v>
      </c>
      <c r="J92" s="171" t="s">
        <v>59</v>
      </c>
      <c r="K92" s="171">
        <f t="shared" si="2"/>
        <v>63</v>
      </c>
      <c r="L92" s="198">
        <v>2000</v>
      </c>
      <c r="M92" s="171" t="s">
        <v>573</v>
      </c>
      <c r="N92" s="202" t="s">
        <v>447</v>
      </c>
      <c r="O92" s="173"/>
    </row>
    <row r="93" spans="1:15">
      <c r="C93" s="102"/>
      <c r="D93" s="180">
        <v>84</v>
      </c>
      <c r="E93" s="104"/>
      <c r="F93" s="180">
        <v>84</v>
      </c>
      <c r="G93" s="103">
        <v>44555</v>
      </c>
      <c r="H93" s="200" t="s">
        <v>56</v>
      </c>
      <c r="I93" s="171">
        <v>126</v>
      </c>
      <c r="J93" s="171" t="s">
        <v>59</v>
      </c>
      <c r="K93" s="104">
        <f t="shared" si="2"/>
        <v>63</v>
      </c>
      <c r="L93" s="198">
        <v>2000</v>
      </c>
      <c r="M93" s="104" t="s">
        <v>579</v>
      </c>
      <c r="N93" s="194" t="s">
        <v>447</v>
      </c>
      <c r="O93" s="105"/>
    </row>
    <row r="94" spans="1:15">
      <c r="C94" s="102"/>
      <c r="D94" s="180">
        <v>85</v>
      </c>
      <c r="E94" s="104"/>
      <c r="F94" s="180">
        <v>85</v>
      </c>
      <c r="G94" s="103">
        <v>44556</v>
      </c>
      <c r="H94" s="200" t="s">
        <v>56</v>
      </c>
      <c r="I94" s="104">
        <v>150</v>
      </c>
      <c r="J94" s="104" t="s">
        <v>131</v>
      </c>
      <c r="K94" s="104">
        <f t="shared" si="2"/>
        <v>75</v>
      </c>
      <c r="L94" s="180">
        <v>1970</v>
      </c>
      <c r="M94" s="104" t="s">
        <v>99</v>
      </c>
      <c r="N94" s="194" t="s">
        <v>560</v>
      </c>
      <c r="O94" s="105"/>
    </row>
    <row r="95" spans="1:15">
      <c r="C95" s="102"/>
      <c r="D95" s="180">
        <v>86</v>
      </c>
      <c r="E95" s="104"/>
      <c r="F95" s="180">
        <v>86</v>
      </c>
      <c r="G95" s="103">
        <v>44556</v>
      </c>
      <c r="H95" s="179" t="s">
        <v>486</v>
      </c>
      <c r="I95" s="104">
        <v>210</v>
      </c>
      <c r="J95" s="104" t="s">
        <v>59</v>
      </c>
      <c r="K95" s="104">
        <f t="shared" si="2"/>
        <v>105</v>
      </c>
      <c r="L95" s="180">
        <v>2000</v>
      </c>
      <c r="M95" s="104" t="s">
        <v>580</v>
      </c>
      <c r="N95" s="194" t="s">
        <v>447</v>
      </c>
      <c r="O95" s="105"/>
    </row>
    <row r="96" spans="1:15" s="116" customFormat="1">
      <c r="C96" s="201"/>
      <c r="D96" s="198">
        <v>87</v>
      </c>
      <c r="E96" s="171"/>
      <c r="F96" s="198">
        <v>87</v>
      </c>
      <c r="G96" s="199">
        <v>44557</v>
      </c>
      <c r="H96" s="200" t="s">
        <v>56</v>
      </c>
      <c r="I96" s="171">
        <v>135</v>
      </c>
      <c r="J96" s="171" t="s">
        <v>59</v>
      </c>
      <c r="K96" s="171">
        <v>68</v>
      </c>
      <c r="L96" s="198">
        <v>2000</v>
      </c>
      <c r="M96" s="171" t="s">
        <v>586</v>
      </c>
      <c r="N96" s="202" t="s">
        <v>447</v>
      </c>
      <c r="O96" s="173">
        <v>5</v>
      </c>
    </row>
    <row r="97" spans="3:15">
      <c r="C97" s="102"/>
      <c r="D97" s="180">
        <v>88</v>
      </c>
      <c r="E97" s="104"/>
      <c r="F97" s="180">
        <v>88</v>
      </c>
      <c r="G97" s="103">
        <v>44558</v>
      </c>
      <c r="H97" s="179" t="s">
        <v>486</v>
      </c>
      <c r="I97" s="104">
        <v>250</v>
      </c>
      <c r="J97" s="104" t="s">
        <v>131</v>
      </c>
      <c r="K97" s="104">
        <f t="shared" si="2"/>
        <v>125</v>
      </c>
      <c r="L97" s="180">
        <v>2020</v>
      </c>
      <c r="M97" s="104" t="s">
        <v>588</v>
      </c>
      <c r="N97" s="194" t="s">
        <v>560</v>
      </c>
      <c r="O97" s="105"/>
    </row>
    <row r="98" spans="3:15">
      <c r="C98" s="102"/>
      <c r="D98" s="180">
        <v>89</v>
      </c>
      <c r="E98" s="104"/>
      <c r="F98" s="180">
        <v>89</v>
      </c>
      <c r="G98" s="103">
        <v>44558</v>
      </c>
      <c r="H98" s="179" t="s">
        <v>56</v>
      </c>
      <c r="I98" s="104">
        <v>180</v>
      </c>
      <c r="J98" s="104" t="s">
        <v>59</v>
      </c>
      <c r="K98" s="104">
        <f t="shared" si="2"/>
        <v>90</v>
      </c>
      <c r="L98" s="180">
        <v>2000</v>
      </c>
      <c r="M98" s="104" t="s">
        <v>133</v>
      </c>
      <c r="N98" s="194">
        <v>0</v>
      </c>
      <c r="O98" s="105"/>
    </row>
    <row r="99" spans="3:15">
      <c r="C99" s="102"/>
      <c r="D99" s="180">
        <v>90</v>
      </c>
      <c r="E99" s="104"/>
      <c r="F99" s="180">
        <v>90</v>
      </c>
      <c r="G99" s="103">
        <v>44559</v>
      </c>
      <c r="H99" s="179" t="s">
        <v>486</v>
      </c>
      <c r="I99" s="104">
        <v>227</v>
      </c>
      <c r="J99" s="104" t="s">
        <v>59</v>
      </c>
      <c r="K99" s="104">
        <v>124.5</v>
      </c>
      <c r="L99" s="180">
        <v>2000</v>
      </c>
      <c r="M99" s="104" t="s">
        <v>574</v>
      </c>
      <c r="N99" s="194" t="s">
        <v>447</v>
      </c>
      <c r="O99" s="105"/>
    </row>
    <row r="100" spans="3:15">
      <c r="C100" s="102"/>
      <c r="D100" s="180">
        <v>91</v>
      </c>
      <c r="E100" s="104"/>
      <c r="F100" s="180">
        <v>91</v>
      </c>
      <c r="G100" s="103">
        <v>44559</v>
      </c>
      <c r="H100" s="179" t="s">
        <v>488</v>
      </c>
      <c r="I100" s="104">
        <v>374</v>
      </c>
      <c r="J100" s="104" t="s">
        <v>589</v>
      </c>
      <c r="K100" s="104">
        <v>188.1</v>
      </c>
      <c r="L100" s="180">
        <v>2280</v>
      </c>
      <c r="M100" s="104" t="s">
        <v>593</v>
      </c>
      <c r="N100" s="194" t="s">
        <v>560</v>
      </c>
      <c r="O100" s="105"/>
    </row>
    <row r="101" spans="3:15">
      <c r="C101" s="102"/>
      <c r="D101" s="180">
        <v>92</v>
      </c>
      <c r="E101" s="104"/>
      <c r="F101" s="180">
        <v>92</v>
      </c>
      <c r="G101" s="103">
        <v>44560</v>
      </c>
      <c r="H101" s="179" t="s">
        <v>486</v>
      </c>
      <c r="I101" s="104">
        <v>242</v>
      </c>
      <c r="J101" s="104" t="s">
        <v>590</v>
      </c>
      <c r="K101" s="104">
        <f t="shared" si="2"/>
        <v>121</v>
      </c>
      <c r="L101" s="180">
        <v>2050</v>
      </c>
      <c r="M101" s="104" t="s">
        <v>594</v>
      </c>
      <c r="N101" s="194" t="s">
        <v>560</v>
      </c>
      <c r="O101" s="105"/>
    </row>
    <row r="102" spans="3:15">
      <c r="C102" s="102"/>
      <c r="D102" s="180">
        <v>93</v>
      </c>
      <c r="E102" s="104"/>
      <c r="F102" s="180">
        <v>93</v>
      </c>
      <c r="G102" s="103">
        <v>44561</v>
      </c>
      <c r="H102" s="179" t="s">
        <v>486</v>
      </c>
      <c r="I102" s="104">
        <v>215</v>
      </c>
      <c r="J102" s="104" t="s">
        <v>131</v>
      </c>
      <c r="K102" s="104">
        <f t="shared" si="2"/>
        <v>107.5</v>
      </c>
      <c r="L102" s="180">
        <v>2080</v>
      </c>
      <c r="M102" s="104" t="s">
        <v>595</v>
      </c>
      <c r="N102" s="194" t="s">
        <v>560</v>
      </c>
      <c r="O102" s="105">
        <v>1</v>
      </c>
    </row>
    <row r="103" spans="3:15" s="116" customFormat="1">
      <c r="C103" s="201"/>
      <c r="D103" s="198">
        <v>94</v>
      </c>
      <c r="E103" s="171"/>
      <c r="F103" s="198">
        <v>94</v>
      </c>
      <c r="G103" s="199">
        <v>44561</v>
      </c>
      <c r="H103" s="200" t="s">
        <v>591</v>
      </c>
      <c r="I103" s="171">
        <v>337</v>
      </c>
      <c r="J103" s="171" t="s">
        <v>54</v>
      </c>
      <c r="K103" s="171">
        <f t="shared" si="2"/>
        <v>168.5</v>
      </c>
      <c r="L103" s="198">
        <v>2090</v>
      </c>
      <c r="M103" s="171" t="s">
        <v>609</v>
      </c>
      <c r="N103" s="202" t="s">
        <v>447</v>
      </c>
      <c r="O103" s="173"/>
    </row>
    <row r="104" spans="3:15" s="116" customFormat="1">
      <c r="C104" s="201"/>
      <c r="D104" s="198">
        <v>95</v>
      </c>
      <c r="E104" s="171"/>
      <c r="F104" s="198">
        <v>95</v>
      </c>
      <c r="G104" s="199">
        <v>44561</v>
      </c>
      <c r="H104" s="200" t="s">
        <v>592</v>
      </c>
      <c r="I104" s="171">
        <v>70</v>
      </c>
      <c r="J104" s="171" t="s">
        <v>59</v>
      </c>
      <c r="K104" s="171">
        <f t="shared" si="2"/>
        <v>35</v>
      </c>
      <c r="L104" s="198">
        <v>2050</v>
      </c>
      <c r="M104" s="171" t="s">
        <v>99</v>
      </c>
      <c r="N104" s="202" t="s">
        <v>447</v>
      </c>
      <c r="O104" s="173"/>
    </row>
    <row r="105" spans="3:15" s="116" customFormat="1">
      <c r="C105" s="201"/>
      <c r="D105" s="198">
        <v>96</v>
      </c>
      <c r="E105" s="171"/>
      <c r="F105" s="198">
        <v>96</v>
      </c>
      <c r="G105" s="199">
        <v>44563</v>
      </c>
      <c r="H105" s="200" t="s">
        <v>486</v>
      </c>
      <c r="I105" s="171">
        <v>211</v>
      </c>
      <c r="J105" s="171" t="s">
        <v>54</v>
      </c>
      <c r="K105" s="171">
        <f t="shared" si="2"/>
        <v>105.5</v>
      </c>
      <c r="L105" s="198">
        <v>2170</v>
      </c>
      <c r="M105" s="171" t="s">
        <v>622</v>
      </c>
      <c r="N105" s="202" t="s">
        <v>447</v>
      </c>
      <c r="O105" s="173"/>
    </row>
    <row r="106" spans="3:15" s="116" customFormat="1">
      <c r="C106" s="201"/>
      <c r="D106" s="198">
        <v>97</v>
      </c>
      <c r="E106" s="171"/>
      <c r="F106" s="198">
        <v>97</v>
      </c>
      <c r="G106" s="199">
        <v>44563</v>
      </c>
      <c r="H106" s="200" t="s">
        <v>602</v>
      </c>
      <c r="I106" s="171">
        <v>358</v>
      </c>
      <c r="J106" s="171" t="s">
        <v>54</v>
      </c>
      <c r="K106" s="171">
        <v>180</v>
      </c>
      <c r="L106" s="198">
        <v>2170</v>
      </c>
      <c r="M106" s="171" t="s">
        <v>623</v>
      </c>
      <c r="N106" s="202" t="s">
        <v>447</v>
      </c>
      <c r="O106" s="173"/>
    </row>
    <row r="107" spans="3:15" s="116" customFormat="1" ht="15" thickBot="1">
      <c r="C107" s="223"/>
      <c r="D107" s="224">
        <v>98</v>
      </c>
      <c r="E107" s="225"/>
      <c r="F107" s="224">
        <v>98</v>
      </c>
      <c r="G107" s="226">
        <v>44898</v>
      </c>
      <c r="H107" s="225" t="s">
        <v>56</v>
      </c>
      <c r="I107" s="225">
        <v>155</v>
      </c>
      <c r="J107" s="225" t="s">
        <v>131</v>
      </c>
      <c r="K107" s="171">
        <v>77.5</v>
      </c>
      <c r="L107" s="224">
        <v>2150</v>
      </c>
      <c r="M107" s="225" t="s">
        <v>624</v>
      </c>
      <c r="N107" s="227" t="s">
        <v>560</v>
      </c>
      <c r="O107" s="228"/>
    </row>
    <row r="108" spans="3:15" s="116" customFormat="1" ht="15" thickBot="1">
      <c r="C108" s="223"/>
      <c r="D108" s="224">
        <v>99</v>
      </c>
      <c r="E108" s="225"/>
      <c r="F108" s="224">
        <v>99</v>
      </c>
      <c r="G108" s="226">
        <v>44565</v>
      </c>
      <c r="H108" s="225" t="s">
        <v>486</v>
      </c>
      <c r="I108" s="225">
        <v>218</v>
      </c>
      <c r="J108" s="225" t="s">
        <v>59</v>
      </c>
      <c r="K108" s="171">
        <v>109</v>
      </c>
      <c r="L108" s="224">
        <v>2150</v>
      </c>
      <c r="M108" s="225" t="s">
        <v>628</v>
      </c>
      <c r="N108" s="227" t="s">
        <v>447</v>
      </c>
      <c r="O108" s="228">
        <v>7</v>
      </c>
    </row>
    <row r="109" spans="3:15" s="116" customFormat="1" ht="15" thickBot="1">
      <c r="C109" s="223"/>
      <c r="D109" s="224">
        <v>100</v>
      </c>
      <c r="E109" s="225"/>
      <c r="F109" s="224">
        <v>100</v>
      </c>
      <c r="G109" s="226">
        <v>44565</v>
      </c>
      <c r="H109" s="225" t="s">
        <v>56</v>
      </c>
      <c r="I109" s="225">
        <v>170</v>
      </c>
      <c r="J109" s="225" t="s">
        <v>59</v>
      </c>
      <c r="K109" s="171">
        <v>94</v>
      </c>
      <c r="L109" s="224">
        <v>2150</v>
      </c>
      <c r="M109" s="225" t="s">
        <v>81</v>
      </c>
      <c r="N109" s="227" t="s">
        <v>447</v>
      </c>
      <c r="O109" s="228"/>
    </row>
    <row r="110" spans="3:15" s="116" customFormat="1" ht="15" thickBot="1">
      <c r="C110" s="223"/>
      <c r="D110" s="224">
        <v>101</v>
      </c>
      <c r="E110" s="225"/>
      <c r="F110" s="224">
        <v>101</v>
      </c>
      <c r="G110" s="226">
        <v>44566</v>
      </c>
      <c r="H110" s="225" t="s">
        <v>56</v>
      </c>
      <c r="I110" s="225">
        <v>113</v>
      </c>
      <c r="J110" s="225" t="s">
        <v>131</v>
      </c>
      <c r="K110" s="171">
        <v>56.5</v>
      </c>
      <c r="L110" s="224">
        <v>2200</v>
      </c>
      <c r="M110" s="225" t="s">
        <v>138</v>
      </c>
      <c r="N110" s="227" t="s">
        <v>560</v>
      </c>
      <c r="O110" s="228"/>
    </row>
    <row r="111" spans="3:15" s="116" customFormat="1" ht="15" thickBot="1">
      <c r="C111" s="223"/>
      <c r="D111" s="224">
        <v>102</v>
      </c>
      <c r="E111" s="225"/>
      <c r="F111" s="224">
        <v>102</v>
      </c>
      <c r="G111" s="226">
        <v>44566</v>
      </c>
      <c r="H111" s="225" t="s">
        <v>486</v>
      </c>
      <c r="I111" s="225">
        <v>231</v>
      </c>
      <c r="J111" s="225" t="s">
        <v>131</v>
      </c>
      <c r="K111" s="171">
        <v>118.5</v>
      </c>
      <c r="L111" s="224">
        <v>2200</v>
      </c>
      <c r="M111" s="225" t="s">
        <v>629</v>
      </c>
      <c r="N111" s="227" t="s">
        <v>560</v>
      </c>
      <c r="O111" s="228"/>
    </row>
    <row r="112" spans="3:15" s="116" customFormat="1" ht="15" thickBot="1">
      <c r="C112" s="223"/>
      <c r="D112" s="224">
        <v>103</v>
      </c>
      <c r="E112" s="225"/>
      <c r="F112" s="224">
        <v>103</v>
      </c>
      <c r="G112" s="226">
        <v>44567</v>
      </c>
      <c r="H112" s="225" t="s">
        <v>56</v>
      </c>
      <c r="I112" s="225">
        <v>158</v>
      </c>
      <c r="J112" s="225" t="s">
        <v>131</v>
      </c>
      <c r="K112" s="171">
        <v>79</v>
      </c>
      <c r="L112" s="224">
        <v>2250</v>
      </c>
      <c r="M112" s="225" t="s">
        <v>99</v>
      </c>
      <c r="N112" s="227" t="s">
        <v>560</v>
      </c>
      <c r="O112" s="228"/>
    </row>
    <row r="113" spans="3:15" s="116" customFormat="1" ht="15" thickBot="1">
      <c r="C113" s="223"/>
      <c r="D113" s="224">
        <v>104</v>
      </c>
      <c r="E113" s="225"/>
      <c r="F113" s="224">
        <v>104</v>
      </c>
      <c r="G113" s="226">
        <v>44567</v>
      </c>
      <c r="H113" s="225" t="s">
        <v>486</v>
      </c>
      <c r="I113" s="225">
        <v>195</v>
      </c>
      <c r="J113" s="225" t="s">
        <v>59</v>
      </c>
      <c r="K113" s="171">
        <v>97.6</v>
      </c>
      <c r="L113" s="224">
        <v>2250</v>
      </c>
      <c r="M113" s="225" t="s">
        <v>630</v>
      </c>
      <c r="N113" s="227" t="s">
        <v>447</v>
      </c>
      <c r="O113" s="228"/>
    </row>
    <row r="114" spans="3:15" s="116" customFormat="1" ht="15" thickBot="1">
      <c r="C114" s="223"/>
      <c r="D114" s="224"/>
      <c r="E114" s="225"/>
      <c r="F114" s="224"/>
      <c r="G114" s="226"/>
      <c r="H114" s="225"/>
      <c r="I114" s="225"/>
      <c r="J114" s="225"/>
      <c r="K114" s="171"/>
      <c r="L114" s="224"/>
      <c r="M114" s="225"/>
      <c r="N114" s="227"/>
      <c r="O114" s="228"/>
    </row>
    <row r="115" spans="3:15" ht="15" thickBot="1">
      <c r="C115" s="37"/>
      <c r="D115" s="124"/>
      <c r="E115" s="38"/>
      <c r="F115" s="124"/>
      <c r="G115" s="122"/>
      <c r="H115" s="38"/>
      <c r="I115" s="38"/>
      <c r="J115" s="38"/>
      <c r="K115" s="104"/>
      <c r="L115" s="124"/>
      <c r="M115" s="38"/>
      <c r="N115" s="195"/>
      <c r="O115" s="39"/>
    </row>
    <row r="116" spans="3:15" ht="15" thickBot="1">
      <c r="C116" s="37"/>
      <c r="D116" s="124"/>
      <c r="E116" s="38"/>
      <c r="F116" s="124"/>
      <c r="G116" s="122"/>
      <c r="H116" s="38"/>
      <c r="I116" s="38"/>
      <c r="J116" s="38"/>
      <c r="K116" s="104"/>
      <c r="L116" s="124"/>
      <c r="M116" s="38"/>
      <c r="N116" s="195"/>
      <c r="O116" s="39"/>
    </row>
    <row r="117" spans="3:15" ht="15.6">
      <c r="G117" s="34"/>
    </row>
    <row r="119" spans="3:15" ht="15" thickBot="1"/>
    <row r="120" spans="3:15" ht="26.4" thickBot="1">
      <c r="C120" s="236" t="s">
        <v>52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8"/>
      <c r="N120" s="190"/>
      <c r="O120" s="30"/>
    </row>
    <row r="121" spans="3:15" ht="15.6">
      <c r="C121" s="31"/>
      <c r="D121" s="32" t="s">
        <v>47</v>
      </c>
      <c r="E121" s="33" t="s">
        <v>48</v>
      </c>
      <c r="F121" s="33" t="s">
        <v>49</v>
      </c>
      <c r="G121" s="34" t="s">
        <v>41</v>
      </c>
      <c r="H121" s="33" t="s">
        <v>42</v>
      </c>
      <c r="I121" s="33" t="s">
        <v>28</v>
      </c>
      <c r="J121" s="33" t="s">
        <v>43</v>
      </c>
      <c r="K121" s="33" t="s">
        <v>44</v>
      </c>
      <c r="L121" s="33" t="s">
        <v>3</v>
      </c>
      <c r="M121" s="33" t="s">
        <v>45</v>
      </c>
      <c r="N121" s="191"/>
      <c r="O121" s="35" t="s">
        <v>46</v>
      </c>
    </row>
    <row r="122" spans="3:15"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192"/>
      <c r="O122" s="36"/>
    </row>
    <row r="123" spans="3:15">
      <c r="C123" s="27"/>
      <c r="D123" s="41" t="s">
        <v>130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192"/>
      <c r="O123" s="36"/>
    </row>
    <row r="124" spans="3:15">
      <c r="C124" s="27"/>
      <c r="D124" s="28">
        <v>6</v>
      </c>
      <c r="E124" s="28"/>
      <c r="F124" s="28">
        <v>6</v>
      </c>
      <c r="G124" s="40">
        <v>44334</v>
      </c>
      <c r="H124" s="28" t="s">
        <v>56</v>
      </c>
      <c r="I124" s="28">
        <v>160</v>
      </c>
      <c r="J124" s="28" t="s">
        <v>131</v>
      </c>
      <c r="K124" s="28">
        <v>80</v>
      </c>
      <c r="L124" s="28">
        <v>3000</v>
      </c>
      <c r="M124" s="28" t="s">
        <v>132</v>
      </c>
      <c r="N124" s="192" t="s">
        <v>560</v>
      </c>
      <c r="O124" s="36">
        <v>1</v>
      </c>
    </row>
    <row r="125" spans="3:15">
      <c r="C125" s="27"/>
      <c r="D125" s="28">
        <v>7</v>
      </c>
      <c r="E125" s="28"/>
      <c r="F125" s="28">
        <v>7</v>
      </c>
      <c r="G125" s="40">
        <v>44335</v>
      </c>
      <c r="H125" s="28" t="s">
        <v>56</v>
      </c>
      <c r="I125" s="28">
        <v>168</v>
      </c>
      <c r="J125" s="28" t="s">
        <v>131</v>
      </c>
      <c r="K125" s="28">
        <v>84</v>
      </c>
      <c r="L125" s="28">
        <v>3000</v>
      </c>
      <c r="M125" s="28" t="s">
        <v>133</v>
      </c>
      <c r="N125" s="192" t="s">
        <v>560</v>
      </c>
      <c r="O125" s="36"/>
    </row>
    <row r="126" spans="3:15">
      <c r="C126" s="27"/>
      <c r="D126" s="28">
        <v>8</v>
      </c>
      <c r="E126" s="28"/>
      <c r="F126" s="28">
        <v>8</v>
      </c>
      <c r="G126" s="51">
        <v>44336</v>
      </c>
      <c r="H126" s="28" t="s">
        <v>56</v>
      </c>
      <c r="I126" s="52">
        <v>64</v>
      </c>
      <c r="J126" s="28" t="s">
        <v>131</v>
      </c>
      <c r="K126" s="52">
        <v>32</v>
      </c>
      <c r="L126" s="28">
        <v>3000</v>
      </c>
      <c r="M126" s="52" t="s">
        <v>134</v>
      </c>
      <c r="N126" s="192" t="s">
        <v>560</v>
      </c>
      <c r="O126" s="36"/>
    </row>
    <row r="127" spans="3:15">
      <c r="C127" s="27"/>
      <c r="D127" s="28">
        <v>9</v>
      </c>
      <c r="E127" s="28"/>
      <c r="F127" s="28">
        <v>9</v>
      </c>
      <c r="G127" s="40">
        <v>44336</v>
      </c>
      <c r="H127" s="28" t="s">
        <v>56</v>
      </c>
      <c r="I127" s="28">
        <v>190</v>
      </c>
      <c r="J127" s="28" t="s">
        <v>131</v>
      </c>
      <c r="K127" s="28">
        <v>102.4</v>
      </c>
      <c r="L127" s="28">
        <v>3000</v>
      </c>
      <c r="M127" s="28" t="s">
        <v>81</v>
      </c>
      <c r="N127" s="192" t="s">
        <v>560</v>
      </c>
      <c r="O127" s="36"/>
    </row>
    <row r="128" spans="3:15">
      <c r="C128" s="27"/>
      <c r="D128" s="118" t="s">
        <v>243</v>
      </c>
      <c r="E128" s="28"/>
      <c r="F128" s="118" t="s">
        <v>243</v>
      </c>
      <c r="G128" s="240" t="s">
        <v>244</v>
      </c>
      <c r="H128" s="241"/>
      <c r="I128" s="241"/>
      <c r="J128" s="241"/>
      <c r="K128" s="241"/>
      <c r="L128" s="241"/>
      <c r="M128" s="242"/>
      <c r="N128" s="189"/>
      <c r="O128" s="36"/>
    </row>
    <row r="129" spans="3:21">
      <c r="C129" s="27"/>
      <c r="D129" s="28" t="s">
        <v>249</v>
      </c>
      <c r="E129" s="28"/>
      <c r="F129" s="28" t="s">
        <v>250</v>
      </c>
      <c r="G129" s="28"/>
      <c r="H129" s="28"/>
      <c r="I129" s="28"/>
      <c r="J129" s="28"/>
      <c r="K129" s="28"/>
      <c r="L129" s="28"/>
      <c r="M129" s="28"/>
      <c r="N129" s="192"/>
      <c r="O129" s="36"/>
    </row>
    <row r="130" spans="3:21">
      <c r="C130" s="27"/>
      <c r="D130" s="28">
        <v>19</v>
      </c>
      <c r="E130" s="28"/>
      <c r="F130" s="28">
        <v>19</v>
      </c>
      <c r="G130" s="40">
        <v>44351</v>
      </c>
      <c r="H130" s="28" t="s">
        <v>56</v>
      </c>
      <c r="I130" s="28">
        <v>183</v>
      </c>
      <c r="J130" s="28" t="s">
        <v>59</v>
      </c>
      <c r="K130" s="28">
        <v>91.5</v>
      </c>
      <c r="L130" s="28">
        <v>2850</v>
      </c>
      <c r="M130" s="28" t="s">
        <v>251</v>
      </c>
      <c r="N130" s="192" t="s">
        <v>447</v>
      </c>
      <c r="O130" s="36"/>
    </row>
    <row r="131" spans="3:21">
      <c r="C131" s="27"/>
      <c r="D131" s="28">
        <v>20</v>
      </c>
      <c r="E131" s="28"/>
      <c r="F131" s="28">
        <v>20</v>
      </c>
      <c r="G131" s="40">
        <v>44357</v>
      </c>
      <c r="H131" s="28" t="s">
        <v>60</v>
      </c>
      <c r="I131" s="28">
        <v>79</v>
      </c>
      <c r="J131" s="28" t="s">
        <v>259</v>
      </c>
      <c r="K131" s="28">
        <v>38</v>
      </c>
      <c r="L131" s="28">
        <v>2700</v>
      </c>
      <c r="M131" s="28" t="s">
        <v>258</v>
      </c>
      <c r="N131" s="192" t="s">
        <v>447</v>
      </c>
      <c r="O131" s="36"/>
    </row>
    <row r="132" spans="3:21">
      <c r="C132" s="27"/>
      <c r="D132" s="28">
        <v>21</v>
      </c>
      <c r="E132" s="28"/>
      <c r="F132" s="28">
        <v>21</v>
      </c>
      <c r="G132" s="40">
        <v>44363</v>
      </c>
      <c r="H132" s="28" t="s">
        <v>60</v>
      </c>
      <c r="I132" s="28">
        <v>89</v>
      </c>
      <c r="J132" s="28" t="s">
        <v>259</v>
      </c>
      <c r="K132" s="28">
        <v>44.5</v>
      </c>
      <c r="L132" s="28">
        <v>2350</v>
      </c>
      <c r="M132" s="28" t="s">
        <v>268</v>
      </c>
      <c r="N132" s="192" t="s">
        <v>447</v>
      </c>
      <c r="O132" s="36"/>
    </row>
    <row r="133" spans="3:21">
      <c r="C133" s="27"/>
      <c r="D133" s="28">
        <v>22</v>
      </c>
      <c r="E133" s="28"/>
      <c r="F133" s="28">
        <v>22</v>
      </c>
      <c r="G133" s="40">
        <v>44359</v>
      </c>
      <c r="H133" s="28" t="s">
        <v>56</v>
      </c>
      <c r="I133" s="28">
        <v>183</v>
      </c>
      <c r="J133" s="28" t="s">
        <v>59</v>
      </c>
      <c r="K133" s="28">
        <v>91.5</v>
      </c>
      <c r="L133" s="28">
        <v>2550</v>
      </c>
      <c r="M133" s="28" t="s">
        <v>267</v>
      </c>
      <c r="N133" s="192" t="s">
        <v>447</v>
      </c>
      <c r="O133" s="36"/>
    </row>
    <row r="134" spans="3:21">
      <c r="C134" s="27"/>
      <c r="D134" s="28">
        <v>23</v>
      </c>
      <c r="E134" s="28"/>
      <c r="F134" s="28">
        <v>23</v>
      </c>
      <c r="G134" s="40">
        <v>44379</v>
      </c>
      <c r="H134" s="28" t="s">
        <v>56</v>
      </c>
      <c r="I134" s="28">
        <v>111</v>
      </c>
      <c r="J134" s="28" t="s">
        <v>259</v>
      </c>
      <c r="K134" s="28">
        <v>55.5</v>
      </c>
      <c r="L134" s="28">
        <v>2570</v>
      </c>
      <c r="M134" s="28" t="s">
        <v>337</v>
      </c>
      <c r="N134" s="192" t="s">
        <v>447</v>
      </c>
      <c r="O134" s="36"/>
      <c r="U134">
        <v>79</v>
      </c>
    </row>
    <row r="135" spans="3:21">
      <c r="C135" s="27"/>
      <c r="D135" s="28">
        <v>24</v>
      </c>
      <c r="E135" s="28"/>
      <c r="F135" s="28">
        <v>24</v>
      </c>
      <c r="G135" s="40">
        <v>44383</v>
      </c>
      <c r="H135" s="28" t="s">
        <v>56</v>
      </c>
      <c r="I135" s="28">
        <v>138</v>
      </c>
      <c r="J135" s="28" t="s">
        <v>59</v>
      </c>
      <c r="K135" s="28">
        <v>69</v>
      </c>
      <c r="L135" s="28">
        <v>2750</v>
      </c>
      <c r="M135" s="28" t="s">
        <v>338</v>
      </c>
      <c r="N135" s="192" t="s">
        <v>447</v>
      </c>
      <c r="O135" s="36"/>
      <c r="U135">
        <v>89</v>
      </c>
    </row>
    <row r="136" spans="3:21">
      <c r="C136" s="27"/>
      <c r="D136" s="28">
        <v>25</v>
      </c>
      <c r="E136" s="28"/>
      <c r="F136" s="28">
        <v>25</v>
      </c>
      <c r="G136" s="40">
        <v>44384</v>
      </c>
      <c r="H136" s="28" t="s">
        <v>56</v>
      </c>
      <c r="I136" s="28">
        <v>165</v>
      </c>
      <c r="J136" s="28" t="s">
        <v>259</v>
      </c>
      <c r="K136" s="28">
        <v>82.5</v>
      </c>
      <c r="L136" s="28">
        <v>2800</v>
      </c>
      <c r="M136" s="28" t="s">
        <v>347</v>
      </c>
      <c r="N136" s="192" t="s">
        <v>447</v>
      </c>
      <c r="O136" s="36">
        <v>1</v>
      </c>
      <c r="U136">
        <v>111</v>
      </c>
    </row>
    <row r="137" spans="3:21">
      <c r="C137" s="27"/>
      <c r="D137" s="28">
        <v>26</v>
      </c>
      <c r="E137" s="28"/>
      <c r="F137" s="28">
        <v>26</v>
      </c>
      <c r="G137" s="40">
        <v>44386</v>
      </c>
      <c r="H137" s="28" t="s">
        <v>60</v>
      </c>
      <c r="I137" s="28">
        <v>100</v>
      </c>
      <c r="J137" s="28" t="s">
        <v>259</v>
      </c>
      <c r="K137" s="28">
        <v>50</v>
      </c>
      <c r="L137" s="28">
        <v>2800</v>
      </c>
      <c r="M137" s="28" t="s">
        <v>367</v>
      </c>
      <c r="N137" s="192" t="s">
        <v>447</v>
      </c>
      <c r="O137" s="36"/>
      <c r="U137">
        <v>165</v>
      </c>
    </row>
    <row r="138" spans="3:21">
      <c r="C138" s="27"/>
      <c r="D138" s="28">
        <v>27</v>
      </c>
      <c r="E138" s="28"/>
      <c r="F138" s="28" t="s">
        <v>250</v>
      </c>
      <c r="G138" s="28"/>
      <c r="H138" s="28" t="s">
        <v>344</v>
      </c>
      <c r="I138" s="28"/>
      <c r="J138" s="28"/>
      <c r="K138" s="28"/>
      <c r="L138" s="28"/>
      <c r="M138" s="28"/>
      <c r="N138" s="192"/>
      <c r="O138" s="36" t="s">
        <v>409</v>
      </c>
      <c r="U138">
        <v>100</v>
      </c>
    </row>
    <row r="139" spans="3:21">
      <c r="C139" s="27"/>
      <c r="D139" s="28">
        <v>28</v>
      </c>
      <c r="E139" s="28"/>
      <c r="F139" s="28">
        <v>28</v>
      </c>
      <c r="G139" s="28"/>
      <c r="H139" s="28" t="s">
        <v>344</v>
      </c>
      <c r="I139" s="28"/>
      <c r="J139" s="28"/>
      <c r="K139" s="28"/>
      <c r="L139" s="28"/>
      <c r="M139" s="28"/>
      <c r="N139" s="192"/>
      <c r="O139" s="36"/>
      <c r="U139">
        <v>90</v>
      </c>
    </row>
    <row r="140" spans="3:21">
      <c r="C140" s="27"/>
      <c r="D140" s="28">
        <v>29</v>
      </c>
      <c r="E140" s="28"/>
      <c r="F140" s="28">
        <v>29</v>
      </c>
      <c r="G140" s="40">
        <v>44392</v>
      </c>
      <c r="H140" s="28" t="s">
        <v>56</v>
      </c>
      <c r="I140" s="28">
        <v>90</v>
      </c>
      <c r="J140" s="28" t="s">
        <v>259</v>
      </c>
      <c r="K140" s="28">
        <v>45</v>
      </c>
      <c r="L140" s="28">
        <v>2900</v>
      </c>
      <c r="M140" s="28" t="s">
        <v>346</v>
      </c>
      <c r="N140" s="192" t="s">
        <v>447</v>
      </c>
      <c r="O140" s="36"/>
    </row>
    <row r="141" spans="3:21">
      <c r="C141" s="102"/>
      <c r="D141" s="104">
        <v>30</v>
      </c>
      <c r="E141" s="104"/>
      <c r="F141" s="104" t="s">
        <v>250</v>
      </c>
      <c r="G141" s="103"/>
      <c r="H141" s="104" t="s">
        <v>344</v>
      </c>
      <c r="I141" s="104"/>
      <c r="J141" s="104"/>
      <c r="K141" s="104"/>
      <c r="L141" s="104"/>
      <c r="M141" s="104"/>
      <c r="N141" s="194"/>
      <c r="O141" s="105" t="s">
        <v>409</v>
      </c>
    </row>
    <row r="142" spans="3:21">
      <c r="C142" s="102"/>
      <c r="D142" s="104">
        <v>31</v>
      </c>
      <c r="E142" s="104"/>
      <c r="F142" s="104">
        <v>31</v>
      </c>
      <c r="G142" s="103">
        <v>44400</v>
      </c>
      <c r="H142" s="104" t="s">
        <v>348</v>
      </c>
      <c r="I142" s="104">
        <v>44</v>
      </c>
      <c r="J142" s="104" t="s">
        <v>259</v>
      </c>
      <c r="K142" s="104">
        <f>I142/2</f>
        <v>22</v>
      </c>
      <c r="L142" s="104">
        <v>3000</v>
      </c>
      <c r="M142" s="104" t="s">
        <v>104</v>
      </c>
      <c r="N142" s="194" t="s">
        <v>447</v>
      </c>
      <c r="O142" s="105"/>
    </row>
    <row r="143" spans="3:21">
      <c r="C143" s="102"/>
      <c r="D143" s="104">
        <v>32</v>
      </c>
      <c r="E143" s="104"/>
      <c r="F143" s="104">
        <v>32</v>
      </c>
      <c r="G143" s="103">
        <v>44403</v>
      </c>
      <c r="H143" s="104" t="s">
        <v>354</v>
      </c>
      <c r="I143" s="104">
        <v>300</v>
      </c>
      <c r="J143" s="104" t="s">
        <v>361</v>
      </c>
      <c r="K143" s="104" t="s">
        <v>352</v>
      </c>
      <c r="L143" s="104"/>
      <c r="M143" s="104" t="s">
        <v>360</v>
      </c>
      <c r="N143" s="194"/>
      <c r="O143" s="105" t="s">
        <v>366</v>
      </c>
    </row>
    <row r="144" spans="3:21">
      <c r="C144" s="102"/>
      <c r="D144" s="104">
        <v>33</v>
      </c>
      <c r="E144" s="104"/>
      <c r="F144" s="104">
        <v>33</v>
      </c>
      <c r="G144" s="103">
        <v>44403</v>
      </c>
      <c r="H144" s="104" t="s">
        <v>353</v>
      </c>
      <c r="I144" s="104">
        <v>580</v>
      </c>
      <c r="J144" s="104" t="s">
        <v>350</v>
      </c>
      <c r="K144" s="104" t="s">
        <v>220</v>
      </c>
      <c r="L144" s="104"/>
      <c r="M144" s="104" t="s">
        <v>362</v>
      </c>
      <c r="N144" s="194"/>
      <c r="O144" s="105" t="s">
        <v>366</v>
      </c>
    </row>
    <row r="145" spans="3:17">
      <c r="C145" s="102"/>
      <c r="D145" s="104">
        <v>34</v>
      </c>
      <c r="E145" s="104"/>
      <c r="F145" s="104">
        <v>34</v>
      </c>
      <c r="G145" s="103">
        <v>44404</v>
      </c>
      <c r="H145" s="104" t="s">
        <v>56</v>
      </c>
      <c r="I145" s="104">
        <v>240</v>
      </c>
      <c r="J145" s="104" t="s">
        <v>361</v>
      </c>
      <c r="K145" s="104" t="s">
        <v>352</v>
      </c>
      <c r="L145" s="104"/>
      <c r="M145" s="104" t="s">
        <v>360</v>
      </c>
      <c r="N145" s="194"/>
      <c r="O145" s="105" t="s">
        <v>366</v>
      </c>
    </row>
    <row r="146" spans="3:17">
      <c r="C146" s="102"/>
      <c r="D146" s="104">
        <v>35</v>
      </c>
      <c r="E146" s="104"/>
      <c r="F146" s="104">
        <v>35</v>
      </c>
      <c r="G146" s="103">
        <v>44408</v>
      </c>
      <c r="H146" s="104" t="s">
        <v>354</v>
      </c>
      <c r="I146" s="104">
        <v>270</v>
      </c>
      <c r="J146" s="104" t="s">
        <v>363</v>
      </c>
      <c r="K146" s="104" t="s">
        <v>352</v>
      </c>
      <c r="L146" s="104"/>
      <c r="M146" s="104" t="s">
        <v>362</v>
      </c>
      <c r="N146" s="194"/>
      <c r="O146" s="105" t="s">
        <v>366</v>
      </c>
    </row>
    <row r="147" spans="3:17">
      <c r="C147" s="102"/>
      <c r="D147" s="104">
        <v>36</v>
      </c>
      <c r="E147" s="104"/>
      <c r="F147" s="104">
        <v>36</v>
      </c>
      <c r="G147" s="103">
        <v>44408</v>
      </c>
      <c r="H147" s="104" t="s">
        <v>56</v>
      </c>
      <c r="I147" s="104">
        <v>181</v>
      </c>
      <c r="J147" s="104" t="s">
        <v>9</v>
      </c>
      <c r="K147" s="104" t="s">
        <v>352</v>
      </c>
      <c r="L147" s="104"/>
      <c r="M147" s="104" t="s">
        <v>360</v>
      </c>
      <c r="N147" s="194"/>
      <c r="O147" s="105" t="s">
        <v>409</v>
      </c>
    </row>
    <row r="148" spans="3:17">
      <c r="C148" s="102"/>
      <c r="D148" s="104">
        <v>37</v>
      </c>
      <c r="E148" s="104"/>
      <c r="F148" s="104">
        <v>37</v>
      </c>
      <c r="G148" s="103">
        <v>44410</v>
      </c>
      <c r="H148" s="104" t="s">
        <v>364</v>
      </c>
      <c r="I148" s="104">
        <v>270</v>
      </c>
      <c r="J148" s="104" t="s">
        <v>351</v>
      </c>
      <c r="K148" s="104" t="s">
        <v>352</v>
      </c>
      <c r="L148" s="104"/>
      <c r="M148" s="104" t="s">
        <v>362</v>
      </c>
      <c r="N148" s="194"/>
      <c r="O148" s="105" t="s">
        <v>366</v>
      </c>
    </row>
    <row r="149" spans="3:17">
      <c r="C149" s="102"/>
      <c r="D149" s="104">
        <v>38</v>
      </c>
      <c r="E149" s="104"/>
      <c r="F149" s="104">
        <v>38</v>
      </c>
      <c r="G149" s="103">
        <v>44413</v>
      </c>
      <c r="H149" s="104" t="s">
        <v>354</v>
      </c>
      <c r="I149" s="104">
        <v>270</v>
      </c>
      <c r="J149" s="104" t="s">
        <v>365</v>
      </c>
      <c r="K149" s="104" t="s">
        <v>352</v>
      </c>
      <c r="L149" s="104"/>
      <c r="M149" s="104" t="s">
        <v>362</v>
      </c>
      <c r="N149" s="194"/>
      <c r="O149" s="105" t="s">
        <v>366</v>
      </c>
      <c r="Q149" t="s">
        <v>9</v>
      </c>
    </row>
    <row r="150" spans="3:17">
      <c r="C150" s="102"/>
      <c r="D150" s="104">
        <v>39</v>
      </c>
      <c r="E150" s="104"/>
      <c r="F150" s="104">
        <v>39</v>
      </c>
      <c r="G150" s="103">
        <v>44414</v>
      </c>
      <c r="H150" s="104" t="s">
        <v>402</v>
      </c>
      <c r="I150" s="104">
        <v>540</v>
      </c>
      <c r="J150" s="104" t="s">
        <v>403</v>
      </c>
      <c r="K150" s="104" t="s">
        <v>352</v>
      </c>
      <c r="L150" s="104" t="s">
        <v>425</v>
      </c>
      <c r="M150" s="104" t="s">
        <v>362</v>
      </c>
      <c r="N150" s="194"/>
      <c r="O150" s="105" t="s">
        <v>366</v>
      </c>
      <c r="Q150">
        <f>270+70</f>
        <v>340</v>
      </c>
    </row>
    <row r="151" spans="3:17">
      <c r="C151" s="102"/>
      <c r="D151" s="104">
        <v>40</v>
      </c>
      <c r="E151" s="104"/>
      <c r="F151" s="104">
        <v>40</v>
      </c>
      <c r="G151" s="103">
        <v>44414</v>
      </c>
      <c r="H151" s="104" t="s">
        <v>401</v>
      </c>
      <c r="I151" s="104">
        <v>270</v>
      </c>
      <c r="J151" s="104" t="s">
        <v>365</v>
      </c>
      <c r="K151" s="104" t="s">
        <v>352</v>
      </c>
      <c r="L151" s="104"/>
      <c r="M151" s="104" t="s">
        <v>362</v>
      </c>
      <c r="N151" s="194"/>
      <c r="O151" s="105" t="s">
        <v>366</v>
      </c>
    </row>
    <row r="152" spans="3:17">
      <c r="C152" s="102"/>
      <c r="D152" s="104">
        <v>41</v>
      </c>
      <c r="E152" s="104"/>
      <c r="F152" s="104">
        <v>41</v>
      </c>
      <c r="G152" s="103">
        <v>44420</v>
      </c>
      <c r="H152" s="104" t="s">
        <v>410</v>
      </c>
      <c r="I152" s="104">
        <v>270</v>
      </c>
      <c r="J152" s="104" t="s">
        <v>411</v>
      </c>
      <c r="K152" s="104" t="s">
        <v>352</v>
      </c>
      <c r="L152" s="104"/>
      <c r="M152" s="104" t="s">
        <v>362</v>
      </c>
      <c r="N152" s="194"/>
      <c r="O152" s="105" t="s">
        <v>366</v>
      </c>
    </row>
    <row r="153" spans="3:17">
      <c r="C153" s="102"/>
      <c r="D153" s="104">
        <v>42</v>
      </c>
      <c r="E153" s="104"/>
      <c r="F153" s="104">
        <v>42</v>
      </c>
      <c r="G153" s="103">
        <v>44422</v>
      </c>
      <c r="H153" s="104" t="s">
        <v>412</v>
      </c>
      <c r="I153" s="104">
        <v>270</v>
      </c>
      <c r="J153" s="104" t="s">
        <v>411</v>
      </c>
      <c r="K153" s="104" t="s">
        <v>352</v>
      </c>
      <c r="L153" s="104"/>
      <c r="M153" s="104" t="s">
        <v>362</v>
      </c>
      <c r="N153" s="194"/>
      <c r="O153" s="105" t="s">
        <v>366</v>
      </c>
    </row>
    <row r="154" spans="3:17">
      <c r="C154" s="102"/>
      <c r="D154" s="104">
        <v>43</v>
      </c>
      <c r="E154" s="104"/>
      <c r="F154" s="104">
        <v>43</v>
      </c>
      <c r="G154" s="103">
        <v>44422</v>
      </c>
      <c r="H154" s="104" t="s">
        <v>56</v>
      </c>
      <c r="I154" s="104">
        <v>111</v>
      </c>
      <c r="J154" s="104" t="s">
        <v>259</v>
      </c>
      <c r="K154" s="104">
        <v>56.5</v>
      </c>
      <c r="L154" s="104">
        <v>3200</v>
      </c>
      <c r="M154" s="104" t="s">
        <v>258</v>
      </c>
      <c r="N154" s="194" t="s">
        <v>447</v>
      </c>
      <c r="O154" s="105"/>
    </row>
    <row r="155" spans="3:17">
      <c r="C155" s="102"/>
      <c r="D155" s="104">
        <v>44</v>
      </c>
      <c r="E155" s="104"/>
      <c r="F155" s="104">
        <v>44</v>
      </c>
      <c r="G155" s="103">
        <v>44424</v>
      </c>
      <c r="H155" s="104" t="s">
        <v>413</v>
      </c>
      <c r="I155" s="104">
        <v>270</v>
      </c>
      <c r="J155" s="171" t="s">
        <v>414</v>
      </c>
      <c r="K155" s="104" t="s">
        <v>352</v>
      </c>
      <c r="L155" s="104"/>
      <c r="M155" s="104" t="s">
        <v>427</v>
      </c>
      <c r="N155" s="194"/>
      <c r="O155" s="105" t="s">
        <v>415</v>
      </c>
    </row>
    <row r="156" spans="3:17">
      <c r="C156" s="102"/>
      <c r="D156" s="104">
        <v>45</v>
      </c>
      <c r="E156" s="104"/>
      <c r="F156" s="104">
        <v>45</v>
      </c>
      <c r="G156" s="103">
        <v>44425</v>
      </c>
      <c r="H156" s="104" t="s">
        <v>416</v>
      </c>
      <c r="I156" s="104">
        <v>270</v>
      </c>
      <c r="J156" s="104" t="s">
        <v>414</v>
      </c>
      <c r="K156" s="104" t="s">
        <v>352</v>
      </c>
      <c r="L156" s="104"/>
      <c r="M156" s="104" t="s">
        <v>362</v>
      </c>
      <c r="N156" s="194"/>
      <c r="O156" s="105" t="s">
        <v>366</v>
      </c>
    </row>
    <row r="157" spans="3:17">
      <c r="C157" s="102"/>
      <c r="D157" s="104">
        <v>46</v>
      </c>
      <c r="E157" s="104"/>
      <c r="F157" s="104">
        <v>46</v>
      </c>
      <c r="G157" s="103">
        <v>44428</v>
      </c>
      <c r="H157" s="104" t="s">
        <v>417</v>
      </c>
      <c r="I157" s="104">
        <v>270</v>
      </c>
      <c r="J157" s="104" t="s">
        <v>418</v>
      </c>
      <c r="K157" s="104" t="s">
        <v>352</v>
      </c>
      <c r="L157" s="104"/>
      <c r="M157" s="104" t="s">
        <v>362</v>
      </c>
      <c r="N157" s="194"/>
      <c r="O157" s="105"/>
    </row>
    <row r="158" spans="3:17">
      <c r="C158" s="102"/>
      <c r="D158" s="104">
        <v>47</v>
      </c>
      <c r="E158" s="104"/>
      <c r="F158" s="104">
        <v>47</v>
      </c>
      <c r="G158" s="103">
        <v>44429</v>
      </c>
      <c r="H158" s="104" t="s">
        <v>354</v>
      </c>
      <c r="I158" s="104">
        <f>218+70</f>
        <v>288</v>
      </c>
      <c r="J158" s="104" t="s">
        <v>9</v>
      </c>
      <c r="K158" s="104" t="s">
        <v>352</v>
      </c>
      <c r="L158" s="104"/>
      <c r="M158" s="104" t="s">
        <v>426</v>
      </c>
      <c r="N158" s="194"/>
      <c r="O158" s="105" t="s">
        <v>419</v>
      </c>
    </row>
    <row r="159" spans="3:17">
      <c r="C159" s="102"/>
      <c r="D159" s="104">
        <v>48</v>
      </c>
      <c r="E159" s="104"/>
      <c r="F159" s="104">
        <v>48</v>
      </c>
      <c r="G159" s="103">
        <v>44431</v>
      </c>
      <c r="H159" s="104" t="s">
        <v>420</v>
      </c>
      <c r="I159" s="104">
        <v>270</v>
      </c>
      <c r="J159" s="104" t="s">
        <v>418</v>
      </c>
      <c r="K159" s="104" t="s">
        <v>352</v>
      </c>
      <c r="L159" s="104"/>
      <c r="M159" s="104" t="s">
        <v>362</v>
      </c>
      <c r="N159" s="194"/>
      <c r="O159" s="105"/>
    </row>
    <row r="160" spans="3:17">
      <c r="C160" s="102"/>
      <c r="D160" s="104">
        <v>49</v>
      </c>
      <c r="E160" s="104"/>
      <c r="F160" s="104">
        <v>49</v>
      </c>
      <c r="G160" s="103">
        <v>44432</v>
      </c>
      <c r="H160" s="104" t="s">
        <v>423</v>
      </c>
      <c r="I160" s="104">
        <v>270</v>
      </c>
      <c r="J160" s="104" t="s">
        <v>422</v>
      </c>
      <c r="K160" s="104" t="s">
        <v>352</v>
      </c>
      <c r="L160" s="104" t="s">
        <v>424</v>
      </c>
      <c r="M160" s="104" t="s">
        <v>362</v>
      </c>
      <c r="N160" s="194"/>
      <c r="O160" s="105"/>
    </row>
    <row r="161" spans="3:18">
      <c r="C161" s="102"/>
      <c r="D161" s="104">
        <v>50</v>
      </c>
      <c r="E161" s="104"/>
      <c r="F161" s="104">
        <v>50</v>
      </c>
      <c r="G161" s="103">
        <v>44432</v>
      </c>
      <c r="H161" s="104" t="s">
        <v>421</v>
      </c>
      <c r="I161" s="104">
        <v>270</v>
      </c>
      <c r="J161" s="104" t="s">
        <v>422</v>
      </c>
      <c r="K161" s="104" t="s">
        <v>352</v>
      </c>
      <c r="L161" s="104" t="s">
        <v>424</v>
      </c>
      <c r="M161" s="104" t="s">
        <v>362</v>
      </c>
      <c r="N161" s="194"/>
      <c r="O161" s="105"/>
    </row>
    <row r="162" spans="3:18">
      <c r="C162" s="102"/>
      <c r="D162" s="104">
        <v>51</v>
      </c>
      <c r="E162" s="104"/>
      <c r="F162" s="104">
        <v>51</v>
      </c>
      <c r="G162" s="103">
        <v>44435</v>
      </c>
      <c r="H162" s="104" t="s">
        <v>428</v>
      </c>
      <c r="I162" s="104">
        <f>270+70</f>
        <v>340</v>
      </c>
      <c r="J162" s="104" t="s">
        <v>429</v>
      </c>
      <c r="K162" s="104" t="s">
        <v>352</v>
      </c>
      <c r="L162" s="104"/>
      <c r="M162" s="104" t="s">
        <v>362</v>
      </c>
      <c r="N162" s="194"/>
      <c r="O162" s="105" t="s">
        <v>430</v>
      </c>
    </row>
    <row r="163" spans="3:18">
      <c r="C163" s="102"/>
      <c r="D163" s="104">
        <v>52</v>
      </c>
      <c r="E163" s="104"/>
      <c r="F163" s="104">
        <v>52</v>
      </c>
      <c r="G163" s="103">
        <v>44435</v>
      </c>
      <c r="H163" s="104" t="s">
        <v>56</v>
      </c>
      <c r="I163" s="104">
        <v>200</v>
      </c>
      <c r="J163" s="104" t="s">
        <v>429</v>
      </c>
      <c r="K163" s="104" t="s">
        <v>352</v>
      </c>
      <c r="L163" s="104"/>
      <c r="M163" s="104" t="s">
        <v>362</v>
      </c>
      <c r="N163" s="194"/>
      <c r="O163" s="105"/>
    </row>
    <row r="164" spans="3:18">
      <c r="C164" s="102"/>
      <c r="D164" s="104">
        <v>53</v>
      </c>
      <c r="E164" s="104"/>
      <c r="F164" s="104">
        <v>53</v>
      </c>
      <c r="G164" s="103">
        <v>44438</v>
      </c>
      <c r="H164" s="104" t="s">
        <v>417</v>
      </c>
      <c r="I164" s="104">
        <v>270</v>
      </c>
      <c r="J164" s="104" t="s">
        <v>431</v>
      </c>
      <c r="K164" s="104" t="s">
        <v>352</v>
      </c>
      <c r="L164" s="104"/>
      <c r="M164" s="104" t="s">
        <v>362</v>
      </c>
      <c r="N164" s="194"/>
      <c r="O164" s="105"/>
    </row>
    <row r="165" spans="3:18">
      <c r="C165" s="102"/>
      <c r="D165" s="104">
        <v>54</v>
      </c>
      <c r="E165" s="104"/>
      <c r="F165" s="104">
        <v>54</v>
      </c>
      <c r="G165" s="103">
        <v>44440</v>
      </c>
      <c r="H165" s="104" t="s">
        <v>432</v>
      </c>
      <c r="I165" s="104">
        <v>270</v>
      </c>
      <c r="J165" s="104" t="s">
        <v>431</v>
      </c>
      <c r="K165" s="104" t="s">
        <v>352</v>
      </c>
      <c r="L165" s="104"/>
      <c r="M165" s="104" t="s">
        <v>362</v>
      </c>
      <c r="N165" s="194"/>
      <c r="O165" s="105"/>
      <c r="R165" s="177">
        <v>141374805403</v>
      </c>
    </row>
    <row r="166" spans="3:18">
      <c r="C166" s="102"/>
      <c r="D166" s="104">
        <v>55</v>
      </c>
      <c r="E166" s="104"/>
      <c r="F166" s="104">
        <v>55</v>
      </c>
      <c r="G166" s="103">
        <v>44443</v>
      </c>
      <c r="H166" s="104" t="s">
        <v>354</v>
      </c>
      <c r="I166" s="104">
        <v>270</v>
      </c>
      <c r="J166" s="104" t="s">
        <v>433</v>
      </c>
      <c r="K166" s="104" t="s">
        <v>352</v>
      </c>
      <c r="L166" s="104"/>
      <c r="M166" s="104" t="s">
        <v>362</v>
      </c>
      <c r="N166" s="194"/>
      <c r="O166" s="105"/>
    </row>
    <row r="167" spans="3:18">
      <c r="C167" s="102"/>
      <c r="D167" s="104">
        <v>56</v>
      </c>
      <c r="E167" s="104"/>
      <c r="F167" s="104">
        <v>56</v>
      </c>
      <c r="G167" s="103">
        <v>44445</v>
      </c>
      <c r="H167" s="104" t="s">
        <v>410</v>
      </c>
      <c r="I167" s="104">
        <v>270</v>
      </c>
      <c r="J167" s="104" t="s">
        <v>433</v>
      </c>
      <c r="K167" s="104" t="s">
        <v>352</v>
      </c>
      <c r="L167" s="104"/>
      <c r="M167" s="104" t="s">
        <v>362</v>
      </c>
      <c r="N167" s="194"/>
      <c r="O167" s="105"/>
    </row>
    <row r="168" spans="3:18">
      <c r="C168" s="102"/>
      <c r="D168" s="104">
        <v>57</v>
      </c>
      <c r="E168" s="104"/>
      <c r="F168" s="104">
        <v>57</v>
      </c>
      <c r="G168" s="103" t="s">
        <v>480</v>
      </c>
      <c r="H168" s="104"/>
      <c r="I168" s="104"/>
      <c r="J168" s="104"/>
      <c r="K168" s="104"/>
      <c r="L168" s="104"/>
      <c r="M168" s="104"/>
      <c r="N168" s="194"/>
      <c r="O168" s="105"/>
    </row>
    <row r="169" spans="3:18">
      <c r="C169" s="102"/>
      <c r="D169" s="104">
        <v>58</v>
      </c>
      <c r="E169" s="104"/>
      <c r="F169" s="104">
        <v>58</v>
      </c>
      <c r="G169" s="103">
        <v>44448</v>
      </c>
      <c r="H169" s="104" t="s">
        <v>354</v>
      </c>
      <c r="I169" s="104">
        <v>270</v>
      </c>
      <c r="J169" s="104" t="s">
        <v>449</v>
      </c>
      <c r="K169" s="104" t="s">
        <v>352</v>
      </c>
      <c r="L169" s="104"/>
      <c r="M169" s="104" t="s">
        <v>362</v>
      </c>
      <c r="N169" s="194"/>
      <c r="O169" s="105"/>
    </row>
    <row r="170" spans="3:18">
      <c r="C170" s="102"/>
      <c r="D170" s="104">
        <v>59</v>
      </c>
      <c r="E170" s="104"/>
      <c r="F170" s="104">
        <v>59</v>
      </c>
      <c r="G170" s="103">
        <v>44448</v>
      </c>
      <c r="H170" s="104" t="s">
        <v>56</v>
      </c>
      <c r="I170" s="104">
        <v>131</v>
      </c>
      <c r="J170" s="104" t="s">
        <v>59</v>
      </c>
      <c r="K170" s="104">
        <v>65.5</v>
      </c>
      <c r="L170" s="104">
        <v>2800</v>
      </c>
      <c r="M170" s="104" t="s">
        <v>367</v>
      </c>
      <c r="N170" s="194" t="s">
        <v>447</v>
      </c>
      <c r="O170" s="105"/>
    </row>
    <row r="171" spans="3:18">
      <c r="C171" s="102"/>
      <c r="D171" s="104">
        <v>60</v>
      </c>
      <c r="E171" s="104"/>
      <c r="F171" s="104">
        <v>60</v>
      </c>
      <c r="G171" s="103">
        <v>44448</v>
      </c>
      <c r="H171" s="104" t="s">
        <v>450</v>
      </c>
      <c r="I171" s="104">
        <v>270</v>
      </c>
      <c r="J171" s="104" t="s">
        <v>449</v>
      </c>
      <c r="K171" s="104" t="s">
        <v>352</v>
      </c>
      <c r="L171" s="104"/>
      <c r="M171" s="104" t="s">
        <v>362</v>
      </c>
      <c r="N171" s="194"/>
      <c r="O171" s="105"/>
    </row>
    <row r="172" spans="3:18">
      <c r="C172" s="102"/>
      <c r="D172" s="104">
        <v>61</v>
      </c>
      <c r="E172" s="104"/>
      <c r="F172" s="104">
        <v>61</v>
      </c>
      <c r="G172" s="103">
        <v>44452</v>
      </c>
      <c r="H172" s="104" t="s">
        <v>420</v>
      </c>
      <c r="I172" s="104">
        <v>270</v>
      </c>
      <c r="J172" s="104" t="s">
        <v>451</v>
      </c>
      <c r="K172" s="104" t="s">
        <v>352</v>
      </c>
      <c r="L172" s="104"/>
      <c r="M172" s="104" t="s">
        <v>362</v>
      </c>
      <c r="N172" s="194"/>
      <c r="O172" s="105"/>
    </row>
    <row r="173" spans="3:18">
      <c r="C173" s="102"/>
      <c r="D173" s="104">
        <v>62</v>
      </c>
      <c r="E173" s="104"/>
      <c r="F173" s="104">
        <v>62</v>
      </c>
      <c r="G173" s="103">
        <v>44458</v>
      </c>
      <c r="H173" s="104" t="s">
        <v>401</v>
      </c>
      <c r="I173" s="104">
        <v>270</v>
      </c>
      <c r="J173" s="104" t="s">
        <v>451</v>
      </c>
      <c r="K173" s="104" t="s">
        <v>352</v>
      </c>
      <c r="L173" s="104"/>
      <c r="M173" s="104" t="s">
        <v>362</v>
      </c>
      <c r="N173" s="194"/>
      <c r="O173" s="105"/>
    </row>
    <row r="174" spans="3:18">
      <c r="C174" s="102"/>
      <c r="D174" s="104">
        <v>63</v>
      </c>
      <c r="E174" s="104"/>
      <c r="F174" s="104">
        <v>63</v>
      </c>
      <c r="G174" s="103">
        <v>44464</v>
      </c>
      <c r="H174" s="104" t="s">
        <v>452</v>
      </c>
      <c r="I174" s="104">
        <v>540</v>
      </c>
      <c r="J174" s="104" t="s">
        <v>453</v>
      </c>
      <c r="K174" s="104" t="s">
        <v>352</v>
      </c>
      <c r="L174" s="104"/>
      <c r="M174" s="104" t="s">
        <v>362</v>
      </c>
      <c r="N174" s="194"/>
      <c r="O174" s="105"/>
    </row>
    <row r="175" spans="3:18">
      <c r="C175" s="102"/>
      <c r="D175" s="104">
        <v>64</v>
      </c>
      <c r="E175" s="104"/>
      <c r="F175" s="104">
        <v>64</v>
      </c>
      <c r="G175" s="103">
        <v>44467</v>
      </c>
      <c r="H175" s="104" t="s">
        <v>401</v>
      </c>
      <c r="I175" s="104">
        <v>270</v>
      </c>
      <c r="J175" s="104" t="s">
        <v>454</v>
      </c>
      <c r="K175" s="104" t="s">
        <v>352</v>
      </c>
      <c r="L175" s="104"/>
      <c r="M175" s="104" t="s">
        <v>362</v>
      </c>
      <c r="N175" s="194"/>
      <c r="O175" s="105"/>
    </row>
    <row r="176" spans="3:18">
      <c r="C176" s="102"/>
      <c r="D176" s="104">
        <v>65</v>
      </c>
      <c r="E176" s="104"/>
      <c r="F176" s="104">
        <v>65</v>
      </c>
      <c r="G176" s="103">
        <v>44470</v>
      </c>
      <c r="H176" s="104" t="s">
        <v>455</v>
      </c>
      <c r="I176" s="104">
        <v>270</v>
      </c>
      <c r="J176" s="104" t="s">
        <v>454</v>
      </c>
      <c r="K176" s="104" t="s">
        <v>352</v>
      </c>
      <c r="L176" s="104"/>
      <c r="M176" s="104" t="s">
        <v>362</v>
      </c>
      <c r="N176" s="194"/>
      <c r="O176" s="105"/>
    </row>
    <row r="177" spans="3:15">
      <c r="C177" s="102"/>
      <c r="D177" s="104">
        <v>66</v>
      </c>
      <c r="E177" s="104"/>
      <c r="F177" s="104">
        <v>66</v>
      </c>
      <c r="G177" s="103">
        <v>44486</v>
      </c>
      <c r="H177" s="104" t="s">
        <v>506</v>
      </c>
      <c r="I177" s="104">
        <v>540</v>
      </c>
      <c r="J177" s="104" t="s">
        <v>507</v>
      </c>
      <c r="K177" s="104" t="s">
        <v>352</v>
      </c>
      <c r="L177" s="104"/>
      <c r="M177" s="104" t="s">
        <v>362</v>
      </c>
      <c r="N177" s="194"/>
      <c r="O177" s="105"/>
    </row>
    <row r="178" spans="3:15">
      <c r="C178" s="102"/>
      <c r="D178" s="104">
        <v>67</v>
      </c>
      <c r="E178" s="104"/>
      <c r="F178" s="104">
        <v>67</v>
      </c>
      <c r="G178" s="103">
        <v>44491</v>
      </c>
      <c r="H178" s="104" t="s">
        <v>508</v>
      </c>
      <c r="I178" s="104">
        <v>540</v>
      </c>
      <c r="J178" s="104" t="s">
        <v>509</v>
      </c>
      <c r="K178" s="104" t="s">
        <v>352</v>
      </c>
      <c r="L178" s="104"/>
      <c r="M178" s="104" t="s">
        <v>362</v>
      </c>
      <c r="N178" s="194"/>
      <c r="O178" s="105"/>
    </row>
    <row r="179" spans="3:15">
      <c r="C179" s="102"/>
      <c r="D179" s="104">
        <v>68</v>
      </c>
      <c r="E179" s="104"/>
      <c r="F179" s="104">
        <v>68</v>
      </c>
      <c r="G179" s="103">
        <v>44494</v>
      </c>
      <c r="H179" s="104" t="s">
        <v>510</v>
      </c>
      <c r="I179" s="104">
        <v>270</v>
      </c>
      <c r="J179" s="104" t="s">
        <v>511</v>
      </c>
      <c r="K179" s="104" t="s">
        <v>352</v>
      </c>
      <c r="L179" s="104"/>
      <c r="M179" s="104" t="s">
        <v>362</v>
      </c>
      <c r="N179" s="194"/>
      <c r="O179" s="105"/>
    </row>
    <row r="180" spans="3:15">
      <c r="C180" s="102"/>
      <c r="D180" s="104">
        <v>69</v>
      </c>
      <c r="E180" s="104"/>
      <c r="F180" s="104">
        <v>69</v>
      </c>
      <c r="G180" s="103">
        <v>44498</v>
      </c>
      <c r="H180" s="104" t="s">
        <v>512</v>
      </c>
      <c r="I180" s="104">
        <v>270</v>
      </c>
      <c r="J180" s="104" t="s">
        <v>511</v>
      </c>
      <c r="K180" s="104" t="s">
        <v>352</v>
      </c>
      <c r="L180" s="104"/>
      <c r="M180" s="104" t="s">
        <v>362</v>
      </c>
      <c r="N180" s="194"/>
      <c r="O180" s="105"/>
    </row>
    <row r="181" spans="3:15">
      <c r="C181" s="102"/>
      <c r="D181" s="104">
        <v>70</v>
      </c>
      <c r="E181" s="104"/>
      <c r="F181" s="104">
        <v>70</v>
      </c>
      <c r="G181" s="103">
        <v>44501</v>
      </c>
      <c r="H181" s="104" t="s">
        <v>486</v>
      </c>
      <c r="I181" s="104">
        <v>270</v>
      </c>
      <c r="J181" s="104" t="s">
        <v>513</v>
      </c>
      <c r="K181" s="104" t="s">
        <v>352</v>
      </c>
      <c r="L181" s="104"/>
      <c r="M181" s="104" t="s">
        <v>362</v>
      </c>
      <c r="N181" s="194"/>
      <c r="O181" s="105"/>
    </row>
    <row r="182" spans="3:15">
      <c r="C182" s="102"/>
      <c r="D182" s="104">
        <v>71</v>
      </c>
      <c r="E182" s="104"/>
      <c r="F182" s="104">
        <v>71</v>
      </c>
      <c r="G182" s="103">
        <v>44506</v>
      </c>
      <c r="H182" s="104" t="s">
        <v>486</v>
      </c>
      <c r="I182" s="104">
        <v>270</v>
      </c>
      <c r="J182" s="104" t="s">
        <v>513</v>
      </c>
      <c r="K182" s="104" t="s">
        <v>352</v>
      </c>
      <c r="L182" s="104"/>
      <c r="M182" s="104" t="s">
        <v>362</v>
      </c>
      <c r="N182" s="194"/>
      <c r="O182" s="105"/>
    </row>
    <row r="183" spans="3:15">
      <c r="C183" s="102"/>
      <c r="D183" s="104">
        <v>72</v>
      </c>
      <c r="E183" s="104"/>
      <c r="F183" s="104">
        <v>72</v>
      </c>
      <c r="G183" s="103">
        <v>44508</v>
      </c>
      <c r="H183" s="104" t="s">
        <v>486</v>
      </c>
      <c r="I183" s="104">
        <v>270</v>
      </c>
      <c r="J183" s="104" t="s">
        <v>514</v>
      </c>
      <c r="K183" s="104" t="s">
        <v>352</v>
      </c>
      <c r="L183" s="104"/>
      <c r="M183" s="104" t="s">
        <v>362</v>
      </c>
      <c r="N183" s="194"/>
      <c r="O183" s="105"/>
    </row>
    <row r="184" spans="3:15">
      <c r="C184" s="102"/>
      <c r="D184" s="104">
        <v>73</v>
      </c>
      <c r="E184" s="104"/>
      <c r="F184" s="104">
        <v>73</v>
      </c>
      <c r="G184" s="103">
        <v>44509</v>
      </c>
      <c r="H184" s="104" t="s">
        <v>421</v>
      </c>
      <c r="I184" s="104">
        <v>270</v>
      </c>
      <c r="J184" s="104" t="s">
        <v>514</v>
      </c>
      <c r="K184" s="104" t="s">
        <v>352</v>
      </c>
      <c r="L184" s="104" t="s">
        <v>424</v>
      </c>
      <c r="M184" s="104" t="s">
        <v>362</v>
      </c>
      <c r="N184" s="194"/>
      <c r="O184" s="105"/>
    </row>
    <row r="185" spans="3:15">
      <c r="C185" s="102"/>
      <c r="D185" s="104">
        <v>74</v>
      </c>
      <c r="E185" s="104"/>
      <c r="F185" s="104">
        <v>74</v>
      </c>
      <c r="G185" s="103">
        <v>44511</v>
      </c>
      <c r="H185" s="104" t="s">
        <v>486</v>
      </c>
      <c r="I185" s="104">
        <v>270</v>
      </c>
      <c r="J185" s="104" t="s">
        <v>515</v>
      </c>
      <c r="K185" s="104" t="s">
        <v>352</v>
      </c>
      <c r="L185" s="104"/>
      <c r="M185" s="104" t="s">
        <v>362</v>
      </c>
      <c r="N185" s="194"/>
      <c r="O185" s="105"/>
    </row>
    <row r="186" spans="3:15">
      <c r="C186" s="102"/>
      <c r="D186" s="104">
        <v>75</v>
      </c>
      <c r="E186" s="104"/>
      <c r="F186" s="104">
        <v>75</v>
      </c>
      <c r="G186" s="103">
        <v>44513</v>
      </c>
      <c r="H186" s="104" t="s">
        <v>486</v>
      </c>
      <c r="I186" s="104">
        <v>270</v>
      </c>
      <c r="J186" s="104" t="s">
        <v>515</v>
      </c>
      <c r="K186" s="104" t="s">
        <v>352</v>
      </c>
      <c r="L186" s="104"/>
      <c r="M186" s="104" t="s">
        <v>362</v>
      </c>
      <c r="N186" s="194"/>
      <c r="O186" s="105"/>
    </row>
    <row r="187" spans="3:15">
      <c r="C187" s="102"/>
      <c r="D187" s="104">
        <v>76</v>
      </c>
      <c r="E187" s="104"/>
      <c r="F187" s="104">
        <v>76</v>
      </c>
      <c r="G187" s="103">
        <v>44518</v>
      </c>
      <c r="H187" s="104" t="s">
        <v>486</v>
      </c>
      <c r="I187" s="104">
        <v>300</v>
      </c>
      <c r="J187" s="104" t="s">
        <v>516</v>
      </c>
      <c r="K187" s="104" t="s">
        <v>352</v>
      </c>
      <c r="L187" s="104"/>
      <c r="M187" s="104" t="s">
        <v>362</v>
      </c>
      <c r="N187" s="194"/>
      <c r="O187" s="105" t="s">
        <v>532</v>
      </c>
    </row>
    <row r="188" spans="3:15">
      <c r="C188" s="102"/>
      <c r="D188" s="104">
        <v>77</v>
      </c>
      <c r="E188" s="104"/>
      <c r="F188" s="104">
        <v>77</v>
      </c>
      <c r="G188" s="103">
        <v>44520</v>
      </c>
      <c r="H188" s="104" t="s">
        <v>517</v>
      </c>
      <c r="I188" s="104">
        <v>300</v>
      </c>
      <c r="J188" s="104" t="s">
        <v>516</v>
      </c>
      <c r="K188" s="104" t="s">
        <v>352</v>
      </c>
      <c r="L188" s="104"/>
      <c r="M188" s="104" t="s">
        <v>362</v>
      </c>
      <c r="N188" s="194"/>
      <c r="O188" s="105" t="s">
        <v>518</v>
      </c>
    </row>
    <row r="189" spans="3:15">
      <c r="C189" s="102"/>
      <c r="D189" s="104">
        <v>78</v>
      </c>
      <c r="E189" s="104"/>
      <c r="F189" s="104">
        <v>78</v>
      </c>
      <c r="G189" s="103">
        <v>44522</v>
      </c>
      <c r="H189" s="104" t="s">
        <v>486</v>
      </c>
      <c r="I189" s="104">
        <v>270</v>
      </c>
      <c r="J189" s="104" t="s">
        <v>519</v>
      </c>
      <c r="K189" s="104" t="s">
        <v>352</v>
      </c>
      <c r="L189" s="104"/>
      <c r="M189" s="104" t="s">
        <v>362</v>
      </c>
      <c r="N189" s="194"/>
      <c r="O189" s="105"/>
    </row>
    <row r="190" spans="3:15">
      <c r="C190" s="102"/>
      <c r="D190" s="104">
        <v>79</v>
      </c>
      <c r="E190" s="104"/>
      <c r="F190" s="104">
        <v>79</v>
      </c>
      <c r="G190" s="103">
        <v>44523</v>
      </c>
      <c r="H190" s="104" t="s">
        <v>486</v>
      </c>
      <c r="I190" s="104">
        <v>290</v>
      </c>
      <c r="J190" s="104" t="s">
        <v>519</v>
      </c>
      <c r="K190" s="104" t="s">
        <v>352</v>
      </c>
      <c r="L190" s="104"/>
      <c r="M190" s="104" t="s">
        <v>362</v>
      </c>
      <c r="N190" s="194"/>
      <c r="O190" s="105" t="s">
        <v>533</v>
      </c>
    </row>
    <row r="191" spans="3:15">
      <c r="C191" s="102"/>
      <c r="D191" s="104">
        <v>80</v>
      </c>
      <c r="E191" s="104"/>
      <c r="F191" s="104">
        <v>80</v>
      </c>
      <c r="G191" s="103">
        <v>44526</v>
      </c>
      <c r="H191" s="104" t="s">
        <v>486</v>
      </c>
      <c r="I191" s="104">
        <v>270</v>
      </c>
      <c r="J191" s="104" t="s">
        <v>520</v>
      </c>
      <c r="K191" s="104" t="s">
        <v>352</v>
      </c>
      <c r="L191" s="104"/>
      <c r="M191" s="104" t="s">
        <v>362</v>
      </c>
      <c r="N191" s="194"/>
      <c r="O191" s="105"/>
    </row>
    <row r="192" spans="3:15">
      <c r="C192" s="102"/>
      <c r="D192" s="104">
        <v>81</v>
      </c>
      <c r="E192" s="104"/>
      <c r="F192" s="104">
        <v>81</v>
      </c>
      <c r="G192" s="103">
        <v>44527</v>
      </c>
      <c r="H192" s="104" t="s">
        <v>455</v>
      </c>
      <c r="I192" s="104">
        <v>270</v>
      </c>
      <c r="J192" s="104" t="s">
        <v>520</v>
      </c>
      <c r="K192" s="104" t="s">
        <v>352</v>
      </c>
      <c r="L192" s="104"/>
      <c r="M192" s="104" t="s">
        <v>362</v>
      </c>
      <c r="N192" s="194"/>
      <c r="O192" s="105"/>
    </row>
    <row r="193" spans="3:15">
      <c r="C193" s="102"/>
      <c r="D193" s="104">
        <v>82</v>
      </c>
      <c r="E193" s="104"/>
      <c r="F193" s="104">
        <v>82</v>
      </c>
      <c r="G193" s="103">
        <v>44532</v>
      </c>
      <c r="H193" s="104" t="s">
        <v>410</v>
      </c>
      <c r="I193" s="104">
        <v>270</v>
      </c>
      <c r="J193" s="104" t="s">
        <v>521</v>
      </c>
      <c r="K193" s="104" t="s">
        <v>352</v>
      </c>
      <c r="L193" s="104"/>
      <c r="M193" s="104" t="s">
        <v>362</v>
      </c>
      <c r="N193" s="194"/>
      <c r="O193" s="105"/>
    </row>
    <row r="194" spans="3:15">
      <c r="C194" s="102"/>
      <c r="D194" s="104">
        <v>83</v>
      </c>
      <c r="E194" s="104"/>
      <c r="F194" s="104">
        <v>83</v>
      </c>
      <c r="G194" s="103">
        <v>44535</v>
      </c>
      <c r="H194" s="104" t="s">
        <v>56</v>
      </c>
      <c r="I194" s="104">
        <v>121</v>
      </c>
      <c r="J194" s="104" t="s">
        <v>487</v>
      </c>
      <c r="K194" s="104">
        <v>60.5</v>
      </c>
      <c r="L194" s="104">
        <v>2500</v>
      </c>
      <c r="M194" s="104"/>
      <c r="N194" s="194"/>
      <c r="O194" s="105"/>
    </row>
    <row r="195" spans="3:15">
      <c r="C195" s="102"/>
      <c r="D195" s="104">
        <v>84</v>
      </c>
      <c r="E195" s="104"/>
      <c r="F195" s="104">
        <v>84</v>
      </c>
      <c r="G195" s="103">
        <v>44537</v>
      </c>
      <c r="H195" s="104" t="s">
        <v>56</v>
      </c>
      <c r="I195" s="104">
        <v>74</v>
      </c>
      <c r="J195" s="104" t="s">
        <v>524</v>
      </c>
      <c r="K195" s="104">
        <v>37</v>
      </c>
      <c r="L195" s="104"/>
      <c r="M195" s="104" t="s">
        <v>523</v>
      </c>
      <c r="N195" s="194"/>
      <c r="O195" s="105"/>
    </row>
    <row r="196" spans="3:15">
      <c r="C196" s="102"/>
      <c r="D196" s="104">
        <v>85</v>
      </c>
      <c r="E196" s="104"/>
      <c r="F196" s="104">
        <v>85</v>
      </c>
      <c r="G196" s="103">
        <v>44539</v>
      </c>
      <c r="H196" s="104" t="s">
        <v>486</v>
      </c>
      <c r="I196" s="104">
        <v>270</v>
      </c>
      <c r="J196" s="104" t="s">
        <v>521</v>
      </c>
      <c r="K196" s="104" t="s">
        <v>352</v>
      </c>
      <c r="L196" s="104"/>
      <c r="M196" s="104" t="s">
        <v>362</v>
      </c>
      <c r="N196" s="194"/>
      <c r="O196" s="105" t="s">
        <v>522</v>
      </c>
    </row>
    <row r="197" spans="3:15">
      <c r="C197" s="102"/>
      <c r="D197" s="104">
        <v>86</v>
      </c>
      <c r="E197" s="104"/>
      <c r="F197" s="104">
        <v>86</v>
      </c>
      <c r="G197" s="103">
        <v>44533</v>
      </c>
      <c r="H197" s="104" t="s">
        <v>56</v>
      </c>
      <c r="I197" s="104">
        <v>141</v>
      </c>
      <c r="J197" s="104" t="s">
        <v>59</v>
      </c>
      <c r="K197" s="104">
        <v>70.5</v>
      </c>
      <c r="L197" s="104">
        <v>2800</v>
      </c>
      <c r="M197" s="104" t="s">
        <v>539</v>
      </c>
      <c r="N197" s="194" t="s">
        <v>447</v>
      </c>
      <c r="O197" s="105"/>
    </row>
    <row r="198" spans="3:15">
      <c r="C198" s="102"/>
      <c r="D198" s="104">
        <v>87</v>
      </c>
      <c r="E198" s="104"/>
      <c r="F198" s="104">
        <v>87</v>
      </c>
      <c r="G198" s="103">
        <v>44543</v>
      </c>
      <c r="H198" s="104" t="s">
        <v>56</v>
      </c>
      <c r="I198" s="104">
        <v>150</v>
      </c>
      <c r="J198" s="104" t="s">
        <v>59</v>
      </c>
      <c r="K198" s="104">
        <v>85.6</v>
      </c>
      <c r="L198" s="104">
        <v>2400</v>
      </c>
      <c r="M198" s="104" t="s">
        <v>81</v>
      </c>
      <c r="N198" s="194" t="s">
        <v>447</v>
      </c>
      <c r="O198" s="105"/>
    </row>
    <row r="199" spans="3:15">
      <c r="C199" s="102"/>
      <c r="D199" s="104">
        <v>88</v>
      </c>
      <c r="E199" s="104"/>
      <c r="F199" s="104">
        <v>88</v>
      </c>
      <c r="G199" s="103">
        <v>44543</v>
      </c>
      <c r="H199" s="104" t="s">
        <v>525</v>
      </c>
      <c r="I199" s="104">
        <v>60</v>
      </c>
      <c r="J199" s="104" t="s">
        <v>59</v>
      </c>
      <c r="K199" s="104">
        <v>30</v>
      </c>
      <c r="L199" s="104">
        <v>2400</v>
      </c>
      <c r="M199" s="104" t="s">
        <v>540</v>
      </c>
      <c r="N199" s="194" t="s">
        <v>447</v>
      </c>
      <c r="O199" s="105"/>
    </row>
    <row r="200" spans="3:15">
      <c r="C200" s="102"/>
      <c r="D200" s="104">
        <v>89</v>
      </c>
      <c r="E200" s="104"/>
      <c r="F200" s="104">
        <v>89</v>
      </c>
      <c r="G200" s="103">
        <v>44543</v>
      </c>
      <c r="H200" s="104" t="s">
        <v>526</v>
      </c>
      <c r="I200" s="104">
        <v>70</v>
      </c>
      <c r="J200" s="104" t="s">
        <v>59</v>
      </c>
      <c r="K200" s="104">
        <v>35.200000000000003</v>
      </c>
      <c r="L200" s="104">
        <v>2400</v>
      </c>
      <c r="M200" s="104" t="s">
        <v>99</v>
      </c>
      <c r="N200" s="194" t="s">
        <v>447</v>
      </c>
      <c r="O200" s="105"/>
    </row>
    <row r="201" spans="3:15">
      <c r="C201" s="102"/>
      <c r="D201" s="104">
        <v>90</v>
      </c>
      <c r="E201" s="104"/>
      <c r="F201" s="104">
        <v>90</v>
      </c>
      <c r="G201" s="103">
        <v>44544</v>
      </c>
      <c r="H201" s="104" t="s">
        <v>141</v>
      </c>
      <c r="I201" s="104">
        <v>237</v>
      </c>
      <c r="J201" s="104" t="s">
        <v>59</v>
      </c>
      <c r="K201" s="104">
        <v>118.5</v>
      </c>
      <c r="L201" s="104">
        <v>2300</v>
      </c>
      <c r="M201" s="104" t="s">
        <v>541</v>
      </c>
      <c r="N201" s="194" t="s">
        <v>447</v>
      </c>
      <c r="O201" s="105"/>
    </row>
    <row r="202" spans="3:15">
      <c r="C202" s="102"/>
      <c r="D202" s="104">
        <v>91</v>
      </c>
      <c r="E202" s="104"/>
      <c r="F202" s="104">
        <v>91</v>
      </c>
      <c r="G202" s="103">
        <v>44545</v>
      </c>
      <c r="H202" s="104" t="s">
        <v>486</v>
      </c>
      <c r="I202" s="104">
        <v>300</v>
      </c>
      <c r="J202" s="104" t="s">
        <v>361</v>
      </c>
      <c r="K202" s="104" t="s">
        <v>352</v>
      </c>
      <c r="L202" s="104"/>
      <c r="M202" s="104" t="s">
        <v>362</v>
      </c>
      <c r="N202" s="194"/>
      <c r="O202" s="105" t="s">
        <v>531</v>
      </c>
    </row>
    <row r="203" spans="3:15">
      <c r="C203" s="102"/>
      <c r="D203" s="104">
        <v>92</v>
      </c>
      <c r="E203" s="104"/>
      <c r="F203" s="104">
        <v>92</v>
      </c>
      <c r="G203" s="103">
        <v>44545</v>
      </c>
      <c r="H203" s="104" t="s">
        <v>56</v>
      </c>
      <c r="I203" s="104">
        <v>168</v>
      </c>
      <c r="J203" s="104" t="s">
        <v>59</v>
      </c>
      <c r="K203" s="104">
        <v>84</v>
      </c>
      <c r="L203" s="104">
        <v>2200</v>
      </c>
      <c r="M203" s="104" t="s">
        <v>133</v>
      </c>
      <c r="N203" s="194" t="s">
        <v>447</v>
      </c>
      <c r="O203" s="105"/>
    </row>
    <row r="204" spans="3:15">
      <c r="C204" s="102"/>
      <c r="D204" s="104">
        <v>93</v>
      </c>
      <c r="E204" s="104"/>
      <c r="F204" s="104">
        <v>93</v>
      </c>
      <c r="G204" s="103">
        <v>44552</v>
      </c>
      <c r="H204" s="104" t="s">
        <v>512</v>
      </c>
      <c r="I204" s="104">
        <v>270</v>
      </c>
      <c r="J204" s="104" t="s">
        <v>361</v>
      </c>
      <c r="K204" s="104" t="s">
        <v>352</v>
      </c>
      <c r="L204" s="104"/>
      <c r="M204" s="104" t="s">
        <v>362</v>
      </c>
      <c r="N204" s="194"/>
      <c r="O204" s="105"/>
    </row>
    <row r="205" spans="3:15">
      <c r="C205" s="102"/>
      <c r="D205" s="104">
        <v>94</v>
      </c>
      <c r="E205" s="104"/>
      <c r="F205" s="104">
        <v>94</v>
      </c>
      <c r="G205" s="103">
        <v>44548</v>
      </c>
      <c r="H205" s="104" t="s">
        <v>56</v>
      </c>
      <c r="I205" s="104">
        <v>159</v>
      </c>
      <c r="J205" s="104" t="s">
        <v>59</v>
      </c>
      <c r="K205" s="104">
        <v>79</v>
      </c>
      <c r="L205" s="104">
        <v>2300</v>
      </c>
      <c r="M205" s="104" t="s">
        <v>99</v>
      </c>
      <c r="N205" s="194" t="s">
        <v>447</v>
      </c>
      <c r="O205" s="105"/>
    </row>
    <row r="206" spans="3:15" s="116" customFormat="1">
      <c r="C206" s="201"/>
      <c r="D206" s="171">
        <v>95</v>
      </c>
      <c r="E206" s="171"/>
      <c r="F206" s="171">
        <v>95</v>
      </c>
      <c r="G206" s="199">
        <v>44547</v>
      </c>
      <c r="H206" s="171" t="s">
        <v>56</v>
      </c>
      <c r="I206" s="171">
        <v>112</v>
      </c>
      <c r="J206" s="171" t="s">
        <v>131</v>
      </c>
      <c r="K206" s="171">
        <v>59</v>
      </c>
      <c r="L206" s="171">
        <v>2150</v>
      </c>
      <c r="M206" s="171" t="s">
        <v>583</v>
      </c>
      <c r="N206" s="202" t="s">
        <v>560</v>
      </c>
      <c r="O206" s="173"/>
    </row>
    <row r="207" spans="3:15">
      <c r="C207" s="102"/>
      <c r="D207" s="104">
        <v>96</v>
      </c>
      <c r="E207" s="104"/>
      <c r="F207" s="104">
        <v>96</v>
      </c>
      <c r="G207" s="103">
        <v>44557</v>
      </c>
      <c r="H207" s="104" t="s">
        <v>581</v>
      </c>
      <c r="I207" s="104">
        <v>290</v>
      </c>
      <c r="J207" s="104" t="s">
        <v>350</v>
      </c>
      <c r="K207" s="104" t="s">
        <v>352</v>
      </c>
      <c r="L207" s="104"/>
      <c r="M207" s="104" t="s">
        <v>582</v>
      </c>
      <c r="N207" s="194"/>
      <c r="O207" s="105"/>
    </row>
    <row r="208" spans="3:15">
      <c r="C208" s="102"/>
      <c r="D208" s="104">
        <v>97</v>
      </c>
      <c r="E208" s="104"/>
      <c r="F208" s="104">
        <v>97</v>
      </c>
      <c r="G208" s="103">
        <v>44561</v>
      </c>
      <c r="H208" s="104" t="s">
        <v>488</v>
      </c>
      <c r="I208" s="104">
        <v>540</v>
      </c>
      <c r="J208" s="104"/>
      <c r="K208" s="104"/>
      <c r="L208" s="104"/>
      <c r="M208" s="104"/>
      <c r="N208" s="194"/>
      <c r="O208" s="105"/>
    </row>
    <row r="209" spans="3:16">
      <c r="C209" s="102"/>
      <c r="D209" s="104">
        <v>98</v>
      </c>
      <c r="E209" s="104"/>
      <c r="F209" s="104">
        <v>98</v>
      </c>
      <c r="G209" s="103">
        <v>44561</v>
      </c>
      <c r="H209" s="104" t="s">
        <v>600</v>
      </c>
      <c r="I209" s="104">
        <v>540</v>
      </c>
      <c r="J209" s="104"/>
      <c r="K209" s="104"/>
      <c r="L209" s="104"/>
      <c r="M209" s="104"/>
      <c r="N209" s="194"/>
      <c r="O209" s="105"/>
    </row>
    <row r="210" spans="3:16">
      <c r="C210" s="102"/>
      <c r="D210" s="104">
        <v>99</v>
      </c>
      <c r="E210" s="104"/>
      <c r="F210" s="104">
        <v>99</v>
      </c>
      <c r="G210" s="103">
        <v>44561</v>
      </c>
      <c r="H210" s="104" t="s">
        <v>452</v>
      </c>
      <c r="I210" s="104">
        <v>540</v>
      </c>
      <c r="J210" s="104" t="s">
        <v>601</v>
      </c>
      <c r="K210" s="104" t="s">
        <v>352</v>
      </c>
      <c r="L210" s="104"/>
      <c r="M210" s="104" t="s">
        <v>362</v>
      </c>
      <c r="N210" s="194"/>
      <c r="O210" s="105"/>
    </row>
    <row r="211" spans="3:16">
      <c r="C211" s="102"/>
      <c r="D211" s="104"/>
      <c r="E211" s="104"/>
      <c r="F211" s="104"/>
      <c r="G211" s="103"/>
      <c r="H211" s="104"/>
      <c r="I211" s="104"/>
      <c r="J211" s="104"/>
      <c r="K211" s="104"/>
      <c r="L211" s="104"/>
      <c r="M211" s="104"/>
      <c r="N211" s="194"/>
      <c r="O211" s="105"/>
    </row>
    <row r="212" spans="3:16" ht="15" thickBot="1">
      <c r="C212" s="37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195"/>
      <c r="O212" s="39"/>
    </row>
    <row r="215" spans="3:16" ht="15" thickBot="1"/>
    <row r="216" spans="3:16" ht="26.4" thickBot="1">
      <c r="C216" s="236" t="s">
        <v>51</v>
      </c>
      <c r="D216" s="237"/>
      <c r="E216" s="237"/>
      <c r="F216" s="237"/>
      <c r="G216" s="237"/>
      <c r="H216" s="237"/>
      <c r="I216" s="237"/>
      <c r="J216" s="237"/>
      <c r="K216" s="237"/>
      <c r="L216" s="237"/>
      <c r="M216" s="238"/>
      <c r="N216" s="190"/>
      <c r="O216" s="30"/>
    </row>
    <row r="217" spans="3:16" ht="15.6">
      <c r="C217" s="31"/>
      <c r="D217" s="32" t="s">
        <v>47</v>
      </c>
      <c r="E217" s="33" t="s">
        <v>48</v>
      </c>
      <c r="F217" s="33" t="s">
        <v>49</v>
      </c>
      <c r="G217" s="34" t="s">
        <v>41</v>
      </c>
      <c r="H217" s="33" t="s">
        <v>42</v>
      </c>
      <c r="I217" s="33" t="s">
        <v>28</v>
      </c>
      <c r="J217" s="33" t="s">
        <v>43</v>
      </c>
      <c r="K217" s="33" t="s">
        <v>44</v>
      </c>
      <c r="L217" s="33" t="s">
        <v>3</v>
      </c>
      <c r="M217" s="33" t="s">
        <v>45</v>
      </c>
      <c r="N217" s="191"/>
      <c r="O217" s="35" t="s">
        <v>46</v>
      </c>
    </row>
    <row r="218" spans="3:16">
      <c r="C218" s="27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192"/>
      <c r="O218" s="36"/>
    </row>
    <row r="219" spans="3:16">
      <c r="C219" s="27"/>
      <c r="D219" s="28">
        <v>1</v>
      </c>
      <c r="E219" s="28">
        <v>148</v>
      </c>
      <c r="F219" s="28">
        <v>1</v>
      </c>
      <c r="G219" s="41">
        <v>44321</v>
      </c>
      <c r="H219" s="28" t="s">
        <v>56</v>
      </c>
      <c r="I219" s="28">
        <v>130</v>
      </c>
      <c r="J219" s="28" t="s">
        <v>59</v>
      </c>
      <c r="K219" s="28">
        <v>64.53</v>
      </c>
      <c r="L219" s="28">
        <v>3000</v>
      </c>
      <c r="M219" s="28" t="s">
        <v>62</v>
      </c>
      <c r="N219" s="192"/>
      <c r="O219" s="36"/>
    </row>
    <row r="220" spans="3:16">
      <c r="C220" s="27"/>
      <c r="D220" s="28">
        <v>2</v>
      </c>
      <c r="E220" s="28">
        <v>158</v>
      </c>
      <c r="F220" s="28">
        <v>2</v>
      </c>
      <c r="G220" s="41">
        <v>44323</v>
      </c>
      <c r="H220" s="28" t="s">
        <v>56</v>
      </c>
      <c r="I220" s="28">
        <v>170</v>
      </c>
      <c r="J220" s="28" t="s">
        <v>59</v>
      </c>
      <c r="K220" s="28">
        <v>91.3</v>
      </c>
      <c r="L220" s="28">
        <v>3000</v>
      </c>
      <c r="M220" s="28" t="s">
        <v>63</v>
      </c>
      <c r="N220" s="192"/>
      <c r="O220" s="36">
        <v>2</v>
      </c>
      <c r="P220" s="121"/>
    </row>
    <row r="221" spans="3:16">
      <c r="C221" s="27"/>
      <c r="D221" s="28">
        <v>3</v>
      </c>
      <c r="E221" s="28">
        <v>161</v>
      </c>
      <c r="F221" s="28">
        <v>3</v>
      </c>
      <c r="G221" s="41">
        <v>44324</v>
      </c>
      <c r="H221" s="28" t="s">
        <v>56</v>
      </c>
      <c r="I221" s="28">
        <v>140</v>
      </c>
      <c r="J221" s="28" t="s">
        <v>59</v>
      </c>
      <c r="K221" s="28">
        <v>70</v>
      </c>
      <c r="L221" s="28">
        <v>3000</v>
      </c>
      <c r="M221" s="28" t="s">
        <v>64</v>
      </c>
      <c r="N221" s="192"/>
      <c r="O221" s="36"/>
    </row>
    <row r="222" spans="3:16">
      <c r="C222" s="27"/>
      <c r="D222" s="28">
        <v>4</v>
      </c>
      <c r="E222" s="28">
        <v>165</v>
      </c>
      <c r="F222" s="28">
        <v>4</v>
      </c>
      <c r="G222" s="41">
        <v>44325</v>
      </c>
      <c r="H222" s="28" t="s">
        <v>56</v>
      </c>
      <c r="I222" s="28">
        <v>178</v>
      </c>
      <c r="J222" s="28" t="s">
        <v>59</v>
      </c>
      <c r="K222" s="28">
        <v>89</v>
      </c>
      <c r="L222" s="28">
        <v>3050</v>
      </c>
      <c r="M222" s="28" t="s">
        <v>65</v>
      </c>
      <c r="N222" s="192"/>
      <c r="O222" s="36"/>
    </row>
    <row r="223" spans="3:16">
      <c r="C223" s="27"/>
      <c r="D223" s="28">
        <v>5</v>
      </c>
      <c r="E223" s="28">
        <v>169</v>
      </c>
      <c r="F223" s="28">
        <v>5</v>
      </c>
      <c r="G223" s="41">
        <v>44326</v>
      </c>
      <c r="H223" s="28" t="s">
        <v>56</v>
      </c>
      <c r="I223" s="28">
        <v>170</v>
      </c>
      <c r="J223" s="28" t="s">
        <v>59</v>
      </c>
      <c r="K223" s="28">
        <v>85</v>
      </c>
      <c r="L223" s="28">
        <v>3050</v>
      </c>
      <c r="M223" s="28" t="s">
        <v>66</v>
      </c>
      <c r="N223" s="192"/>
      <c r="O223" s="36"/>
    </row>
    <row r="224" spans="3:16">
      <c r="C224" s="27"/>
      <c r="D224" s="28">
        <v>6</v>
      </c>
      <c r="E224" s="28">
        <v>173</v>
      </c>
      <c r="F224" s="28">
        <v>6</v>
      </c>
      <c r="G224" s="41">
        <v>44327</v>
      </c>
      <c r="H224" s="28" t="s">
        <v>56</v>
      </c>
      <c r="I224" s="28">
        <v>136</v>
      </c>
      <c r="J224" s="28" t="s">
        <v>59</v>
      </c>
      <c r="K224" s="28">
        <v>68</v>
      </c>
      <c r="L224" s="28">
        <v>3050</v>
      </c>
      <c r="M224" s="28" t="s">
        <v>64</v>
      </c>
      <c r="N224" s="192"/>
      <c r="O224" s="36"/>
    </row>
    <row r="225" spans="3:16" ht="19.95" customHeight="1">
      <c r="C225" s="27"/>
      <c r="D225" s="28">
        <v>7</v>
      </c>
      <c r="E225" s="28">
        <v>174</v>
      </c>
      <c r="F225" s="28">
        <v>7</v>
      </c>
      <c r="G225" s="41">
        <v>44328</v>
      </c>
      <c r="H225" s="28" t="s">
        <v>67</v>
      </c>
      <c r="I225" s="28">
        <v>60</v>
      </c>
      <c r="J225" s="28" t="s">
        <v>59</v>
      </c>
      <c r="K225" s="28">
        <v>30</v>
      </c>
      <c r="L225" s="28">
        <v>3050</v>
      </c>
      <c r="M225" s="28" t="s">
        <v>68</v>
      </c>
      <c r="N225" s="192"/>
      <c r="O225" s="36"/>
    </row>
    <row r="226" spans="3:16" ht="19.95" customHeight="1">
      <c r="C226" s="27"/>
      <c r="D226" s="28">
        <v>8</v>
      </c>
      <c r="E226" s="28">
        <v>177</v>
      </c>
      <c r="F226" s="28">
        <v>8</v>
      </c>
      <c r="G226" s="41">
        <v>44328</v>
      </c>
      <c r="H226" s="28" t="s">
        <v>56</v>
      </c>
      <c r="I226" s="28">
        <v>140</v>
      </c>
      <c r="J226" s="28" t="s">
        <v>59</v>
      </c>
      <c r="K226" s="28">
        <v>73.099999999999994</v>
      </c>
      <c r="L226" s="28">
        <v>3050</v>
      </c>
      <c r="M226" s="28" t="s">
        <v>306</v>
      </c>
      <c r="N226" s="192"/>
      <c r="O226" s="36"/>
    </row>
    <row r="227" spans="3:16" ht="19.95" customHeight="1">
      <c r="C227" s="27"/>
      <c r="D227" s="28">
        <v>9</v>
      </c>
      <c r="E227" s="28">
        <v>182</v>
      </c>
      <c r="F227" s="28">
        <v>9</v>
      </c>
      <c r="G227" s="41">
        <v>44330</v>
      </c>
      <c r="H227" s="28" t="s">
        <v>263</v>
      </c>
      <c r="I227" s="28">
        <v>200</v>
      </c>
      <c r="J227" s="28" t="s">
        <v>59</v>
      </c>
      <c r="K227" s="28">
        <v>100</v>
      </c>
      <c r="L227" s="28">
        <v>3150</v>
      </c>
      <c r="M227" s="28" t="s">
        <v>305</v>
      </c>
      <c r="N227" s="192"/>
      <c r="O227" s="36"/>
    </row>
    <row r="228" spans="3:16">
      <c r="C228" s="27"/>
      <c r="D228" s="28">
        <v>10</v>
      </c>
      <c r="E228" s="28">
        <v>183</v>
      </c>
      <c r="F228" s="28">
        <v>10</v>
      </c>
      <c r="G228" s="41">
        <v>44331</v>
      </c>
      <c r="H228" s="28" t="s">
        <v>56</v>
      </c>
      <c r="I228" s="28">
        <v>180</v>
      </c>
      <c r="J228" s="28" t="s">
        <v>59</v>
      </c>
      <c r="K228" s="28">
        <v>96.5</v>
      </c>
      <c r="L228" s="28">
        <v>3150</v>
      </c>
      <c r="M228" s="28" t="s">
        <v>69</v>
      </c>
      <c r="N228" s="192"/>
      <c r="O228" s="36"/>
    </row>
    <row r="229" spans="3:16">
      <c r="C229" s="27"/>
      <c r="D229" s="28">
        <v>11</v>
      </c>
      <c r="E229" s="28">
        <v>187</v>
      </c>
      <c r="F229" s="28">
        <v>11</v>
      </c>
      <c r="G229" s="41">
        <v>44331</v>
      </c>
      <c r="H229" s="28" t="s">
        <v>56</v>
      </c>
      <c r="I229" s="28">
        <v>203</v>
      </c>
      <c r="J229" s="28" t="s">
        <v>59</v>
      </c>
      <c r="K229" s="28">
        <v>101.5</v>
      </c>
      <c r="L229" s="28">
        <v>3150</v>
      </c>
      <c r="M229" s="28" t="s">
        <v>70</v>
      </c>
      <c r="N229" s="192"/>
      <c r="O229" s="36">
        <v>3</v>
      </c>
      <c r="P229" s="121"/>
    </row>
    <row r="230" spans="3:16">
      <c r="C230" s="27"/>
      <c r="D230" s="28">
        <v>12</v>
      </c>
      <c r="E230" s="28">
        <v>192</v>
      </c>
      <c r="F230" s="28">
        <v>12</v>
      </c>
      <c r="G230" s="41">
        <v>44332</v>
      </c>
      <c r="H230" s="28" t="s">
        <v>56</v>
      </c>
      <c r="I230" s="28">
        <v>195</v>
      </c>
      <c r="J230" s="28" t="s">
        <v>59</v>
      </c>
      <c r="K230" s="28">
        <v>97.5</v>
      </c>
      <c r="L230" s="28">
        <v>3150</v>
      </c>
      <c r="M230" s="28" t="s">
        <v>71</v>
      </c>
      <c r="N230" s="192"/>
      <c r="O230" s="36"/>
    </row>
    <row r="231" spans="3:16">
      <c r="C231" s="27"/>
      <c r="D231" s="28">
        <v>13</v>
      </c>
      <c r="E231" s="28">
        <v>189</v>
      </c>
      <c r="F231" s="28">
        <v>13</v>
      </c>
      <c r="G231" s="41">
        <v>44331</v>
      </c>
      <c r="H231" s="28" t="s">
        <v>56</v>
      </c>
      <c r="I231" s="28">
        <v>60</v>
      </c>
      <c r="J231" s="28" t="s">
        <v>59</v>
      </c>
      <c r="K231" s="28">
        <v>30</v>
      </c>
      <c r="L231" s="28">
        <v>3150</v>
      </c>
      <c r="M231" s="28" t="s">
        <v>72</v>
      </c>
      <c r="N231" s="192"/>
      <c r="O231" s="36"/>
    </row>
    <row r="232" spans="3:16">
      <c r="C232" s="27"/>
      <c r="D232" s="28">
        <v>14</v>
      </c>
      <c r="E232" s="28">
        <v>197</v>
      </c>
      <c r="F232" s="28">
        <v>14</v>
      </c>
      <c r="G232" s="40">
        <v>44332</v>
      </c>
      <c r="H232" s="28" t="s">
        <v>56</v>
      </c>
      <c r="I232" s="28">
        <v>192</v>
      </c>
      <c r="J232" s="28" t="s">
        <v>59</v>
      </c>
      <c r="K232" s="28">
        <v>97</v>
      </c>
      <c r="L232" s="28">
        <v>3150</v>
      </c>
      <c r="M232" s="28" t="s">
        <v>123</v>
      </c>
      <c r="N232" s="192"/>
      <c r="O232" s="36"/>
    </row>
    <row r="233" spans="3:16">
      <c r="C233" s="27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192"/>
      <c r="O233" s="36"/>
    </row>
    <row r="234" spans="3:16">
      <c r="C234" s="27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192"/>
      <c r="O234" s="36"/>
    </row>
    <row r="235" spans="3:16">
      <c r="C235" s="27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192"/>
      <c r="O235" s="36"/>
    </row>
    <row r="236" spans="3:16">
      <c r="C236" s="27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192"/>
      <c r="O236" s="36"/>
    </row>
    <row r="237" spans="3:16" ht="15" thickBot="1">
      <c r="C237" s="37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195"/>
      <c r="O237" s="39"/>
    </row>
    <row r="240" spans="3:16" ht="15" thickBot="1"/>
    <row r="241" spans="3:18" ht="26.4" thickBot="1">
      <c r="C241" s="236" t="s">
        <v>542</v>
      </c>
      <c r="D241" s="237"/>
      <c r="E241" s="237"/>
      <c r="F241" s="237"/>
      <c r="G241" s="237"/>
      <c r="H241" s="237"/>
      <c r="I241" s="237"/>
      <c r="J241" s="237"/>
      <c r="K241" s="237"/>
      <c r="L241" s="237"/>
      <c r="M241" s="238"/>
      <c r="N241" s="196"/>
    </row>
    <row r="242" spans="3:18" ht="15.6">
      <c r="C242" s="31"/>
      <c r="D242" s="32" t="s">
        <v>47</v>
      </c>
      <c r="E242" s="33" t="s">
        <v>48</v>
      </c>
      <c r="F242" s="33" t="s">
        <v>49</v>
      </c>
      <c r="G242" s="34" t="s">
        <v>41</v>
      </c>
      <c r="H242" s="33" t="s">
        <v>42</v>
      </c>
      <c r="I242" s="33" t="s">
        <v>28</v>
      </c>
      <c r="J242" s="33" t="s">
        <v>43</v>
      </c>
      <c r="K242" s="33" t="s">
        <v>44</v>
      </c>
      <c r="L242" s="33" t="s">
        <v>3</v>
      </c>
      <c r="M242" s="33" t="s">
        <v>45</v>
      </c>
      <c r="N242" s="197"/>
    </row>
    <row r="243" spans="3:18">
      <c r="C243" s="2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58"/>
    </row>
    <row r="244" spans="3:18">
      <c r="C244" s="27"/>
      <c r="D244" s="40"/>
      <c r="E244" s="28"/>
      <c r="F244" s="28">
        <v>1</v>
      </c>
      <c r="G244" s="41">
        <v>44526</v>
      </c>
      <c r="H244" s="28" t="s">
        <v>56</v>
      </c>
      <c r="I244" s="28">
        <v>136</v>
      </c>
      <c r="J244" s="28" t="s">
        <v>59</v>
      </c>
      <c r="K244" s="28">
        <v>65.900000000000006</v>
      </c>
      <c r="L244" s="28"/>
      <c r="M244" s="28" t="s">
        <v>258</v>
      </c>
      <c r="N244" s="58"/>
    </row>
    <row r="245" spans="3:18">
      <c r="C245" s="27"/>
      <c r="D245" s="28"/>
      <c r="E245" s="28"/>
      <c r="F245" s="28">
        <v>2</v>
      </c>
      <c r="G245" s="41">
        <v>44527</v>
      </c>
      <c r="H245" s="28" t="s">
        <v>56</v>
      </c>
      <c r="I245" s="28">
        <v>180</v>
      </c>
      <c r="J245" s="28" t="s">
        <v>59</v>
      </c>
      <c r="K245" s="28">
        <v>90</v>
      </c>
      <c r="L245" s="28"/>
      <c r="M245" s="28" t="s">
        <v>133</v>
      </c>
      <c r="N245" s="58"/>
    </row>
    <row r="246" spans="3:18">
      <c r="C246" s="27"/>
      <c r="D246" s="28"/>
      <c r="E246" s="28"/>
      <c r="F246" s="28">
        <v>3</v>
      </c>
      <c r="G246" s="41">
        <v>44530</v>
      </c>
      <c r="H246" s="28" t="s">
        <v>493</v>
      </c>
      <c r="I246" s="28">
        <v>80</v>
      </c>
      <c r="J246" s="28" t="s">
        <v>59</v>
      </c>
      <c r="K246" s="28">
        <v>40</v>
      </c>
      <c r="L246" s="28"/>
      <c r="M246" s="28" t="s">
        <v>99</v>
      </c>
      <c r="N246" s="58"/>
    </row>
    <row r="247" spans="3:18">
      <c r="C247" s="27"/>
      <c r="D247" s="28"/>
      <c r="E247" s="28"/>
      <c r="F247" s="28">
        <v>4</v>
      </c>
      <c r="G247" s="41">
        <v>44530</v>
      </c>
      <c r="H247" s="28" t="s">
        <v>56</v>
      </c>
      <c r="I247" s="28">
        <v>142</v>
      </c>
      <c r="J247" s="28" t="s">
        <v>59</v>
      </c>
      <c r="K247" s="28">
        <v>71</v>
      </c>
      <c r="L247" s="28"/>
      <c r="M247" s="28" t="s">
        <v>367</v>
      </c>
      <c r="N247" s="58"/>
    </row>
    <row r="248" spans="3:18">
      <c r="C248" s="27"/>
      <c r="D248" s="28"/>
      <c r="E248" s="28"/>
      <c r="F248" s="28">
        <v>5</v>
      </c>
      <c r="G248" s="41">
        <v>44531</v>
      </c>
      <c r="H248" s="28" t="s">
        <v>493</v>
      </c>
      <c r="I248" s="28">
        <v>66</v>
      </c>
      <c r="J248" s="28" t="s">
        <v>59</v>
      </c>
      <c r="K248" s="28">
        <v>33</v>
      </c>
      <c r="L248" s="28"/>
      <c r="M248" s="28" t="s">
        <v>99</v>
      </c>
      <c r="N248" s="58"/>
    </row>
    <row r="249" spans="3:18">
      <c r="C249" s="27"/>
      <c r="D249" s="28"/>
      <c r="E249" s="28"/>
      <c r="F249" s="28">
        <v>6</v>
      </c>
      <c r="G249" s="41">
        <v>44531</v>
      </c>
      <c r="H249" s="28" t="s">
        <v>56</v>
      </c>
      <c r="I249" s="28">
        <v>170</v>
      </c>
      <c r="J249" s="28" t="s">
        <v>59</v>
      </c>
      <c r="K249" s="28">
        <v>85</v>
      </c>
      <c r="L249" s="28"/>
      <c r="M249" s="28" t="s">
        <v>133</v>
      </c>
      <c r="N249" s="58"/>
      <c r="Q249">
        <v>380</v>
      </c>
      <c r="R249">
        <v>2500</v>
      </c>
    </row>
    <row r="250" spans="3:18">
      <c r="C250" s="27"/>
      <c r="D250" s="28"/>
      <c r="E250" s="28"/>
      <c r="F250" s="28">
        <v>7</v>
      </c>
      <c r="G250" s="41">
        <v>44531</v>
      </c>
      <c r="H250" s="28" t="s">
        <v>493</v>
      </c>
      <c r="I250" s="28">
        <v>65</v>
      </c>
      <c r="J250" s="28" t="s">
        <v>638</v>
      </c>
      <c r="K250" s="28">
        <v>34.85</v>
      </c>
      <c r="L250" s="28"/>
      <c r="M250" s="28" t="s">
        <v>495</v>
      </c>
      <c r="N250" s="58"/>
      <c r="R250">
        <f>R249*Q249</f>
        <v>950000</v>
      </c>
    </row>
    <row r="251" spans="3:18">
      <c r="C251" s="27"/>
      <c r="D251" s="28"/>
      <c r="E251" s="28"/>
      <c r="F251" s="28"/>
      <c r="G251" s="41"/>
      <c r="H251" s="28"/>
      <c r="I251" s="28"/>
      <c r="J251" s="28"/>
      <c r="K251" s="28"/>
      <c r="L251" s="28"/>
      <c r="M251" s="28"/>
      <c r="N251" s="58"/>
    </row>
    <row r="252" spans="3:18">
      <c r="C252" s="27"/>
      <c r="D252" s="28"/>
      <c r="E252" s="28"/>
      <c r="F252" s="28"/>
      <c r="G252" s="41"/>
      <c r="H252" s="28"/>
      <c r="I252" s="28"/>
      <c r="J252" s="28"/>
      <c r="K252" s="28"/>
      <c r="L252" s="28"/>
      <c r="M252" s="28"/>
      <c r="N252" s="58"/>
    </row>
    <row r="253" spans="3:18">
      <c r="C253" s="27"/>
      <c r="D253" s="28"/>
      <c r="E253" s="28"/>
      <c r="F253" s="28"/>
      <c r="G253" s="41"/>
      <c r="H253" s="28"/>
      <c r="I253" s="28"/>
      <c r="J253" s="28"/>
      <c r="K253" s="28"/>
      <c r="L253" s="28"/>
      <c r="M253" s="28"/>
      <c r="N253" s="58"/>
    </row>
    <row r="254" spans="3:18">
      <c r="C254" s="27"/>
      <c r="D254" s="28"/>
      <c r="E254" s="28"/>
      <c r="F254" s="28"/>
      <c r="G254" s="41"/>
      <c r="H254" s="28"/>
      <c r="I254" s="28"/>
      <c r="J254" s="28"/>
      <c r="K254" s="28"/>
      <c r="L254" s="28"/>
      <c r="M254" s="28"/>
      <c r="N254" s="58"/>
    </row>
    <row r="255" spans="3:18">
      <c r="C255" s="27"/>
      <c r="D255" s="28"/>
      <c r="E255" s="28"/>
      <c r="F255" s="28"/>
      <c r="G255" s="41"/>
      <c r="H255" s="28"/>
      <c r="I255" s="28"/>
      <c r="J255" s="28"/>
      <c r="K255" s="28"/>
      <c r="L255" s="28"/>
      <c r="M255" s="28"/>
      <c r="N255" s="58"/>
    </row>
    <row r="256" spans="3:18">
      <c r="C256" s="27"/>
      <c r="D256" s="28"/>
      <c r="E256" s="28"/>
      <c r="F256" s="28"/>
      <c r="G256" s="41"/>
      <c r="H256" s="28"/>
      <c r="I256" s="28"/>
      <c r="J256" s="28"/>
      <c r="K256" s="28"/>
      <c r="L256" s="28"/>
      <c r="M256" s="28"/>
      <c r="N256" s="58"/>
    </row>
    <row r="257" spans="3:14">
      <c r="C257" s="27"/>
      <c r="D257" s="28"/>
      <c r="E257" s="28"/>
      <c r="F257" s="28"/>
      <c r="G257" s="40"/>
      <c r="H257" s="28"/>
      <c r="I257" s="28"/>
      <c r="J257" s="28"/>
      <c r="K257" s="28"/>
      <c r="L257" s="28"/>
      <c r="M257" s="28"/>
      <c r="N257" s="58"/>
    </row>
    <row r="258" spans="3:14" ht="14.4" customHeight="1">
      <c r="C258" s="27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58"/>
    </row>
    <row r="259" spans="3:14" ht="14.4" customHeight="1">
      <c r="C259" s="27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58"/>
    </row>
    <row r="260" spans="3:14">
      <c r="C260" s="27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58"/>
    </row>
    <row r="261" spans="3:14">
      <c r="C261" s="27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58"/>
    </row>
    <row r="262" spans="3:14" ht="15" thickBot="1">
      <c r="C262" s="37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58"/>
    </row>
    <row r="263" spans="3:14">
      <c r="D263" s="104"/>
      <c r="E263" s="104"/>
      <c r="F263" s="104"/>
      <c r="G263" s="103"/>
      <c r="H263" s="104"/>
      <c r="I263" s="104"/>
      <c r="J263" s="104"/>
      <c r="K263" s="104"/>
      <c r="L263" s="104"/>
    </row>
  </sheetData>
  <autoFilter ref="D9:O56" xr:uid="{C0DFC0B1-98B4-4682-AD5A-37A5D7D895AF}"/>
  <mergeCells count="6">
    <mergeCell ref="C241:M241"/>
    <mergeCell ref="F3:M3"/>
    <mergeCell ref="C5:M5"/>
    <mergeCell ref="C120:M120"/>
    <mergeCell ref="C216:M216"/>
    <mergeCell ref="G128:M12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EC3D-CB22-4B3A-A783-F78B7909CF74}">
  <dimension ref="C5:AQ134"/>
  <sheetViews>
    <sheetView topLeftCell="B28" workbookViewId="0">
      <selection activeCell="AA68" sqref="AA68"/>
    </sheetView>
  </sheetViews>
  <sheetFormatPr defaultRowHeight="14.4"/>
  <cols>
    <col min="3" max="3" width="19.6640625" bestFit="1" customWidth="1"/>
    <col min="4" max="4" width="10.33203125" bestFit="1" customWidth="1"/>
    <col min="5" max="5" width="10.33203125" customWidth="1"/>
    <col min="7" max="7" width="10.88671875" bestFit="1" customWidth="1"/>
    <col min="14" max="14" width="11.5546875" bestFit="1" customWidth="1"/>
    <col min="16" max="16" width="9.33203125" bestFit="1" customWidth="1"/>
    <col min="17" max="17" width="10.33203125" bestFit="1" customWidth="1"/>
    <col min="19" max="19" width="8.33203125" customWidth="1"/>
    <col min="20" max="20" width="10.33203125" bestFit="1" customWidth="1"/>
    <col min="21" max="21" width="18.33203125" bestFit="1" customWidth="1"/>
    <col min="23" max="23" width="18.109375" bestFit="1" customWidth="1"/>
    <col min="24" max="24" width="15.6640625" bestFit="1" customWidth="1"/>
    <col min="25" max="25" width="18" bestFit="1" customWidth="1"/>
    <col min="28" max="28" width="11.6640625" bestFit="1" customWidth="1"/>
    <col min="29" max="29" width="18.33203125" bestFit="1" customWidth="1"/>
    <col min="30" max="30" width="12.6640625" bestFit="1" customWidth="1"/>
    <col min="31" max="31" width="10.33203125" bestFit="1" customWidth="1"/>
    <col min="32" max="32" width="28.33203125" bestFit="1" customWidth="1"/>
    <col min="37" max="38" width="11.6640625" bestFit="1" customWidth="1"/>
  </cols>
  <sheetData>
    <row r="5" spans="3:37" ht="15" thickBot="1"/>
    <row r="6" spans="3:37" ht="18">
      <c r="D6" s="246" t="s">
        <v>260</v>
      </c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AB6" s="71"/>
      <c r="AC6" s="72" t="s">
        <v>153</v>
      </c>
      <c r="AD6" s="71"/>
      <c r="AE6" s="71"/>
      <c r="AF6" s="72"/>
      <c r="AK6" s="25" t="s">
        <v>59</v>
      </c>
    </row>
    <row r="7" spans="3:37" ht="15.6">
      <c r="AB7" s="71"/>
      <c r="AC7" s="72" t="s">
        <v>154</v>
      </c>
      <c r="AD7" s="71"/>
      <c r="AE7" s="71"/>
      <c r="AF7" s="72"/>
    </row>
    <row r="8" spans="3:37" ht="15" thickBot="1">
      <c r="AB8" s="71"/>
      <c r="AC8" s="71"/>
      <c r="AD8" s="73"/>
      <c r="AE8" s="71"/>
      <c r="AF8" s="144"/>
    </row>
    <row r="9" spans="3:37" ht="15" thickBot="1">
      <c r="D9" s="53" t="s">
        <v>0</v>
      </c>
      <c r="E9" s="132" t="s">
        <v>295</v>
      </c>
      <c r="F9" s="54" t="s">
        <v>143</v>
      </c>
      <c r="G9" s="54" t="s">
        <v>144</v>
      </c>
      <c r="H9" s="54" t="s">
        <v>1</v>
      </c>
      <c r="I9" s="54" t="s">
        <v>2</v>
      </c>
      <c r="J9" s="54" t="s">
        <v>145</v>
      </c>
      <c r="K9" s="54" t="s">
        <v>146</v>
      </c>
      <c r="L9" s="54" t="s">
        <v>3</v>
      </c>
      <c r="M9" s="54" t="s">
        <v>147</v>
      </c>
      <c r="N9" s="54" t="s">
        <v>148</v>
      </c>
      <c r="O9" s="54" t="s">
        <v>149</v>
      </c>
      <c r="P9" s="54" t="s">
        <v>4</v>
      </c>
      <c r="Q9" s="54" t="s">
        <v>0</v>
      </c>
      <c r="R9" s="54" t="s">
        <v>4</v>
      </c>
      <c r="S9" s="55" t="s">
        <v>150</v>
      </c>
      <c r="T9" s="56" t="s">
        <v>151</v>
      </c>
      <c r="U9" s="182" t="s">
        <v>484</v>
      </c>
      <c r="W9" s="62" t="s">
        <v>168</v>
      </c>
      <c r="X9" s="63" t="s">
        <v>152</v>
      </c>
      <c r="Y9" s="64" t="s">
        <v>294</v>
      </c>
      <c r="AB9" s="71"/>
      <c r="AC9" s="65">
        <v>2700</v>
      </c>
      <c r="AD9" s="74"/>
      <c r="AE9" s="146">
        <v>2920.5</v>
      </c>
      <c r="AF9" s="148"/>
      <c r="AK9" s="65">
        <v>2714.29</v>
      </c>
    </row>
    <row r="10" spans="3:37" ht="21">
      <c r="C10" s="170" t="s">
        <v>355</v>
      </c>
      <c r="D10" s="27"/>
      <c r="E10" s="133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36"/>
      <c r="U10" s="58"/>
      <c r="W10" s="57"/>
      <c r="X10" s="58"/>
      <c r="Y10" s="59"/>
      <c r="AB10" s="71"/>
      <c r="AC10" s="66">
        <v>50</v>
      </c>
      <c r="AD10" s="76"/>
      <c r="AE10" s="77">
        <v>0</v>
      </c>
      <c r="AF10" s="149"/>
      <c r="AK10" s="66">
        <v>50</v>
      </c>
    </row>
    <row r="11" spans="3:37" ht="17.399999999999999">
      <c r="C11" s="169" t="s">
        <v>54</v>
      </c>
      <c r="D11" s="60">
        <v>44296</v>
      </c>
      <c r="E11" s="134">
        <v>1</v>
      </c>
      <c r="F11" s="28">
        <v>146</v>
      </c>
      <c r="G11" s="28" t="s">
        <v>56</v>
      </c>
      <c r="H11" s="28">
        <v>160</v>
      </c>
      <c r="I11" s="28">
        <v>79.099999999999994</v>
      </c>
      <c r="J11" s="28">
        <v>18.399999999999999</v>
      </c>
      <c r="K11" s="28">
        <v>18.399999999999999</v>
      </c>
      <c r="L11" s="28">
        <f>2700-30</f>
        <v>2670</v>
      </c>
      <c r="M11" s="28">
        <v>0</v>
      </c>
      <c r="N11" s="28"/>
      <c r="O11" s="61">
        <f t="shared" ref="O11:O31" si="0">L11/19*J11*I11*5/105</f>
        <v>9739.4105263157871</v>
      </c>
      <c r="P11" s="61">
        <f t="shared" ref="P11:P31" si="1">O11/5*105-M11</f>
        <v>204527.62105263153</v>
      </c>
      <c r="Q11" s="40">
        <v>44308</v>
      </c>
      <c r="R11" s="166">
        <v>194773.84</v>
      </c>
      <c r="S11" s="28" t="s">
        <v>356</v>
      </c>
      <c r="T11" s="181">
        <f>P11-R11</f>
        <v>9753.7810526315297</v>
      </c>
      <c r="U11" s="183"/>
      <c r="W11" s="57"/>
      <c r="X11" s="58"/>
      <c r="Y11" s="59"/>
      <c r="AB11" s="71"/>
      <c r="AC11" s="67">
        <f>AC9-AC10</f>
        <v>2650</v>
      </c>
      <c r="AD11" s="78"/>
      <c r="AE11" s="147">
        <f>AE9-AE10</f>
        <v>2920.5</v>
      </c>
      <c r="AF11" s="148"/>
      <c r="AK11" s="67">
        <f>AK9-AK10</f>
        <v>2664.29</v>
      </c>
    </row>
    <row r="12" spans="3:37" ht="17.399999999999999">
      <c r="C12" s="169" t="s">
        <v>54</v>
      </c>
      <c r="D12" s="60">
        <v>44312</v>
      </c>
      <c r="E12" s="134">
        <v>2</v>
      </c>
      <c r="F12" s="28">
        <v>391</v>
      </c>
      <c r="G12" s="28" t="s">
        <v>53</v>
      </c>
      <c r="H12" s="28">
        <v>60</v>
      </c>
      <c r="I12" s="28">
        <v>29.5</v>
      </c>
      <c r="J12" s="28">
        <v>18.5</v>
      </c>
      <c r="K12" s="28">
        <v>24.95</v>
      </c>
      <c r="L12" s="28">
        <f>(3150-60)</f>
        <v>3090</v>
      </c>
      <c r="M12" s="28">
        <v>0</v>
      </c>
      <c r="N12" s="28"/>
      <c r="O12" s="61">
        <f t="shared" si="0"/>
        <v>4226.4849624060143</v>
      </c>
      <c r="P12" s="61">
        <f t="shared" si="1"/>
        <v>88756.184210526306</v>
      </c>
      <c r="Q12" s="40">
        <v>44319</v>
      </c>
      <c r="R12" s="166">
        <v>84525.28</v>
      </c>
      <c r="S12" s="28" t="s">
        <v>356</v>
      </c>
      <c r="T12" s="181">
        <f>P12-R12</f>
        <v>4230.904210526307</v>
      </c>
      <c r="U12" s="183"/>
      <c r="W12" s="95">
        <v>5470</v>
      </c>
      <c r="X12" s="96">
        <f t="shared" ref="X12:X32" si="2">W12*0.05</f>
        <v>273.5</v>
      </c>
      <c r="Y12" s="97">
        <f t="shared" ref="Y12:Y32" si="3">X12+W12</f>
        <v>5743.5</v>
      </c>
      <c r="AB12" s="79" t="s">
        <v>155</v>
      </c>
      <c r="AC12" s="67">
        <f>AC11/105*100</f>
        <v>2523.8095238095239</v>
      </c>
      <c r="AD12" s="71"/>
      <c r="AE12" s="67">
        <f>AE11/105*100</f>
        <v>2781.4285714285711</v>
      </c>
      <c r="AF12" s="148"/>
      <c r="AK12" s="67">
        <f>AK11/100*105</f>
        <v>2797.5045</v>
      </c>
    </row>
    <row r="13" spans="3:37" ht="17.399999999999999">
      <c r="C13" s="169" t="s">
        <v>54</v>
      </c>
      <c r="D13" s="60">
        <v>44317</v>
      </c>
      <c r="E13" s="134">
        <v>3</v>
      </c>
      <c r="F13" s="28">
        <v>480</v>
      </c>
      <c r="G13" s="28" t="s">
        <v>56</v>
      </c>
      <c r="H13" s="28">
        <v>170</v>
      </c>
      <c r="I13" s="28">
        <v>83.35</v>
      </c>
      <c r="J13" s="28">
        <v>17.3</v>
      </c>
      <c r="K13" s="28">
        <v>13.83</v>
      </c>
      <c r="L13" s="28">
        <f>3000-10</f>
        <v>2990</v>
      </c>
      <c r="M13" s="28">
        <v>0</v>
      </c>
      <c r="N13" s="28"/>
      <c r="O13" s="61">
        <f t="shared" si="0"/>
        <v>10805.627694235589</v>
      </c>
      <c r="P13" s="61">
        <f t="shared" si="1"/>
        <v>226918.18157894735</v>
      </c>
      <c r="Q13" s="254">
        <v>44327</v>
      </c>
      <c r="R13" s="256">
        <v>401346.4</v>
      </c>
      <c r="S13" s="257" t="s">
        <v>356</v>
      </c>
      <c r="T13" s="258">
        <f>P13+P14-R13</f>
        <v>20091.781578947324</v>
      </c>
      <c r="U13" s="184"/>
      <c r="W13" s="95">
        <v>26744.59</v>
      </c>
      <c r="X13" s="96">
        <f t="shared" si="2"/>
        <v>1337.2295000000001</v>
      </c>
      <c r="Y13" s="97">
        <f t="shared" si="3"/>
        <v>28081.819500000001</v>
      </c>
      <c r="AB13" s="71"/>
      <c r="AC13" s="67">
        <v>19</v>
      </c>
      <c r="AD13" s="71"/>
      <c r="AE13" s="67">
        <v>19</v>
      </c>
      <c r="AF13" s="148"/>
      <c r="AK13" s="67">
        <v>19</v>
      </c>
    </row>
    <row r="14" spans="3:37" ht="17.399999999999999">
      <c r="C14" s="169" t="s">
        <v>54</v>
      </c>
      <c r="D14" s="60">
        <v>44319</v>
      </c>
      <c r="E14" s="134">
        <v>4</v>
      </c>
      <c r="F14" s="28">
        <v>524</v>
      </c>
      <c r="G14" s="28" t="s">
        <v>56</v>
      </c>
      <c r="H14" s="28">
        <v>132</v>
      </c>
      <c r="I14" s="28">
        <v>64.84</v>
      </c>
      <c r="J14" s="28">
        <v>19</v>
      </c>
      <c r="K14" s="28" t="s">
        <v>167</v>
      </c>
      <c r="L14" s="28">
        <v>3000</v>
      </c>
      <c r="M14" s="28">
        <v>0</v>
      </c>
      <c r="N14" s="28"/>
      <c r="O14" s="61">
        <f t="shared" si="0"/>
        <v>9262.8571428571431</v>
      </c>
      <c r="P14" s="61">
        <f t="shared" si="1"/>
        <v>194520</v>
      </c>
      <c r="Q14" s="255"/>
      <c r="R14" s="255"/>
      <c r="S14" s="255"/>
      <c r="T14" s="259"/>
      <c r="U14" s="185">
        <v>44443</v>
      </c>
      <c r="W14" s="95">
        <v>3314.29</v>
      </c>
      <c r="X14" s="96">
        <f t="shared" si="2"/>
        <v>165.71450000000002</v>
      </c>
      <c r="Y14" s="97">
        <f t="shared" si="3"/>
        <v>3480.0045</v>
      </c>
      <c r="AB14" s="71"/>
      <c r="AC14" s="67">
        <f>AC12/AC13</f>
        <v>132.83208020050125</v>
      </c>
      <c r="AD14" s="71"/>
      <c r="AE14" s="67">
        <f>AE12/AE13</f>
        <v>146.39097744360902</v>
      </c>
      <c r="AF14" s="148"/>
      <c r="AK14" s="67">
        <f>AK12/AK13</f>
        <v>147.23707894736842</v>
      </c>
    </row>
    <row r="15" spans="3:37" ht="17.399999999999999">
      <c r="C15" s="169" t="s">
        <v>54</v>
      </c>
      <c r="D15" s="60">
        <v>44334</v>
      </c>
      <c r="E15" s="134">
        <v>5</v>
      </c>
      <c r="F15" s="28">
        <v>880</v>
      </c>
      <c r="G15" s="28" t="s">
        <v>60</v>
      </c>
      <c r="H15" s="28">
        <v>114</v>
      </c>
      <c r="I15" s="28">
        <v>55.56</v>
      </c>
      <c r="J15" s="28">
        <v>15.8</v>
      </c>
      <c r="K15" s="28">
        <v>21.94</v>
      </c>
      <c r="L15" s="28">
        <f>3050-60</f>
        <v>2990</v>
      </c>
      <c r="M15" s="28">
        <v>0</v>
      </c>
      <c r="N15" s="28"/>
      <c r="O15" s="61">
        <f t="shared" si="0"/>
        <v>6578.3596992481216</v>
      </c>
      <c r="P15" s="61">
        <f t="shared" si="1"/>
        <v>138145.55368421055</v>
      </c>
      <c r="Q15" s="40">
        <v>44342</v>
      </c>
      <c r="R15" s="28">
        <v>131552.84</v>
      </c>
      <c r="S15" s="28" t="s">
        <v>356</v>
      </c>
      <c r="T15" s="181">
        <f>P15-R15</f>
        <v>6592.7136842105538</v>
      </c>
      <c r="U15" s="183"/>
      <c r="W15" s="95">
        <v>35632.81</v>
      </c>
      <c r="X15" s="96">
        <f t="shared" si="2"/>
        <v>1781.6405</v>
      </c>
      <c r="Y15" s="97">
        <f t="shared" si="3"/>
        <v>37414.450499999999</v>
      </c>
      <c r="AB15" s="71"/>
      <c r="AC15" s="68">
        <v>17.5</v>
      </c>
      <c r="AD15" s="71"/>
      <c r="AE15" s="68">
        <v>0</v>
      </c>
      <c r="AF15" s="148"/>
      <c r="AK15" s="68">
        <v>17.5</v>
      </c>
    </row>
    <row r="16" spans="3:37">
      <c r="C16" s="243" t="s">
        <v>131</v>
      </c>
      <c r="D16" s="60">
        <v>44337</v>
      </c>
      <c r="E16" s="134">
        <v>6</v>
      </c>
      <c r="F16" s="28">
        <v>737</v>
      </c>
      <c r="G16" s="28" t="s">
        <v>135</v>
      </c>
      <c r="H16" s="28">
        <v>256</v>
      </c>
      <c r="I16" s="28">
        <v>126.14</v>
      </c>
      <c r="J16" s="28">
        <v>17.600000000000001</v>
      </c>
      <c r="K16" s="28">
        <v>12.86</v>
      </c>
      <c r="L16" s="131">
        <f>2920.5</f>
        <v>2920.5</v>
      </c>
      <c r="M16" s="28">
        <v>640</v>
      </c>
      <c r="N16" s="28"/>
      <c r="O16" s="61">
        <f t="shared" si="0"/>
        <v>16249.866947368422</v>
      </c>
      <c r="P16" s="61">
        <f t="shared" si="1"/>
        <v>340607.20589473686</v>
      </c>
      <c r="Q16" s="28"/>
      <c r="R16" s="28"/>
      <c r="S16" s="28"/>
      <c r="T16" s="36"/>
      <c r="U16" s="58"/>
      <c r="W16" s="136">
        <v>47421.7</v>
      </c>
      <c r="X16" s="96">
        <f t="shared" si="2"/>
        <v>2371.085</v>
      </c>
      <c r="Y16" s="97">
        <f t="shared" si="3"/>
        <v>49792.784999999996</v>
      </c>
      <c r="AB16" s="71"/>
      <c r="AC16" s="67">
        <f>AC14*AC15</f>
        <v>2324.5614035087719</v>
      </c>
      <c r="AD16" s="71"/>
      <c r="AE16" s="67">
        <f>AE14*AE15</f>
        <v>0</v>
      </c>
      <c r="AF16" s="148"/>
      <c r="AK16" s="67">
        <f>AK14*AK15</f>
        <v>2576.6488815789471</v>
      </c>
    </row>
    <row r="17" spans="3:43">
      <c r="C17" s="243"/>
      <c r="D17" s="60">
        <v>44337</v>
      </c>
      <c r="E17" s="134">
        <v>7</v>
      </c>
      <c r="F17" s="28">
        <v>700</v>
      </c>
      <c r="G17" s="28" t="s">
        <v>137</v>
      </c>
      <c r="H17" s="28">
        <v>62</v>
      </c>
      <c r="I17" s="28">
        <v>30.38</v>
      </c>
      <c r="J17" s="28">
        <v>18.3</v>
      </c>
      <c r="K17" s="28">
        <v>13.5</v>
      </c>
      <c r="L17" s="28">
        <f>3118.5-10</f>
        <v>3108.5</v>
      </c>
      <c r="M17" s="28">
        <v>155</v>
      </c>
      <c r="N17" s="28"/>
      <c r="O17" s="61">
        <f t="shared" si="0"/>
        <v>4331.2857368421055</v>
      </c>
      <c r="P17" s="61">
        <f t="shared" si="1"/>
        <v>90802.000473684209</v>
      </c>
      <c r="Q17" s="28"/>
      <c r="R17" s="28"/>
      <c r="S17" s="28"/>
      <c r="T17" s="36"/>
      <c r="U17" s="186"/>
      <c r="W17" s="95">
        <v>6521.9</v>
      </c>
      <c r="X17" s="96">
        <f t="shared" si="2"/>
        <v>326.09500000000003</v>
      </c>
      <c r="Y17" s="97">
        <f t="shared" si="3"/>
        <v>6847.9949999999999</v>
      </c>
      <c r="AB17" s="71"/>
      <c r="AC17" s="68">
        <v>89.28</v>
      </c>
      <c r="AD17" s="71"/>
      <c r="AE17" s="68">
        <v>0</v>
      </c>
      <c r="AF17" s="148"/>
      <c r="AK17" s="68">
        <v>89.17</v>
      </c>
    </row>
    <row r="18" spans="3:43">
      <c r="C18" s="243"/>
      <c r="D18" s="60">
        <v>44337</v>
      </c>
      <c r="E18" s="134">
        <v>8</v>
      </c>
      <c r="F18" s="28">
        <v>708</v>
      </c>
      <c r="G18" s="28" t="s">
        <v>56</v>
      </c>
      <c r="H18" s="28">
        <v>164</v>
      </c>
      <c r="I18" s="28">
        <v>79.959999999999994</v>
      </c>
      <c r="J18" s="28">
        <v>19</v>
      </c>
      <c r="K18" s="28" t="s">
        <v>296</v>
      </c>
      <c r="L18" s="28">
        <v>3118.5</v>
      </c>
      <c r="M18" s="28">
        <v>410</v>
      </c>
      <c r="N18" s="28"/>
      <c r="O18" s="61">
        <f t="shared" si="0"/>
        <v>11874.059999999998</v>
      </c>
      <c r="P18" s="61">
        <f t="shared" si="1"/>
        <v>248945.25999999995</v>
      </c>
      <c r="Q18" s="28"/>
      <c r="R18" s="28"/>
      <c r="S18" s="28"/>
      <c r="T18" s="36"/>
      <c r="U18" s="186"/>
      <c r="W18" s="95">
        <v>8909.2800000000007</v>
      </c>
      <c r="X18" s="96">
        <f t="shared" si="2"/>
        <v>445.46400000000006</v>
      </c>
      <c r="Y18" s="97">
        <f t="shared" si="3"/>
        <v>9354.7440000000006</v>
      </c>
      <c r="AB18" s="71"/>
      <c r="AC18" s="67">
        <f>AC16*AC17</f>
        <v>207536.84210526317</v>
      </c>
      <c r="AD18" s="71"/>
      <c r="AE18" s="67">
        <f>AE16*AE17</f>
        <v>0</v>
      </c>
      <c r="AF18" s="148"/>
      <c r="AK18" s="67">
        <f>AK16*AK17</f>
        <v>229759.78077039472</v>
      </c>
    </row>
    <row r="19" spans="3:43">
      <c r="C19" s="243"/>
      <c r="D19" s="60">
        <v>44338</v>
      </c>
      <c r="E19" s="134">
        <v>9</v>
      </c>
      <c r="F19" s="28">
        <v>736</v>
      </c>
      <c r="G19" s="28" t="s">
        <v>56</v>
      </c>
      <c r="H19" s="28">
        <v>180</v>
      </c>
      <c r="I19" s="28">
        <v>95.4</v>
      </c>
      <c r="J19" s="28">
        <v>17.100000000000001</v>
      </c>
      <c r="K19" s="28" t="s">
        <v>296</v>
      </c>
      <c r="L19" s="28">
        <v>3019.5</v>
      </c>
      <c r="M19" s="28">
        <v>450</v>
      </c>
      <c r="N19" s="28"/>
      <c r="O19" s="61">
        <f t="shared" si="0"/>
        <v>12345.441428571432</v>
      </c>
      <c r="P19" s="61">
        <f t="shared" si="1"/>
        <v>258804.27000000008</v>
      </c>
      <c r="Q19" s="28"/>
      <c r="R19" s="28"/>
      <c r="S19" s="28"/>
      <c r="T19" s="36"/>
      <c r="U19" s="186"/>
      <c r="W19" s="95">
        <v>45119.74</v>
      </c>
      <c r="X19" s="96">
        <f t="shared" si="2"/>
        <v>2255.9870000000001</v>
      </c>
      <c r="Y19" s="97">
        <f t="shared" si="3"/>
        <v>47375.726999999999</v>
      </c>
      <c r="AB19" s="81" t="s">
        <v>156</v>
      </c>
      <c r="AC19" s="69">
        <f>AC18*5%</f>
        <v>10376.84210526316</v>
      </c>
      <c r="AD19" s="82">
        <f>AC19/2</f>
        <v>5188.4210526315801</v>
      </c>
      <c r="AE19" s="69">
        <f>AE18*5%</f>
        <v>0</v>
      </c>
      <c r="AF19" s="148"/>
      <c r="AK19" s="69">
        <f>AK18*5%</f>
        <v>11487.989038519736</v>
      </c>
    </row>
    <row r="20" spans="3:43">
      <c r="C20" s="243"/>
      <c r="D20" s="60">
        <v>44339</v>
      </c>
      <c r="E20" s="134">
        <v>10</v>
      </c>
      <c r="F20" s="28">
        <v>748</v>
      </c>
      <c r="G20" s="28" t="s">
        <v>56</v>
      </c>
      <c r="H20" s="28">
        <v>185</v>
      </c>
      <c r="I20" s="28">
        <v>90.45</v>
      </c>
      <c r="J20" s="28">
        <v>19</v>
      </c>
      <c r="K20" s="28" t="s">
        <v>296</v>
      </c>
      <c r="L20" s="28">
        <v>2920.5</v>
      </c>
      <c r="M20" s="28">
        <v>462</v>
      </c>
      <c r="N20" s="28"/>
      <c r="O20" s="61">
        <f t="shared" si="0"/>
        <v>12579.010714285716</v>
      </c>
      <c r="P20" s="61">
        <f t="shared" si="1"/>
        <v>263697.22500000003</v>
      </c>
      <c r="Q20" s="28"/>
      <c r="R20" s="28"/>
      <c r="S20" s="28"/>
      <c r="T20" s="36"/>
      <c r="U20" s="186"/>
      <c r="W20" s="95">
        <v>26360.26</v>
      </c>
      <c r="X20" s="96">
        <f t="shared" si="2"/>
        <v>1318.0129999999999</v>
      </c>
      <c r="Y20" s="97">
        <f t="shared" si="3"/>
        <v>27678.272999999997</v>
      </c>
      <c r="AB20" s="71"/>
      <c r="AC20" s="68"/>
      <c r="AD20" s="84">
        <f>AC18-AC20</f>
        <v>207536.84210526317</v>
      </c>
      <c r="AE20" s="68">
        <v>0</v>
      </c>
      <c r="AF20" s="148"/>
      <c r="AK20" s="68"/>
    </row>
    <row r="21" spans="3:43">
      <c r="C21" s="243"/>
      <c r="D21" s="60">
        <v>44340</v>
      </c>
      <c r="E21" s="134">
        <v>11</v>
      </c>
      <c r="F21" s="28">
        <v>754</v>
      </c>
      <c r="G21" s="28" t="s">
        <v>56</v>
      </c>
      <c r="H21" s="28">
        <v>180</v>
      </c>
      <c r="I21" s="28">
        <v>95.4</v>
      </c>
      <c r="J21" s="28">
        <v>16.8</v>
      </c>
      <c r="K21" s="28">
        <v>14.02</v>
      </c>
      <c r="L21" s="28">
        <f>2920.5-10</f>
        <v>2910.5</v>
      </c>
      <c r="M21" s="28">
        <v>450</v>
      </c>
      <c r="N21" s="28"/>
      <c r="O21" s="61">
        <f t="shared" si="0"/>
        <v>11691.018947368424</v>
      </c>
      <c r="P21" s="61">
        <f t="shared" si="1"/>
        <v>245061.39789473693</v>
      </c>
      <c r="Q21" s="28"/>
      <c r="R21" s="28"/>
      <c r="S21" s="28"/>
      <c r="T21" s="36"/>
      <c r="U21" s="186"/>
      <c r="W21" s="95">
        <v>39974.86</v>
      </c>
      <c r="X21" s="96">
        <f t="shared" si="2"/>
        <v>1998.7430000000002</v>
      </c>
      <c r="Y21" s="97">
        <f t="shared" si="3"/>
        <v>41973.603000000003</v>
      </c>
      <c r="AB21" s="71"/>
      <c r="AC21" s="68"/>
      <c r="AD21" s="84"/>
      <c r="AE21" s="68"/>
      <c r="AF21" s="148"/>
      <c r="AK21" s="68"/>
    </row>
    <row r="22" spans="3:43">
      <c r="C22" s="243"/>
      <c r="D22" s="60">
        <v>44340</v>
      </c>
      <c r="E22" s="134">
        <v>12</v>
      </c>
      <c r="F22" s="28">
        <v>755</v>
      </c>
      <c r="G22" s="28" t="s">
        <v>135</v>
      </c>
      <c r="H22" s="28">
        <v>262</v>
      </c>
      <c r="I22" s="28">
        <v>128.78</v>
      </c>
      <c r="J22" s="28">
        <v>18.5</v>
      </c>
      <c r="K22" s="28">
        <v>17.329999999999998</v>
      </c>
      <c r="L22" s="28">
        <f>2920.5-30</f>
        <v>2890.5</v>
      </c>
      <c r="M22" s="28">
        <v>655</v>
      </c>
      <c r="N22" s="28"/>
      <c r="O22" s="28">
        <f t="shared" si="0"/>
        <v>17259.1827443609</v>
      </c>
      <c r="P22" s="28">
        <f t="shared" si="1"/>
        <v>361787.83763157891</v>
      </c>
      <c r="Q22" s="28"/>
      <c r="R22" s="28"/>
      <c r="S22" s="28"/>
      <c r="T22" s="36"/>
      <c r="U22" s="186"/>
      <c r="W22" s="83">
        <v>23487.77</v>
      </c>
      <c r="X22" s="96">
        <f t="shared" si="2"/>
        <v>1174.3885</v>
      </c>
      <c r="Y22" s="97">
        <f t="shared" si="3"/>
        <v>24662.158500000001</v>
      </c>
      <c r="AB22" s="71"/>
      <c r="AC22" s="67"/>
      <c r="AD22" s="71"/>
      <c r="AE22" s="67"/>
      <c r="AF22" s="148"/>
      <c r="AK22" s="67"/>
    </row>
    <row r="23" spans="3:43" ht="15" thickBot="1">
      <c r="C23" s="243"/>
      <c r="D23" s="60">
        <v>44340</v>
      </c>
      <c r="E23" s="134">
        <v>13</v>
      </c>
      <c r="F23" s="28">
        <v>769</v>
      </c>
      <c r="G23" s="28" t="s">
        <v>56</v>
      </c>
      <c r="H23" s="28">
        <v>155</v>
      </c>
      <c r="I23" s="28">
        <v>79.849999999999994</v>
      </c>
      <c r="J23" s="28">
        <v>19</v>
      </c>
      <c r="K23" s="28" t="s">
        <v>296</v>
      </c>
      <c r="L23" s="28">
        <v>2920.5</v>
      </c>
      <c r="M23" s="28">
        <v>387.5</v>
      </c>
      <c r="N23" s="28"/>
      <c r="O23" s="28">
        <f t="shared" si="0"/>
        <v>11104.853571428572</v>
      </c>
      <c r="P23" s="28">
        <f t="shared" si="1"/>
        <v>232814.42499999999</v>
      </c>
      <c r="Q23" s="28"/>
      <c r="R23" s="28"/>
      <c r="S23" s="28"/>
      <c r="T23" s="36"/>
      <c r="U23" s="186"/>
      <c r="W23" s="95">
        <v>5843.4</v>
      </c>
      <c r="X23" s="96">
        <f t="shared" si="2"/>
        <v>292.17</v>
      </c>
      <c r="Y23" s="97">
        <f t="shared" si="3"/>
        <v>6135.57</v>
      </c>
      <c r="AB23" s="71"/>
      <c r="AC23" s="70">
        <f>AC18+AC19-AC20</f>
        <v>217913.68421052635</v>
      </c>
      <c r="AD23" s="85">
        <f>AC23+AC20</f>
        <v>217913.68421052635</v>
      </c>
      <c r="AE23" s="70">
        <f>AE18+AE19-AE20</f>
        <v>0</v>
      </c>
      <c r="AF23" s="148"/>
      <c r="AK23" s="70">
        <f>AK18+AK19-AK20</f>
        <v>241247.76980891445</v>
      </c>
      <c r="AL23" s="85">
        <f>AK23-AK19</f>
        <v>229759.78077039472</v>
      </c>
    </row>
    <row r="24" spans="3:43">
      <c r="C24" s="243"/>
      <c r="D24" s="60">
        <v>44342</v>
      </c>
      <c r="E24" s="134">
        <v>14</v>
      </c>
      <c r="F24" s="28">
        <v>793</v>
      </c>
      <c r="G24" s="28" t="s">
        <v>141</v>
      </c>
      <c r="H24" s="28">
        <v>215</v>
      </c>
      <c r="I24" s="28">
        <v>106.15</v>
      </c>
      <c r="J24" s="28">
        <v>19</v>
      </c>
      <c r="K24" s="28" t="s">
        <v>296</v>
      </c>
      <c r="L24" s="28">
        <f>2871-10</f>
        <v>2861</v>
      </c>
      <c r="M24" s="28">
        <v>537.5</v>
      </c>
      <c r="N24" s="28"/>
      <c r="O24" s="28">
        <f t="shared" si="0"/>
        <v>14461.673809523809</v>
      </c>
      <c r="P24" s="28">
        <f t="shared" si="1"/>
        <v>303157.64999999997</v>
      </c>
      <c r="Q24" s="28"/>
      <c r="R24" s="28"/>
      <c r="S24" s="28"/>
      <c r="T24" s="36"/>
      <c r="U24" s="186"/>
      <c r="W24" s="95">
        <v>13302.24</v>
      </c>
      <c r="X24" s="96">
        <f t="shared" si="2"/>
        <v>665.11200000000008</v>
      </c>
      <c r="Y24" s="97">
        <f t="shared" si="3"/>
        <v>13967.351999999999</v>
      </c>
      <c r="AB24" s="79" t="s">
        <v>157</v>
      </c>
      <c r="AC24" s="86">
        <v>0</v>
      </c>
      <c r="AD24" s="84"/>
      <c r="AE24" s="79" t="s">
        <v>157</v>
      </c>
      <c r="AF24" s="145"/>
    </row>
    <row r="25" spans="3:43">
      <c r="C25" s="243"/>
      <c r="D25" s="60">
        <v>44342</v>
      </c>
      <c r="E25" s="134">
        <v>15</v>
      </c>
      <c r="F25" s="28">
        <v>791</v>
      </c>
      <c r="G25" s="28" t="s">
        <v>56</v>
      </c>
      <c r="H25" s="28">
        <v>164</v>
      </c>
      <c r="I25" s="28">
        <v>80.260000000000005</v>
      </c>
      <c r="J25" s="28">
        <v>19</v>
      </c>
      <c r="K25" s="28" t="s">
        <v>296</v>
      </c>
      <c r="L25" s="28">
        <f>2871</f>
        <v>2871</v>
      </c>
      <c r="M25" s="28">
        <v>410</v>
      </c>
      <c r="N25" s="28"/>
      <c r="O25" s="28">
        <f t="shared" si="0"/>
        <v>10972.688571428573</v>
      </c>
      <c r="P25" s="28">
        <f t="shared" si="1"/>
        <v>230016.46000000005</v>
      </c>
      <c r="Q25" s="28"/>
      <c r="R25" s="28"/>
      <c r="S25" s="28"/>
      <c r="T25" s="36"/>
      <c r="U25" s="186"/>
      <c r="W25" s="95">
        <v>11317.66</v>
      </c>
      <c r="X25" s="96">
        <f t="shared" si="2"/>
        <v>565.88300000000004</v>
      </c>
      <c r="Y25" s="97">
        <f t="shared" si="3"/>
        <v>11883.543</v>
      </c>
      <c r="AB25" s="79" t="s">
        <v>158</v>
      </c>
      <c r="AC25" s="86">
        <f>AC23-AC24</f>
        <v>217913.68421052635</v>
      </c>
      <c r="AD25" s="71"/>
      <c r="AE25" s="79" t="s">
        <v>158</v>
      </c>
      <c r="AF25" s="145"/>
    </row>
    <row r="26" spans="3:43">
      <c r="C26" s="243"/>
      <c r="D26" s="60">
        <v>44344</v>
      </c>
      <c r="E26" s="134">
        <v>16</v>
      </c>
      <c r="F26" s="28">
        <v>833</v>
      </c>
      <c r="G26" s="28" t="s">
        <v>56</v>
      </c>
      <c r="H26" s="28">
        <v>200</v>
      </c>
      <c r="I26" s="28">
        <v>98.6</v>
      </c>
      <c r="J26" s="28">
        <v>17.7</v>
      </c>
      <c r="K26" s="28" t="s">
        <v>296</v>
      </c>
      <c r="L26" s="28">
        <v>2890.8</v>
      </c>
      <c r="M26" s="28">
        <v>500</v>
      </c>
      <c r="N26" s="28"/>
      <c r="O26" s="28">
        <f t="shared" si="0"/>
        <v>12644.315729323307</v>
      </c>
      <c r="P26" s="28">
        <f t="shared" si="1"/>
        <v>265030.63031578943</v>
      </c>
      <c r="Q26" s="28"/>
      <c r="R26" s="28"/>
      <c r="S26" s="28"/>
      <c r="T26" s="36"/>
      <c r="U26" s="186"/>
      <c r="W26" s="95">
        <v>28542.26</v>
      </c>
      <c r="X26" s="96">
        <f t="shared" si="2"/>
        <v>1427.1130000000001</v>
      </c>
      <c r="Y26" s="97">
        <f t="shared" si="3"/>
        <v>29969.373</v>
      </c>
    </row>
    <row r="27" spans="3:43">
      <c r="C27" s="243"/>
      <c r="D27" s="60">
        <v>44345</v>
      </c>
      <c r="E27" s="134">
        <v>17</v>
      </c>
      <c r="F27" s="28">
        <v>850</v>
      </c>
      <c r="G27" s="28" t="s">
        <v>56</v>
      </c>
      <c r="H27" s="28">
        <v>188</v>
      </c>
      <c r="I27" s="28">
        <v>96.32</v>
      </c>
      <c r="J27" s="28">
        <v>17.100000000000001</v>
      </c>
      <c r="K27" s="28" t="s">
        <v>296</v>
      </c>
      <c r="L27" s="28">
        <v>2920.5</v>
      </c>
      <c r="M27" s="28">
        <v>470</v>
      </c>
      <c r="N27" s="28"/>
      <c r="O27" s="28">
        <f t="shared" si="0"/>
        <v>12055.824000000001</v>
      </c>
      <c r="P27" s="28">
        <f t="shared" si="1"/>
        <v>252702.304</v>
      </c>
      <c r="Q27" s="28"/>
      <c r="R27" s="28"/>
      <c r="S27" s="28"/>
      <c r="T27" s="36"/>
      <c r="U27" s="186"/>
      <c r="W27" s="95">
        <v>35226.379999999997</v>
      </c>
      <c r="X27" s="96">
        <f t="shared" si="2"/>
        <v>1761.319</v>
      </c>
      <c r="Y27" s="97">
        <f t="shared" si="3"/>
        <v>36987.699000000001</v>
      </c>
    </row>
    <row r="28" spans="3:43" ht="18">
      <c r="C28" s="243"/>
      <c r="D28" s="60">
        <v>44345</v>
      </c>
      <c r="E28" s="134">
        <v>18</v>
      </c>
      <c r="F28" s="28">
        <v>851</v>
      </c>
      <c r="G28" s="28" t="s">
        <v>135</v>
      </c>
      <c r="H28" s="28">
        <v>165</v>
      </c>
      <c r="I28" s="28">
        <v>91.65</v>
      </c>
      <c r="J28" s="28">
        <v>19</v>
      </c>
      <c r="K28" s="28" t="s">
        <v>167</v>
      </c>
      <c r="L28" s="28">
        <v>2920.5</v>
      </c>
      <c r="M28" s="28">
        <v>412.5</v>
      </c>
      <c r="N28" s="28"/>
      <c r="O28" s="28">
        <f t="shared" si="0"/>
        <v>12745.896428571428</v>
      </c>
      <c r="P28" s="28">
        <f t="shared" si="1"/>
        <v>267251.32499999995</v>
      </c>
      <c r="Q28" s="28"/>
      <c r="R28" s="28"/>
      <c r="S28" s="28"/>
      <c r="T28" s="36"/>
      <c r="U28" s="186"/>
      <c r="W28" s="95">
        <v>20616.849999999999</v>
      </c>
      <c r="X28" s="96">
        <f t="shared" si="2"/>
        <v>1030.8425</v>
      </c>
      <c r="Y28" s="97">
        <f t="shared" si="3"/>
        <v>21647.692499999997</v>
      </c>
      <c r="AB28" s="87"/>
      <c r="AC28" s="88" t="s">
        <v>159</v>
      </c>
      <c r="AD28" s="89"/>
      <c r="AE28" s="89"/>
      <c r="AF28" s="90"/>
      <c r="AI28" s="87"/>
      <c r="AJ28" s="88" t="s">
        <v>159</v>
      </c>
      <c r="AK28" s="89"/>
      <c r="AL28" s="89"/>
      <c r="AM28" s="90"/>
      <c r="AQ28">
        <v>233325</v>
      </c>
    </row>
    <row r="29" spans="3:43" ht="21">
      <c r="C29" s="243"/>
      <c r="D29" s="60">
        <v>44346</v>
      </c>
      <c r="E29" s="134">
        <v>19</v>
      </c>
      <c r="F29" s="28">
        <v>876</v>
      </c>
      <c r="G29" s="28" t="s">
        <v>56</v>
      </c>
      <c r="H29" s="28">
        <v>196</v>
      </c>
      <c r="I29" s="28">
        <v>95.64</v>
      </c>
      <c r="J29" s="28">
        <v>19</v>
      </c>
      <c r="K29" s="28" t="s">
        <v>296</v>
      </c>
      <c r="L29" s="28">
        <v>2920.5</v>
      </c>
      <c r="M29" s="28">
        <v>490</v>
      </c>
      <c r="N29" s="28"/>
      <c r="O29" s="28">
        <f t="shared" si="0"/>
        <v>13300.791428571429</v>
      </c>
      <c r="P29" s="28">
        <f t="shared" si="1"/>
        <v>278826.62</v>
      </c>
      <c r="Q29" s="28"/>
      <c r="R29" s="28"/>
      <c r="S29" s="28"/>
      <c r="T29" s="36"/>
      <c r="U29" s="186"/>
      <c r="W29" s="95">
        <v>9784.17</v>
      </c>
      <c r="X29" s="96">
        <f t="shared" si="2"/>
        <v>489.20850000000002</v>
      </c>
      <c r="Y29" s="97">
        <f t="shared" si="3"/>
        <v>10273.378500000001</v>
      </c>
      <c r="AB29" s="91"/>
      <c r="AC29" s="92" t="s">
        <v>160</v>
      </c>
      <c r="AD29" s="93"/>
      <c r="AE29" s="93"/>
      <c r="AF29" s="94"/>
      <c r="AI29" s="91"/>
      <c r="AJ29" s="92" t="s">
        <v>160</v>
      </c>
      <c r="AK29" s="93"/>
      <c r="AL29" s="93"/>
      <c r="AM29" s="94"/>
    </row>
    <row r="30" spans="3:43">
      <c r="C30" s="243"/>
      <c r="D30" s="60">
        <v>44347</v>
      </c>
      <c r="E30" s="134">
        <v>20</v>
      </c>
      <c r="F30" s="28">
        <v>891</v>
      </c>
      <c r="G30" s="28" t="s">
        <v>135</v>
      </c>
      <c r="H30" s="28">
        <v>55</v>
      </c>
      <c r="I30" s="28">
        <v>26.8</v>
      </c>
      <c r="J30" s="28">
        <v>18</v>
      </c>
      <c r="K30" s="28" t="s">
        <v>296</v>
      </c>
      <c r="L30" s="28">
        <v>2920.5</v>
      </c>
      <c r="M30" s="28">
        <v>700</v>
      </c>
      <c r="N30" s="28"/>
      <c r="O30" s="28">
        <f t="shared" si="0"/>
        <v>3530.9503759398503</v>
      </c>
      <c r="P30" s="28">
        <f t="shared" si="1"/>
        <v>73449.957894736857</v>
      </c>
      <c r="Q30" s="28"/>
      <c r="R30" s="28"/>
      <c r="S30" s="28"/>
      <c r="T30" s="36"/>
      <c r="U30" s="186"/>
      <c r="W30" s="252">
        <v>24590</v>
      </c>
      <c r="X30" s="253">
        <f t="shared" si="2"/>
        <v>1229.5</v>
      </c>
      <c r="Y30" s="245">
        <f t="shared" si="3"/>
        <v>25819.5</v>
      </c>
      <c r="AB30" s="91"/>
      <c r="AC30" s="93" t="s">
        <v>161</v>
      </c>
      <c r="AD30" s="80">
        <v>247500</v>
      </c>
      <c r="AE30" s="75">
        <f>AD30/105*5</f>
        <v>11785.714285714286</v>
      </c>
      <c r="AF30" s="94"/>
      <c r="AI30" s="91"/>
      <c r="AJ30" s="93" t="s">
        <v>161</v>
      </c>
      <c r="AK30" s="80">
        <v>175560</v>
      </c>
      <c r="AL30" s="75">
        <f>AK30/105*5</f>
        <v>8360</v>
      </c>
      <c r="AM30" s="94"/>
    </row>
    <row r="31" spans="3:43">
      <c r="C31" s="243"/>
      <c r="D31" s="27"/>
      <c r="E31" s="134"/>
      <c r="F31" s="28"/>
      <c r="G31" s="28"/>
      <c r="H31" s="28">
        <v>232</v>
      </c>
      <c r="I31" s="28">
        <v>113.03</v>
      </c>
      <c r="J31" s="28">
        <v>18.5</v>
      </c>
      <c r="K31" s="28" t="s">
        <v>296</v>
      </c>
      <c r="L31" s="28">
        <v>2920.5</v>
      </c>
      <c r="M31" s="28">
        <v>17</v>
      </c>
      <c r="N31" s="28"/>
      <c r="O31" s="28">
        <f t="shared" si="0"/>
        <v>15305.579266917293</v>
      </c>
      <c r="P31" s="28">
        <f t="shared" si="1"/>
        <v>321400.16460526315</v>
      </c>
      <c r="Q31" s="28"/>
      <c r="R31" s="28"/>
      <c r="S31" s="28"/>
      <c r="T31" s="36"/>
      <c r="U31" s="186"/>
      <c r="W31" s="252"/>
      <c r="X31" s="253"/>
      <c r="Y31" s="245"/>
      <c r="AB31" s="91"/>
      <c r="AC31" s="93" t="s">
        <v>162</v>
      </c>
      <c r="AD31" s="75">
        <f>AC23+AE23</f>
        <v>217913.68421052635</v>
      </c>
      <c r="AE31" s="75">
        <f>AD19*2+AG19*2</f>
        <v>10376.84210526316</v>
      </c>
      <c r="AF31" s="94"/>
      <c r="AI31" s="91"/>
      <c r="AJ31" s="93" t="s">
        <v>162</v>
      </c>
      <c r="AK31" s="75">
        <f>AJ23+AL23</f>
        <v>229759.78077039472</v>
      </c>
      <c r="AL31" s="75">
        <f>AK19*2+AN19*2</f>
        <v>22975.978077039472</v>
      </c>
      <c r="AM31" s="94"/>
    </row>
    <row r="32" spans="3:43">
      <c r="C32" s="243"/>
      <c r="D32" s="27"/>
      <c r="E32" s="134">
        <v>21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36"/>
      <c r="U32" s="186"/>
      <c r="W32" s="95"/>
      <c r="X32" s="96">
        <f t="shared" si="2"/>
        <v>0</v>
      </c>
      <c r="Y32" s="97">
        <f t="shared" si="3"/>
        <v>0</v>
      </c>
      <c r="AB32" s="91"/>
      <c r="AC32" s="93" t="s">
        <v>163</v>
      </c>
      <c r="AD32" s="75">
        <f>AD30-AD31</f>
        <v>29586.315789473651</v>
      </c>
      <c r="AE32" s="75">
        <f>AE30-AE31</f>
        <v>1408.872180451126</v>
      </c>
      <c r="AF32" s="94"/>
      <c r="AI32" s="91"/>
      <c r="AJ32" s="93" t="s">
        <v>163</v>
      </c>
      <c r="AK32" s="75">
        <f>AK30-AK31</f>
        <v>-54199.780770394718</v>
      </c>
      <c r="AL32" s="75">
        <f>AL30-AL31</f>
        <v>-14615.978077039472</v>
      </c>
      <c r="AM32" s="94"/>
    </row>
    <row r="33" spans="3:43">
      <c r="C33" s="243"/>
      <c r="D33" s="60">
        <v>44347</v>
      </c>
      <c r="E33" s="134">
        <v>22</v>
      </c>
      <c r="F33" s="28">
        <v>901</v>
      </c>
      <c r="G33" s="28" t="s">
        <v>56</v>
      </c>
      <c r="H33" s="28">
        <v>173</v>
      </c>
      <c r="I33" s="28">
        <v>84.87</v>
      </c>
      <c r="J33" s="28">
        <v>19</v>
      </c>
      <c r="K33" s="28" t="s">
        <v>296</v>
      </c>
      <c r="L33" s="28">
        <v>2920.5</v>
      </c>
      <c r="M33" s="28">
        <v>432.5</v>
      </c>
      <c r="N33" s="28"/>
      <c r="O33" s="28">
        <f t="shared" ref="O33:O45" si="4">L33/19*J33*I33*5/105</f>
        <v>11802.992142857143</v>
      </c>
      <c r="P33" s="28">
        <f t="shared" ref="P33:P45" si="5">O33/5*105-M33</f>
        <v>247430.33499999999</v>
      </c>
      <c r="Q33" s="28"/>
      <c r="R33" s="28"/>
      <c r="S33" s="28"/>
      <c r="T33" s="36"/>
      <c r="U33" s="186"/>
      <c r="W33" s="95">
        <v>8077.78</v>
      </c>
      <c r="X33" s="96">
        <f t="shared" ref="X33:X45" si="6">W33*0.05</f>
        <v>403.88900000000001</v>
      </c>
      <c r="Y33" s="97">
        <f t="shared" ref="Y33:Y45" si="7">X33+W33</f>
        <v>8481.6689999999999</v>
      </c>
      <c r="AB33" s="91"/>
      <c r="AC33" s="93" t="s">
        <v>164</v>
      </c>
      <c r="AD33" s="75">
        <f>AD32/105*100</f>
        <v>28177.443609022528</v>
      </c>
      <c r="AE33" s="75"/>
      <c r="AF33" s="94"/>
      <c r="AI33" s="91"/>
      <c r="AJ33" s="93" t="s">
        <v>164</v>
      </c>
      <c r="AK33" s="75">
        <f>AK32/105*100</f>
        <v>-51618.838828947351</v>
      </c>
      <c r="AL33" s="75"/>
      <c r="AM33" s="94"/>
      <c r="AQ33">
        <v>220292</v>
      </c>
    </row>
    <row r="34" spans="3:43">
      <c r="C34" s="243"/>
      <c r="D34" s="60">
        <v>44347</v>
      </c>
      <c r="E34" s="134">
        <v>23</v>
      </c>
      <c r="F34" s="28">
        <v>887</v>
      </c>
      <c r="G34" s="28" t="s">
        <v>56</v>
      </c>
      <c r="H34" s="28">
        <v>190</v>
      </c>
      <c r="I34" s="28">
        <v>93.1</v>
      </c>
      <c r="J34" s="28">
        <v>19</v>
      </c>
      <c r="K34" s="28" t="s">
        <v>296</v>
      </c>
      <c r="L34" s="28">
        <f>2920.5-10</f>
        <v>2910.5</v>
      </c>
      <c r="M34" s="28">
        <v>475</v>
      </c>
      <c r="N34" s="28"/>
      <c r="O34" s="28">
        <f t="shared" si="4"/>
        <v>12903.216666666667</v>
      </c>
      <c r="P34" s="28">
        <f t="shared" si="5"/>
        <v>270492.55</v>
      </c>
      <c r="Q34" s="28"/>
      <c r="R34" s="28"/>
      <c r="S34" s="28"/>
      <c r="T34" s="36"/>
      <c r="U34" s="186"/>
      <c r="W34" s="95">
        <v>8406.73</v>
      </c>
      <c r="X34" s="96">
        <f t="shared" si="6"/>
        <v>420.3365</v>
      </c>
      <c r="Y34" s="97">
        <f t="shared" si="7"/>
        <v>8827.066499999999</v>
      </c>
      <c r="AB34" s="91"/>
      <c r="AC34" s="93" t="s">
        <v>34</v>
      </c>
      <c r="AD34" s="75">
        <f>AD33*5%</f>
        <v>1408.8721804511265</v>
      </c>
      <c r="AE34" s="75"/>
      <c r="AF34" s="94"/>
      <c r="AI34" s="91"/>
      <c r="AJ34" s="93" t="s">
        <v>34</v>
      </c>
      <c r="AK34" s="75">
        <f>AK33*5%</f>
        <v>-2580.9419414473678</v>
      </c>
      <c r="AL34" s="75"/>
      <c r="AM34" s="94"/>
      <c r="AQ34">
        <v>687.76</v>
      </c>
    </row>
    <row r="35" spans="3:43">
      <c r="C35" s="243"/>
      <c r="D35" s="60">
        <v>44349</v>
      </c>
      <c r="E35" s="134">
        <v>24</v>
      </c>
      <c r="F35" s="119">
        <v>926</v>
      </c>
      <c r="G35" s="28" t="s">
        <v>56</v>
      </c>
      <c r="H35" s="28">
        <v>146</v>
      </c>
      <c r="I35" s="28">
        <v>71.64</v>
      </c>
      <c r="J35" s="28">
        <v>19</v>
      </c>
      <c r="K35" s="28" t="s">
        <v>167</v>
      </c>
      <c r="L35" s="28">
        <v>2742.3</v>
      </c>
      <c r="M35" s="28">
        <v>365</v>
      </c>
      <c r="N35" s="28"/>
      <c r="O35" s="28">
        <f t="shared" si="4"/>
        <v>9355.1605714285706</v>
      </c>
      <c r="P35" s="28">
        <f t="shared" si="5"/>
        <v>196093.372</v>
      </c>
      <c r="Q35" s="28"/>
      <c r="R35" s="28"/>
      <c r="S35" s="28"/>
      <c r="T35" s="36"/>
      <c r="U35" s="186"/>
      <c r="W35" s="95">
        <v>5463.66</v>
      </c>
      <c r="X35" s="96">
        <f t="shared" si="6"/>
        <v>273.18299999999999</v>
      </c>
      <c r="Y35" s="97">
        <f t="shared" si="7"/>
        <v>5736.8429999999998</v>
      </c>
      <c r="AB35" s="91"/>
      <c r="AC35" s="93"/>
      <c r="AD35" s="75"/>
      <c r="AE35" s="75"/>
      <c r="AF35" s="94"/>
      <c r="AI35" s="91"/>
      <c r="AJ35" s="93"/>
      <c r="AK35" s="75"/>
      <c r="AL35" s="75"/>
      <c r="AM35" s="94"/>
    </row>
    <row r="36" spans="3:43">
      <c r="C36" s="243"/>
      <c r="D36" s="60">
        <v>44350</v>
      </c>
      <c r="E36" s="134">
        <v>25</v>
      </c>
      <c r="F36" s="119">
        <v>951</v>
      </c>
      <c r="G36" s="28" t="s">
        <v>56</v>
      </c>
      <c r="H36" s="28">
        <v>146</v>
      </c>
      <c r="I36" s="28">
        <v>70.040000000000006</v>
      </c>
      <c r="J36" s="28">
        <v>18.3</v>
      </c>
      <c r="K36" s="28" t="s">
        <v>167</v>
      </c>
      <c r="L36" s="28">
        <v>2742.3</v>
      </c>
      <c r="M36" s="28">
        <v>365</v>
      </c>
      <c r="N36" s="28"/>
      <c r="O36" s="28">
        <f t="shared" si="4"/>
        <v>8809.2573022556408</v>
      </c>
      <c r="P36" s="28">
        <f t="shared" si="5"/>
        <v>184629.40334736844</v>
      </c>
      <c r="Q36" s="28"/>
      <c r="R36" s="28"/>
      <c r="S36" s="28"/>
      <c r="T36" s="36"/>
      <c r="U36" s="186"/>
      <c r="W36" s="95">
        <v>16354.43</v>
      </c>
      <c r="X36" s="96">
        <f t="shared" si="6"/>
        <v>817.72150000000011</v>
      </c>
      <c r="Y36" s="97">
        <f t="shared" si="7"/>
        <v>17172.1515</v>
      </c>
      <c r="AB36" s="91"/>
      <c r="AC36" s="93" t="s">
        <v>165</v>
      </c>
      <c r="AD36" s="75">
        <f>SUM(AD33:AD35)</f>
        <v>29586.315789473654</v>
      </c>
      <c r="AE36" s="75"/>
      <c r="AF36" s="94"/>
      <c r="AI36" s="91"/>
      <c r="AJ36" s="93" t="s">
        <v>165</v>
      </c>
      <c r="AK36" s="75">
        <f>SUM(AK33:AK35)</f>
        <v>-54199.780770394718</v>
      </c>
      <c r="AL36" s="75"/>
      <c r="AM36" s="94"/>
    </row>
    <row r="37" spans="3:43">
      <c r="C37" s="243"/>
      <c r="D37" s="60">
        <v>44350</v>
      </c>
      <c r="E37" s="134">
        <v>26</v>
      </c>
      <c r="F37" s="119">
        <v>944</v>
      </c>
      <c r="G37" s="28" t="s">
        <v>135</v>
      </c>
      <c r="H37" s="28">
        <v>238</v>
      </c>
      <c r="I37" s="28">
        <v>117.02</v>
      </c>
      <c r="J37" s="28">
        <v>19</v>
      </c>
      <c r="K37" s="28">
        <v>15.26</v>
      </c>
      <c r="L37" s="28">
        <f>2742.3-20</f>
        <v>2722.3</v>
      </c>
      <c r="M37" s="28">
        <v>595</v>
      </c>
      <c r="N37" s="28"/>
      <c r="O37" s="28">
        <f t="shared" si="4"/>
        <v>15169.69266666667</v>
      </c>
      <c r="P37" s="28">
        <f t="shared" si="5"/>
        <v>317968.54600000009</v>
      </c>
      <c r="Q37" s="28"/>
      <c r="R37" s="28"/>
      <c r="S37" s="28"/>
      <c r="T37" s="36"/>
      <c r="U37" s="186"/>
      <c r="W37" s="95">
        <v>10512.5</v>
      </c>
      <c r="X37" s="96">
        <f t="shared" si="6"/>
        <v>525.625</v>
      </c>
      <c r="Y37" s="97">
        <f t="shared" si="7"/>
        <v>11038.125</v>
      </c>
      <c r="AB37" s="91"/>
      <c r="AC37" s="93"/>
      <c r="AD37" s="75"/>
      <c r="AE37" s="75"/>
      <c r="AF37" s="94"/>
      <c r="AI37" s="91"/>
      <c r="AJ37" s="93"/>
      <c r="AK37" s="75"/>
      <c r="AL37" s="75"/>
      <c r="AM37" s="94"/>
      <c r="AQ37">
        <f>AQ28-AQ33+AQ34</f>
        <v>13720.76</v>
      </c>
    </row>
    <row r="38" spans="3:43">
      <c r="C38" s="243"/>
      <c r="D38" s="60">
        <v>44351</v>
      </c>
      <c r="E38" s="134">
        <v>27</v>
      </c>
      <c r="F38" s="119">
        <v>968</v>
      </c>
      <c r="G38" s="28" t="s">
        <v>135</v>
      </c>
      <c r="H38" s="28">
        <v>264</v>
      </c>
      <c r="I38" s="28">
        <v>129.96</v>
      </c>
      <c r="J38" s="28">
        <v>17.399999999999999</v>
      </c>
      <c r="K38" s="28">
        <v>16.88</v>
      </c>
      <c r="L38" s="28">
        <f>2770-20</f>
        <v>2750</v>
      </c>
      <c r="M38" s="28">
        <v>660</v>
      </c>
      <c r="N38" s="28"/>
      <c r="O38" s="28">
        <f t="shared" si="4"/>
        <v>15585.428571428571</v>
      </c>
      <c r="P38" s="28">
        <f t="shared" si="5"/>
        <v>326633.99999999994</v>
      </c>
      <c r="Q38" s="28"/>
      <c r="R38" s="28"/>
      <c r="S38" s="28"/>
      <c r="T38" s="36"/>
      <c r="U38" s="186"/>
      <c r="W38" s="95">
        <v>36428.01</v>
      </c>
      <c r="X38" s="96">
        <f t="shared" si="6"/>
        <v>1821.4005000000002</v>
      </c>
      <c r="Y38" s="97">
        <f t="shared" si="7"/>
        <v>38249.410500000005</v>
      </c>
      <c r="AB38" s="91"/>
      <c r="AC38" s="93"/>
      <c r="AD38" s="93"/>
      <c r="AE38" s="93"/>
      <c r="AF38" s="94"/>
      <c r="AI38" s="91"/>
      <c r="AJ38" s="93"/>
      <c r="AK38" s="93"/>
      <c r="AL38" s="93"/>
      <c r="AM38" s="94"/>
    </row>
    <row r="39" spans="3:43">
      <c r="C39" s="243"/>
      <c r="D39" s="60">
        <v>44352</v>
      </c>
      <c r="E39" s="134">
        <v>28</v>
      </c>
      <c r="F39" s="119">
        <v>987</v>
      </c>
      <c r="G39" s="106" t="s">
        <v>56</v>
      </c>
      <c r="H39" s="28">
        <v>176</v>
      </c>
      <c r="I39" s="28">
        <v>86.34</v>
      </c>
      <c r="J39" s="28">
        <v>19</v>
      </c>
      <c r="K39" s="28" t="s">
        <v>167</v>
      </c>
      <c r="L39" s="28">
        <v>2770</v>
      </c>
      <c r="M39" s="28">
        <v>440</v>
      </c>
      <c r="N39" s="28"/>
      <c r="O39" s="28">
        <f t="shared" si="4"/>
        <v>11388.657142857142</v>
      </c>
      <c r="P39" s="28">
        <f t="shared" si="5"/>
        <v>238721.79999999996</v>
      </c>
      <c r="Q39" s="28"/>
      <c r="R39" s="28"/>
      <c r="S39" s="28"/>
      <c r="T39" s="36"/>
      <c r="U39" s="186"/>
      <c r="W39" s="95">
        <v>4785.82</v>
      </c>
      <c r="X39" s="96">
        <f t="shared" si="6"/>
        <v>239.291</v>
      </c>
      <c r="Y39" s="97">
        <f t="shared" si="7"/>
        <v>5025.1109999999999</v>
      </c>
      <c r="AB39" s="71"/>
      <c r="AC39" s="71"/>
      <c r="AD39" s="84"/>
      <c r="AE39" s="71"/>
      <c r="AF39" s="71"/>
      <c r="AI39" s="71"/>
      <c r="AJ39" s="71"/>
      <c r="AK39" s="84"/>
      <c r="AL39" s="71"/>
      <c r="AM39" s="71"/>
    </row>
    <row r="40" spans="3:43">
      <c r="C40" s="243"/>
      <c r="D40" s="60">
        <v>44352</v>
      </c>
      <c r="E40" s="134">
        <v>29</v>
      </c>
      <c r="F40" s="119">
        <v>996</v>
      </c>
      <c r="G40" s="28" t="s">
        <v>135</v>
      </c>
      <c r="H40" s="28">
        <v>250</v>
      </c>
      <c r="I40" s="28">
        <v>120.2</v>
      </c>
      <c r="J40" s="28">
        <v>19</v>
      </c>
      <c r="K40" s="28">
        <v>13.46</v>
      </c>
      <c r="L40" s="28">
        <f>2770-10</f>
        <v>2760</v>
      </c>
      <c r="M40" s="28">
        <v>625</v>
      </c>
      <c r="N40" s="28"/>
      <c r="O40" s="28">
        <f t="shared" si="4"/>
        <v>15797.714285714286</v>
      </c>
      <c r="P40" s="28">
        <f t="shared" si="5"/>
        <v>331127.00000000006</v>
      </c>
      <c r="Q40" s="28"/>
      <c r="R40" s="28"/>
      <c r="S40" s="28"/>
      <c r="T40" s="36"/>
      <c r="U40" s="186"/>
      <c r="W40" s="95">
        <v>7720</v>
      </c>
      <c r="X40" s="96">
        <f t="shared" si="6"/>
        <v>386</v>
      </c>
      <c r="Y40" s="97">
        <f t="shared" si="7"/>
        <v>8106</v>
      </c>
      <c r="AB40" s="71"/>
      <c r="AC40" s="71"/>
      <c r="AD40" s="71"/>
      <c r="AE40" s="71"/>
      <c r="AF40" s="71"/>
      <c r="AI40" s="71"/>
      <c r="AJ40" s="71"/>
      <c r="AK40" s="71"/>
      <c r="AL40" s="71"/>
      <c r="AM40" s="71"/>
    </row>
    <row r="41" spans="3:43" ht="18">
      <c r="C41" s="243"/>
      <c r="D41" s="60">
        <v>44353</v>
      </c>
      <c r="E41" s="134">
        <v>30</v>
      </c>
      <c r="F41" s="119">
        <v>1008</v>
      </c>
      <c r="G41" s="28" t="s">
        <v>263</v>
      </c>
      <c r="H41" s="28">
        <v>183</v>
      </c>
      <c r="I41" s="28">
        <v>89.87</v>
      </c>
      <c r="J41" s="28">
        <v>19</v>
      </c>
      <c r="K41" s="28">
        <v>13.72</v>
      </c>
      <c r="L41" s="28">
        <f>2770-10</f>
        <v>2760</v>
      </c>
      <c r="M41" s="28">
        <v>457.5</v>
      </c>
      <c r="N41" s="28"/>
      <c r="O41" s="28">
        <f t="shared" si="4"/>
        <v>11811.485714285714</v>
      </c>
      <c r="P41" s="28">
        <f t="shared" si="5"/>
        <v>247583.69999999998</v>
      </c>
      <c r="Q41" s="28"/>
      <c r="R41" s="28"/>
      <c r="S41" s="28"/>
      <c r="T41" s="36"/>
      <c r="U41" s="186"/>
      <c r="W41" s="95">
        <v>5142.63</v>
      </c>
      <c r="X41" s="96">
        <f t="shared" si="6"/>
        <v>257.13150000000002</v>
      </c>
      <c r="Y41" s="97">
        <f t="shared" si="7"/>
        <v>5399.7615000000005</v>
      </c>
      <c r="AB41" s="87"/>
      <c r="AC41" s="88" t="s">
        <v>166</v>
      </c>
      <c r="AD41" s="89"/>
      <c r="AE41" s="89"/>
      <c r="AF41" s="90"/>
      <c r="AI41" s="87"/>
      <c r="AJ41" s="88" t="s">
        <v>166</v>
      </c>
      <c r="AK41" s="89"/>
      <c r="AL41" s="89"/>
      <c r="AM41" s="90"/>
    </row>
    <row r="42" spans="3:43" ht="21">
      <c r="C42" s="243"/>
      <c r="D42" s="60">
        <v>44354</v>
      </c>
      <c r="E42" s="134">
        <v>31</v>
      </c>
      <c r="F42" s="119">
        <v>1023</v>
      </c>
      <c r="G42" s="28" t="s">
        <v>263</v>
      </c>
      <c r="H42" s="28">
        <v>180</v>
      </c>
      <c r="I42" s="28">
        <v>93.7</v>
      </c>
      <c r="J42" s="28">
        <v>19</v>
      </c>
      <c r="K42" s="28" t="s">
        <v>167</v>
      </c>
      <c r="L42" s="28">
        <v>2770</v>
      </c>
      <c r="M42" s="28">
        <v>450</v>
      </c>
      <c r="N42" s="28"/>
      <c r="O42" s="28">
        <f t="shared" si="4"/>
        <v>12359.476190476191</v>
      </c>
      <c r="P42" s="28">
        <f t="shared" si="5"/>
        <v>259099.00000000003</v>
      </c>
      <c r="Q42" s="28"/>
      <c r="R42" s="28"/>
      <c r="S42" s="28"/>
      <c r="T42" s="36"/>
      <c r="U42" s="186"/>
      <c r="W42" s="95">
        <v>3683.59</v>
      </c>
      <c r="X42" s="96">
        <f t="shared" si="6"/>
        <v>184.17950000000002</v>
      </c>
      <c r="Y42" s="97">
        <f t="shared" si="7"/>
        <v>3867.7695000000003</v>
      </c>
      <c r="AB42" s="91"/>
      <c r="AC42" s="92" t="s">
        <v>160</v>
      </c>
      <c r="AD42" s="93"/>
      <c r="AE42" s="93"/>
      <c r="AF42" s="94"/>
      <c r="AI42" s="91"/>
      <c r="AJ42" s="92" t="s">
        <v>160</v>
      </c>
      <c r="AK42" s="93"/>
      <c r="AL42" s="93"/>
      <c r="AM42" s="94"/>
    </row>
    <row r="43" spans="3:43">
      <c r="C43" s="243"/>
      <c r="D43" s="60">
        <v>44355</v>
      </c>
      <c r="E43" s="134">
        <v>32</v>
      </c>
      <c r="F43" s="119">
        <v>1027</v>
      </c>
      <c r="G43" s="28" t="s">
        <v>135</v>
      </c>
      <c r="H43" s="28">
        <v>276</v>
      </c>
      <c r="I43" s="28">
        <v>135.13999999999999</v>
      </c>
      <c r="J43" s="28">
        <v>19</v>
      </c>
      <c r="K43" s="28">
        <v>12.69</v>
      </c>
      <c r="L43" s="28">
        <f>2770-10</f>
        <v>2760</v>
      </c>
      <c r="M43" s="28">
        <v>690</v>
      </c>
      <c r="N43" s="28"/>
      <c r="O43" s="28">
        <f t="shared" si="4"/>
        <v>17761.257142857139</v>
      </c>
      <c r="P43" s="28">
        <f t="shared" si="5"/>
        <v>372296.39999999991</v>
      </c>
      <c r="Q43" s="28"/>
      <c r="R43" s="28"/>
      <c r="S43" s="28"/>
      <c r="T43" s="36"/>
      <c r="U43" s="186"/>
      <c r="W43" s="95">
        <v>9464.7000000000007</v>
      </c>
      <c r="X43" s="96">
        <f t="shared" si="6"/>
        <v>473.23500000000007</v>
      </c>
      <c r="Y43" s="97">
        <f t="shared" si="7"/>
        <v>9937.9350000000013</v>
      </c>
      <c r="AB43" s="91"/>
      <c r="AC43" s="93" t="s">
        <v>161</v>
      </c>
      <c r="AD43" s="80">
        <v>245700</v>
      </c>
      <c r="AE43" s="75">
        <f>AD43/105*5</f>
        <v>11700</v>
      </c>
      <c r="AF43" s="94"/>
      <c r="AI43" s="91"/>
      <c r="AJ43" s="93" t="s">
        <v>161</v>
      </c>
      <c r="AK43" s="80">
        <v>260775</v>
      </c>
      <c r="AL43" s="75">
        <f>AK43/105*5</f>
        <v>12417.857142857141</v>
      </c>
      <c r="AM43" s="94"/>
    </row>
    <row r="44" spans="3:43">
      <c r="C44" s="243"/>
      <c r="D44" s="60">
        <v>44356</v>
      </c>
      <c r="E44" s="134">
        <v>33</v>
      </c>
      <c r="F44" s="119">
        <v>1048</v>
      </c>
      <c r="G44" s="28" t="s">
        <v>135</v>
      </c>
      <c r="H44" s="28">
        <v>219</v>
      </c>
      <c r="I44" s="28">
        <v>107.81</v>
      </c>
      <c r="J44" s="28">
        <v>17.7</v>
      </c>
      <c r="K44" s="28">
        <v>15.8</v>
      </c>
      <c r="L44" s="28">
        <f>2770-20</f>
        <v>2750</v>
      </c>
      <c r="M44" s="28">
        <v>547</v>
      </c>
      <c r="N44" s="28"/>
      <c r="O44" s="28">
        <f t="shared" si="4"/>
        <v>13152.00939849624</v>
      </c>
      <c r="P44" s="28">
        <f t="shared" si="5"/>
        <v>275645.19736842107</v>
      </c>
      <c r="Q44" s="28"/>
      <c r="R44" s="28"/>
      <c r="S44" s="28"/>
      <c r="T44" s="36"/>
      <c r="U44" s="186"/>
      <c r="W44" s="95">
        <v>25766.080000000002</v>
      </c>
      <c r="X44" s="96">
        <f t="shared" si="6"/>
        <v>1288.3040000000001</v>
      </c>
      <c r="Y44" s="97">
        <f t="shared" si="7"/>
        <v>27054.384000000002</v>
      </c>
      <c r="AB44" s="91"/>
      <c r="AC44" s="93" t="s">
        <v>162</v>
      </c>
      <c r="AD44" s="75">
        <f>AC23+AE23</f>
        <v>217913.68421052635</v>
      </c>
      <c r="AE44" s="75">
        <f>AD19*2+AG19*2</f>
        <v>10376.84210526316</v>
      </c>
      <c r="AF44" s="94"/>
      <c r="AI44" s="91"/>
      <c r="AJ44" s="93" t="s">
        <v>162</v>
      </c>
      <c r="AK44" s="75">
        <f>AJ23+AL23</f>
        <v>229759.78077039472</v>
      </c>
      <c r="AL44" s="75">
        <f>AK19*2+AN19*2</f>
        <v>22975.978077039472</v>
      </c>
      <c r="AM44" s="94"/>
    </row>
    <row r="45" spans="3:43">
      <c r="C45" s="243"/>
      <c r="D45" s="60">
        <v>44356</v>
      </c>
      <c r="E45" s="134">
        <v>34</v>
      </c>
      <c r="F45" s="119">
        <v>1056</v>
      </c>
      <c r="G45" s="28" t="s">
        <v>263</v>
      </c>
      <c r="H45" s="28">
        <v>172</v>
      </c>
      <c r="I45" s="28">
        <v>84.38</v>
      </c>
      <c r="J45" s="28">
        <v>18.5</v>
      </c>
      <c r="K45" s="28" t="s">
        <v>167</v>
      </c>
      <c r="L45" s="28">
        <v>2770</v>
      </c>
      <c r="M45" s="28">
        <v>430</v>
      </c>
      <c r="N45" s="28"/>
      <c r="O45" s="28">
        <f t="shared" si="4"/>
        <v>10837.225814536339</v>
      </c>
      <c r="P45" s="28">
        <f t="shared" si="5"/>
        <v>227151.74210526311</v>
      </c>
      <c r="Q45" s="28"/>
      <c r="R45" s="28"/>
      <c r="S45" s="28"/>
      <c r="T45" s="36"/>
      <c r="U45" s="186"/>
      <c r="W45" s="95">
        <v>10105.89</v>
      </c>
      <c r="X45" s="96">
        <f t="shared" si="6"/>
        <v>505.29449999999997</v>
      </c>
      <c r="Y45" s="97">
        <f t="shared" si="7"/>
        <v>10611.184499999999</v>
      </c>
      <c r="AB45" s="91"/>
      <c r="AC45" s="93" t="s">
        <v>163</v>
      </c>
      <c r="AD45" s="75">
        <v>13720.76</v>
      </c>
      <c r="AE45" s="75">
        <f>AE43-AE44</f>
        <v>1323.1578947368398</v>
      </c>
      <c r="AF45" s="94"/>
      <c r="AI45" s="91"/>
      <c r="AJ45" s="93" t="s">
        <v>163</v>
      </c>
      <c r="AK45" s="75">
        <f>AK43-AK44</f>
        <v>31015.219229605282</v>
      </c>
      <c r="AL45" s="75">
        <f>AL43-AL44</f>
        <v>-10558.120934182331</v>
      </c>
      <c r="AM45" s="94"/>
    </row>
    <row r="46" spans="3:43">
      <c r="C46" s="243"/>
      <c r="D46" s="60">
        <v>44358</v>
      </c>
      <c r="E46" s="134">
        <v>35</v>
      </c>
      <c r="F46" s="119">
        <v>1092</v>
      </c>
      <c r="G46" s="28" t="s">
        <v>56</v>
      </c>
      <c r="H46" s="28">
        <v>170</v>
      </c>
      <c r="I46" s="28">
        <v>89.8</v>
      </c>
      <c r="J46" s="28">
        <v>19</v>
      </c>
      <c r="K46" s="28" t="s">
        <v>167</v>
      </c>
      <c r="L46" s="28">
        <v>2643.3</v>
      </c>
      <c r="M46" s="28">
        <v>425</v>
      </c>
      <c r="N46" s="28"/>
      <c r="O46" s="28">
        <f t="shared" ref="O46:O66" si="8">L46/19*J46*I46*5/105</f>
        <v>11303.254285714285</v>
      </c>
      <c r="P46" s="28">
        <f t="shared" ref="P46:P66" si="9">O46/5*105-M46</f>
        <v>236943.34</v>
      </c>
      <c r="Q46" s="28"/>
      <c r="R46" s="28"/>
      <c r="S46" s="28"/>
      <c r="T46" s="36"/>
      <c r="U46" s="186"/>
      <c r="W46" s="95">
        <v>6513.83</v>
      </c>
      <c r="X46" s="96">
        <f t="shared" ref="X46:X60" si="10">W46*0.05</f>
        <v>325.69150000000002</v>
      </c>
      <c r="Y46" s="97">
        <f t="shared" ref="Y46:Y60" si="11">X46+W46</f>
        <v>6839.5214999999998</v>
      </c>
      <c r="AB46" s="91"/>
      <c r="AC46" s="93" t="s">
        <v>164</v>
      </c>
      <c r="AD46" s="75">
        <f>AD45/105*100</f>
        <v>13067.390476190476</v>
      </c>
      <c r="AE46" s="75"/>
      <c r="AF46" s="94"/>
      <c r="AI46" s="91"/>
      <c r="AJ46" s="93" t="s">
        <v>164</v>
      </c>
      <c r="AK46" s="75">
        <f>AK45/105*100</f>
        <v>29538.304028195507</v>
      </c>
      <c r="AL46" s="75"/>
      <c r="AM46" s="94"/>
    </row>
    <row r="47" spans="3:43">
      <c r="C47" s="243"/>
      <c r="D47" s="60">
        <v>44359</v>
      </c>
      <c r="E47" s="134">
        <v>36</v>
      </c>
      <c r="F47" s="119">
        <v>1113</v>
      </c>
      <c r="G47" s="28" t="s">
        <v>56</v>
      </c>
      <c r="H47" s="28">
        <v>190</v>
      </c>
      <c r="I47" s="28">
        <v>93.5</v>
      </c>
      <c r="J47" s="28">
        <v>18.5</v>
      </c>
      <c r="K47" s="28" t="s">
        <v>167</v>
      </c>
      <c r="L47" s="28">
        <v>2445.3000000000002</v>
      </c>
      <c r="M47" s="28">
        <v>475</v>
      </c>
      <c r="N47" s="28"/>
      <c r="O47" s="28">
        <f t="shared" si="8"/>
        <v>10600.896428571428</v>
      </c>
      <c r="P47" s="28">
        <f t="shared" si="9"/>
        <v>222143.82499999998</v>
      </c>
      <c r="Q47" s="28"/>
      <c r="R47" s="28"/>
      <c r="S47" s="28"/>
      <c r="T47" s="36"/>
      <c r="U47" s="186"/>
      <c r="W47" s="95">
        <v>11429.52</v>
      </c>
      <c r="X47" s="96">
        <f t="shared" si="10"/>
        <v>571.476</v>
      </c>
      <c r="Y47" s="97">
        <f t="shared" si="11"/>
        <v>12000.996000000001</v>
      </c>
      <c r="AB47" s="91"/>
      <c r="AC47" s="93" t="s">
        <v>32</v>
      </c>
      <c r="AD47" s="75">
        <f>AD46*2.5%</f>
        <v>326.6847619047619</v>
      </c>
      <c r="AE47" s="75"/>
      <c r="AF47" s="94"/>
      <c r="AI47" s="91"/>
      <c r="AJ47" s="93" t="s">
        <v>32</v>
      </c>
      <c r="AK47" s="75">
        <f>AK46*2.5%</f>
        <v>738.45760070488768</v>
      </c>
      <c r="AL47" s="75"/>
      <c r="AM47" s="94"/>
    </row>
    <row r="48" spans="3:43">
      <c r="C48" s="243"/>
      <c r="D48" s="165">
        <v>44361</v>
      </c>
      <c r="E48" s="163">
        <v>37</v>
      </c>
      <c r="F48" s="119">
        <v>1130</v>
      </c>
      <c r="G48" s="106" t="s">
        <v>141</v>
      </c>
      <c r="H48" s="104">
        <v>250</v>
      </c>
      <c r="I48" s="104">
        <v>122.8</v>
      </c>
      <c r="J48" s="104">
        <v>17.7</v>
      </c>
      <c r="K48" s="104">
        <v>12.88</v>
      </c>
      <c r="L48" s="28">
        <f>2445.3-10</f>
        <v>2435.3000000000002</v>
      </c>
      <c r="M48" s="104">
        <v>625</v>
      </c>
      <c r="N48" s="104"/>
      <c r="O48" s="28">
        <f t="shared" si="8"/>
        <v>13266.34252631579</v>
      </c>
      <c r="P48" s="28">
        <f t="shared" si="9"/>
        <v>277968.19305263157</v>
      </c>
      <c r="Q48" s="104"/>
      <c r="R48" s="104"/>
      <c r="S48" s="104"/>
      <c r="T48" s="105"/>
      <c r="U48" s="186"/>
      <c r="W48" s="95">
        <v>28648.37</v>
      </c>
      <c r="X48" s="96">
        <f t="shared" si="10"/>
        <v>1432.4185</v>
      </c>
      <c r="Y48" s="97">
        <f t="shared" si="11"/>
        <v>30080.788499999999</v>
      </c>
      <c r="AB48" s="91"/>
      <c r="AC48" s="93" t="s">
        <v>33</v>
      </c>
      <c r="AD48" s="75">
        <f>AD47</f>
        <v>326.6847619047619</v>
      </c>
      <c r="AE48" s="75"/>
      <c r="AF48" s="94"/>
      <c r="AI48" s="91"/>
      <c r="AJ48" s="93" t="s">
        <v>33</v>
      </c>
      <c r="AK48" s="75">
        <f>AK47</f>
        <v>738.45760070488768</v>
      </c>
      <c r="AL48" s="75"/>
      <c r="AM48" s="94"/>
    </row>
    <row r="49" spans="3:39">
      <c r="C49" s="243"/>
      <c r="D49" s="165">
        <v>44361</v>
      </c>
      <c r="E49" s="163">
        <v>38</v>
      </c>
      <c r="F49" s="119">
        <v>1129</v>
      </c>
      <c r="G49" s="106" t="s">
        <v>56</v>
      </c>
      <c r="H49" s="104">
        <v>206</v>
      </c>
      <c r="I49" s="104">
        <v>101.64</v>
      </c>
      <c r="J49" s="104">
        <v>17.8</v>
      </c>
      <c r="K49" s="104" t="s">
        <v>167</v>
      </c>
      <c r="L49" s="104">
        <v>2445.3000000000002</v>
      </c>
      <c r="M49" s="104">
        <v>515</v>
      </c>
      <c r="N49" s="104"/>
      <c r="O49" s="28">
        <f t="shared" si="8"/>
        <v>11087.762400000003</v>
      </c>
      <c r="P49" s="28">
        <f t="shared" si="9"/>
        <v>232328.01040000009</v>
      </c>
      <c r="Q49" s="104"/>
      <c r="R49" s="104"/>
      <c r="S49" s="104"/>
      <c r="T49" s="105"/>
      <c r="U49" s="186"/>
      <c r="W49" s="95">
        <v>20488.54</v>
      </c>
      <c r="X49" s="96">
        <f t="shared" si="10"/>
        <v>1024.4270000000001</v>
      </c>
      <c r="Y49" s="97">
        <f t="shared" si="11"/>
        <v>21512.967000000001</v>
      </c>
      <c r="AB49" s="91"/>
      <c r="AC49" s="93" t="s">
        <v>165</v>
      </c>
      <c r="AD49" s="75">
        <f>SUM(AD46:AD48)</f>
        <v>13720.76</v>
      </c>
      <c r="AE49" s="75"/>
      <c r="AF49" s="94"/>
      <c r="AI49" s="91"/>
      <c r="AJ49" s="93" t="s">
        <v>165</v>
      </c>
      <c r="AK49" s="75">
        <f>SUM(AK46:AK48)</f>
        <v>31015.219229605285</v>
      </c>
      <c r="AL49" s="75"/>
      <c r="AM49" s="94"/>
    </row>
    <row r="50" spans="3:39">
      <c r="C50" s="243"/>
      <c r="D50" s="165">
        <v>44362</v>
      </c>
      <c r="E50" s="163">
        <v>39</v>
      </c>
      <c r="F50" s="119">
        <v>1146</v>
      </c>
      <c r="G50" s="106" t="s">
        <v>56</v>
      </c>
      <c r="H50" s="104">
        <v>190</v>
      </c>
      <c r="I50" s="104">
        <v>89.9</v>
      </c>
      <c r="J50" s="104">
        <v>19</v>
      </c>
      <c r="K50" s="104">
        <v>17.350000000000001</v>
      </c>
      <c r="L50" s="104">
        <f>2277-30</f>
        <v>2247</v>
      </c>
      <c r="M50" s="104">
        <v>475</v>
      </c>
      <c r="N50" s="104"/>
      <c r="O50" s="104">
        <f t="shared" si="8"/>
        <v>9619.3000000000011</v>
      </c>
      <c r="P50" s="104">
        <f t="shared" si="9"/>
        <v>201530.30000000002</v>
      </c>
      <c r="Q50" s="104"/>
      <c r="R50" s="104"/>
      <c r="S50" s="104"/>
      <c r="T50" s="105"/>
      <c r="U50" s="186"/>
      <c r="W50" s="95">
        <v>8677.9599999999991</v>
      </c>
      <c r="X50" s="96">
        <f t="shared" si="10"/>
        <v>433.89799999999997</v>
      </c>
      <c r="Y50" s="97">
        <f t="shared" si="11"/>
        <v>9111.8579999999984</v>
      </c>
      <c r="AB50" s="91"/>
      <c r="AC50" s="93"/>
      <c r="AD50" s="75"/>
      <c r="AE50" s="75"/>
      <c r="AF50" s="94"/>
      <c r="AI50" s="91"/>
      <c r="AJ50" s="93"/>
      <c r="AK50" s="75"/>
      <c r="AL50" s="75"/>
      <c r="AM50" s="94"/>
    </row>
    <row r="51" spans="3:39">
      <c r="C51" s="243"/>
      <c r="D51" s="165">
        <v>44363</v>
      </c>
      <c r="E51" s="163">
        <v>40</v>
      </c>
      <c r="F51" s="119">
        <v>1165</v>
      </c>
      <c r="G51" s="106" t="s">
        <v>56</v>
      </c>
      <c r="H51" s="104">
        <v>170</v>
      </c>
      <c r="I51" s="104">
        <v>93.5</v>
      </c>
      <c r="J51" s="104">
        <v>19</v>
      </c>
      <c r="K51" s="104" t="s">
        <v>167</v>
      </c>
      <c r="L51" s="104">
        <v>2306.6999999999998</v>
      </c>
      <c r="M51" s="104">
        <v>425</v>
      </c>
      <c r="N51" s="104"/>
      <c r="O51" s="104">
        <f t="shared" si="8"/>
        <v>10270.307142857142</v>
      </c>
      <c r="P51" s="104">
        <f t="shared" si="9"/>
        <v>215251.44999999995</v>
      </c>
      <c r="Q51" s="104"/>
      <c r="R51" s="104"/>
      <c r="S51" s="104"/>
      <c r="T51" s="105"/>
      <c r="U51" s="186"/>
      <c r="W51" s="95">
        <v>7418.11</v>
      </c>
      <c r="X51" s="96">
        <f t="shared" si="10"/>
        <v>370.90550000000002</v>
      </c>
      <c r="Y51" s="97">
        <f t="shared" si="11"/>
        <v>7789.0154999999995</v>
      </c>
      <c r="Z51" s="164"/>
      <c r="AB51" s="91"/>
      <c r="AC51" s="93"/>
      <c r="AD51" s="75"/>
      <c r="AE51" s="75"/>
      <c r="AF51" s="94"/>
      <c r="AI51" s="91"/>
      <c r="AJ51" s="93"/>
      <c r="AK51" s="75"/>
      <c r="AL51" s="75"/>
      <c r="AM51" s="94"/>
    </row>
    <row r="52" spans="3:39">
      <c r="C52" s="243"/>
      <c r="D52" s="165">
        <v>44367</v>
      </c>
      <c r="E52" s="163">
        <v>41</v>
      </c>
      <c r="F52" s="119">
        <v>1218</v>
      </c>
      <c r="G52" s="106" t="s">
        <v>56</v>
      </c>
      <c r="H52" s="104">
        <v>203</v>
      </c>
      <c r="I52" s="104">
        <v>99.37</v>
      </c>
      <c r="J52" s="104">
        <v>18.100000000000001</v>
      </c>
      <c r="K52" s="104" t="s">
        <v>167</v>
      </c>
      <c r="L52" s="104">
        <v>2296.8000000000002</v>
      </c>
      <c r="M52" s="104">
        <v>507.5</v>
      </c>
      <c r="N52" s="104"/>
      <c r="O52" s="104">
        <f t="shared" si="8"/>
        <v>10353.427542857144</v>
      </c>
      <c r="P52" s="104">
        <f t="shared" si="9"/>
        <v>216914.47840000002</v>
      </c>
      <c r="Q52" s="104"/>
      <c r="R52" s="104"/>
      <c r="S52" s="104"/>
      <c r="T52" s="105"/>
      <c r="U52" s="186"/>
      <c r="W52" s="95">
        <v>19083.62</v>
      </c>
      <c r="X52" s="96">
        <f t="shared" si="10"/>
        <v>954.18100000000004</v>
      </c>
      <c r="Y52" s="97">
        <f t="shared" si="11"/>
        <v>20037.800999999999</v>
      </c>
      <c r="AB52" s="91"/>
      <c r="AC52" s="93"/>
      <c r="AD52" s="93"/>
      <c r="AE52" s="93"/>
      <c r="AF52" s="94"/>
      <c r="AI52" s="91"/>
      <c r="AJ52" s="93"/>
      <c r="AK52" s="93"/>
      <c r="AL52" s="93"/>
      <c r="AM52" s="94"/>
    </row>
    <row r="53" spans="3:39">
      <c r="C53" s="243"/>
      <c r="D53" s="165">
        <v>44368</v>
      </c>
      <c r="E53" s="163">
        <v>42</v>
      </c>
      <c r="F53" s="119">
        <v>1230</v>
      </c>
      <c r="G53" s="106" t="s">
        <v>56</v>
      </c>
      <c r="H53" s="104">
        <v>186</v>
      </c>
      <c r="I53" s="104">
        <v>91.34</v>
      </c>
      <c r="J53" s="104">
        <v>18.100000000000001</v>
      </c>
      <c r="K53" s="104">
        <v>16.79</v>
      </c>
      <c r="L53" s="104">
        <f>2316.6-20</f>
        <v>2296.6</v>
      </c>
      <c r="M53" s="104">
        <v>465</v>
      </c>
      <c r="N53" s="104"/>
      <c r="O53" s="104">
        <f t="shared" si="8"/>
        <v>9515.94771027569</v>
      </c>
      <c r="P53" s="104">
        <f t="shared" si="9"/>
        <v>199369.90191578949</v>
      </c>
      <c r="Q53" s="104"/>
      <c r="R53" s="104"/>
      <c r="S53" s="104"/>
      <c r="T53" s="105"/>
      <c r="U53" s="186"/>
      <c r="W53" s="95">
        <v>16895.71</v>
      </c>
      <c r="X53" s="96">
        <f t="shared" si="10"/>
        <v>844.78549999999996</v>
      </c>
      <c r="Y53" s="97">
        <f t="shared" si="11"/>
        <v>17740.495499999997</v>
      </c>
    </row>
    <row r="54" spans="3:39">
      <c r="C54" s="243"/>
      <c r="D54" s="165">
        <v>44369</v>
      </c>
      <c r="E54" s="163">
        <v>43</v>
      </c>
      <c r="F54" s="119">
        <v>1244</v>
      </c>
      <c r="G54" s="106" t="s">
        <v>56</v>
      </c>
      <c r="H54" s="104">
        <v>156</v>
      </c>
      <c r="I54" s="104">
        <v>78.44</v>
      </c>
      <c r="J54" s="104">
        <v>19</v>
      </c>
      <c r="K54" s="104">
        <v>13.7</v>
      </c>
      <c r="L54" s="104">
        <f>2316.6-10</f>
        <v>2306.6</v>
      </c>
      <c r="M54" s="104">
        <v>390</v>
      </c>
      <c r="N54" s="104"/>
      <c r="O54" s="104">
        <f t="shared" si="8"/>
        <v>8615.700190476191</v>
      </c>
      <c r="P54" s="104">
        <f t="shared" si="9"/>
        <v>180539.704</v>
      </c>
      <c r="Q54" s="104"/>
      <c r="R54" s="104"/>
      <c r="S54" s="104"/>
      <c r="T54" s="105"/>
      <c r="U54" s="186"/>
      <c r="W54" s="95">
        <v>5956.77</v>
      </c>
      <c r="X54" s="96">
        <f t="shared" si="10"/>
        <v>297.83850000000001</v>
      </c>
      <c r="Y54" s="97">
        <f t="shared" si="11"/>
        <v>6254.6085000000003</v>
      </c>
    </row>
    <row r="55" spans="3:39">
      <c r="C55" s="243"/>
      <c r="D55" s="165">
        <v>44370</v>
      </c>
      <c r="E55" s="163">
        <v>44</v>
      </c>
      <c r="F55" s="119">
        <v>1256</v>
      </c>
      <c r="G55" s="106" t="s">
        <v>56</v>
      </c>
      <c r="H55" s="104">
        <v>126</v>
      </c>
      <c r="I55" s="104">
        <v>61.84</v>
      </c>
      <c r="J55" s="104">
        <v>16.7</v>
      </c>
      <c r="K55" s="104">
        <v>14.91</v>
      </c>
      <c r="L55" s="104">
        <f>2405.7-20</f>
        <v>2385.6999999999998</v>
      </c>
      <c r="M55" s="104">
        <v>315</v>
      </c>
      <c r="N55" s="104"/>
      <c r="O55" s="104">
        <f t="shared" si="8"/>
        <v>6174.885186967419</v>
      </c>
      <c r="P55" s="104">
        <f t="shared" si="9"/>
        <v>129357.5889263158</v>
      </c>
      <c r="Q55" s="104"/>
      <c r="R55" s="104"/>
      <c r="S55" s="104"/>
      <c r="T55" s="105"/>
      <c r="U55" s="186"/>
      <c r="W55" s="95">
        <v>22246.54</v>
      </c>
      <c r="X55" s="96">
        <f t="shared" si="10"/>
        <v>1112.327</v>
      </c>
      <c r="Y55" s="97">
        <f t="shared" si="11"/>
        <v>23358.867000000002</v>
      </c>
    </row>
    <row r="56" spans="3:39" ht="17.399999999999999">
      <c r="C56" s="169" t="s">
        <v>54</v>
      </c>
      <c r="D56" s="165">
        <v>44371</v>
      </c>
      <c r="E56" s="163">
        <v>45</v>
      </c>
      <c r="F56" s="119">
        <v>1648</v>
      </c>
      <c r="G56" s="106" t="s">
        <v>60</v>
      </c>
      <c r="H56" s="104">
        <v>113</v>
      </c>
      <c r="I56" s="104">
        <v>55.27</v>
      </c>
      <c r="J56" s="104">
        <v>17</v>
      </c>
      <c r="K56" s="104">
        <v>16.97</v>
      </c>
      <c r="L56" s="104">
        <f>2500-30</f>
        <v>2470</v>
      </c>
      <c r="M56" s="104">
        <v>0</v>
      </c>
      <c r="N56" s="104"/>
      <c r="O56" s="104">
        <f t="shared" si="8"/>
        <v>5816.5095238095237</v>
      </c>
      <c r="P56" s="104">
        <f t="shared" si="9"/>
        <v>122146.7</v>
      </c>
      <c r="Q56" s="103">
        <v>44378</v>
      </c>
      <c r="R56" s="166">
        <v>116330</v>
      </c>
      <c r="S56" s="104" t="s">
        <v>356</v>
      </c>
      <c r="T56" s="167">
        <f>P56-R56</f>
        <v>5816.6999999999971</v>
      </c>
      <c r="U56" s="186">
        <v>44468</v>
      </c>
      <c r="W56" s="95">
        <v>18193.62</v>
      </c>
      <c r="X56" s="96">
        <f t="shared" si="10"/>
        <v>909.68100000000004</v>
      </c>
      <c r="Y56" s="97">
        <f t="shared" si="11"/>
        <v>19103.300999999999</v>
      </c>
    </row>
    <row r="57" spans="3:39" ht="17.399999999999999">
      <c r="C57" s="169" t="s">
        <v>131</v>
      </c>
      <c r="D57" s="165">
        <v>44374</v>
      </c>
      <c r="E57" s="163">
        <v>46</v>
      </c>
      <c r="F57" s="119">
        <v>1329</v>
      </c>
      <c r="G57" s="106" t="s">
        <v>56</v>
      </c>
      <c r="H57" s="104">
        <v>121</v>
      </c>
      <c r="I57" s="104">
        <v>59.69</v>
      </c>
      <c r="J57" s="104">
        <v>18.2</v>
      </c>
      <c r="K57" s="104">
        <v>13.3</v>
      </c>
      <c r="L57" s="104">
        <f>2475-10</f>
        <v>2465</v>
      </c>
      <c r="M57" s="104">
        <v>302.5</v>
      </c>
      <c r="N57" s="104"/>
      <c r="O57" s="104">
        <f t="shared" si="8"/>
        <v>6711.4598245614015</v>
      </c>
      <c r="P57" s="104">
        <f t="shared" si="9"/>
        <v>140638.15631578944</v>
      </c>
      <c r="Q57" s="104"/>
      <c r="R57" s="104"/>
      <c r="S57" s="104"/>
      <c r="T57" s="105"/>
      <c r="U57" s="186"/>
      <c r="W57" s="95">
        <v>10743.88</v>
      </c>
      <c r="X57" s="96">
        <f t="shared" si="10"/>
        <v>537.19399999999996</v>
      </c>
      <c r="Y57" s="97">
        <f t="shared" si="11"/>
        <v>11281.073999999999</v>
      </c>
    </row>
    <row r="58" spans="3:39" ht="17.399999999999999">
      <c r="C58" s="169" t="s">
        <v>131</v>
      </c>
      <c r="D58" s="165">
        <v>44377</v>
      </c>
      <c r="E58" s="163">
        <v>47</v>
      </c>
      <c r="F58" s="119">
        <v>1374</v>
      </c>
      <c r="G58" s="106" t="s">
        <v>56</v>
      </c>
      <c r="H58" s="104">
        <v>144</v>
      </c>
      <c r="I58" s="104">
        <v>71.66</v>
      </c>
      <c r="J58" s="104">
        <v>17</v>
      </c>
      <c r="K58" s="104">
        <v>22.05</v>
      </c>
      <c r="L58" s="104">
        <f>2544.3-50</f>
        <v>2494.3000000000002</v>
      </c>
      <c r="M58" s="104">
        <v>360</v>
      </c>
      <c r="N58" s="104"/>
      <c r="O58" s="104">
        <f t="shared" si="8"/>
        <v>7615.5542506265674</v>
      </c>
      <c r="P58" s="104">
        <f t="shared" si="9"/>
        <v>159566.63926315791</v>
      </c>
      <c r="Q58" s="104"/>
      <c r="R58" s="104"/>
      <c r="S58" s="104"/>
      <c r="T58" s="105"/>
      <c r="U58" s="186"/>
      <c r="W58" s="95">
        <v>27397.86</v>
      </c>
      <c r="X58" s="96">
        <f t="shared" si="10"/>
        <v>1369.893</v>
      </c>
      <c r="Y58" s="97">
        <f t="shared" si="11"/>
        <v>28767.753000000001</v>
      </c>
    </row>
    <row r="59" spans="3:39" ht="17.399999999999999">
      <c r="C59" s="169" t="s">
        <v>54</v>
      </c>
      <c r="D59" s="165">
        <v>44412</v>
      </c>
      <c r="E59" s="163">
        <v>48</v>
      </c>
      <c r="F59" s="104">
        <v>2169</v>
      </c>
      <c r="G59" s="106" t="s">
        <v>56</v>
      </c>
      <c r="H59" s="104">
        <v>173</v>
      </c>
      <c r="I59" s="104">
        <v>84.27</v>
      </c>
      <c r="J59" s="104">
        <v>16.399999999999999</v>
      </c>
      <c r="K59" s="104">
        <v>23.42</v>
      </c>
      <c r="L59" s="104">
        <f>3150-60</f>
        <v>3090</v>
      </c>
      <c r="M59" s="104">
        <v>0</v>
      </c>
      <c r="N59" s="104"/>
      <c r="O59" s="104">
        <f t="shared" si="8"/>
        <v>10702.923609022555</v>
      </c>
      <c r="P59" s="104">
        <f t="shared" si="9"/>
        <v>224761.39578947367</v>
      </c>
      <c r="Q59" s="104"/>
      <c r="R59" s="104"/>
      <c r="S59" s="104"/>
      <c r="T59" s="105"/>
      <c r="U59" s="186"/>
      <c r="W59" s="95">
        <v>53679.61</v>
      </c>
      <c r="X59" s="96">
        <f t="shared" si="10"/>
        <v>2683.9805000000001</v>
      </c>
      <c r="Y59" s="97">
        <f t="shared" si="11"/>
        <v>56363.590499999998</v>
      </c>
    </row>
    <row r="60" spans="3:39" ht="17.399999999999999">
      <c r="C60" s="169" t="s">
        <v>54</v>
      </c>
      <c r="D60" s="165">
        <v>44430</v>
      </c>
      <c r="E60" s="163">
        <v>49</v>
      </c>
      <c r="F60" s="104">
        <v>2431</v>
      </c>
      <c r="G60" s="104" t="s">
        <v>56</v>
      </c>
      <c r="H60" s="104">
        <v>141</v>
      </c>
      <c r="I60" s="104">
        <v>69.39</v>
      </c>
      <c r="J60" s="104">
        <v>17.7</v>
      </c>
      <c r="K60" s="104">
        <v>22.45</v>
      </c>
      <c r="L60" s="104">
        <f>3000-60</f>
        <v>2940</v>
      </c>
      <c r="M60" s="104">
        <v>181</v>
      </c>
      <c r="N60" s="104"/>
      <c r="O60" s="104">
        <f t="shared" si="8"/>
        <v>9049.9168421052618</v>
      </c>
      <c r="P60" s="104">
        <f t="shared" si="9"/>
        <v>189867.2536842105</v>
      </c>
      <c r="Q60" s="104"/>
      <c r="R60" s="104"/>
      <c r="S60" s="104"/>
      <c r="T60" s="105"/>
      <c r="U60" s="186"/>
      <c r="W60" s="95">
        <v>27144.52</v>
      </c>
      <c r="X60" s="96">
        <f t="shared" si="10"/>
        <v>1357.2260000000001</v>
      </c>
      <c r="Y60" s="97">
        <f t="shared" si="11"/>
        <v>28501.745999999999</v>
      </c>
    </row>
    <row r="61" spans="3:39" ht="17.399999999999999">
      <c r="C61" s="169" t="s">
        <v>54</v>
      </c>
      <c r="D61" s="165">
        <v>44438</v>
      </c>
      <c r="E61" s="163">
        <v>50</v>
      </c>
      <c r="F61" s="104">
        <v>2541</v>
      </c>
      <c r="G61" s="104" t="s">
        <v>56</v>
      </c>
      <c r="H61" s="104">
        <v>174</v>
      </c>
      <c r="I61" s="104">
        <v>85.06</v>
      </c>
      <c r="J61" s="104">
        <v>17.2</v>
      </c>
      <c r="K61" s="104">
        <v>18.329999999999998</v>
      </c>
      <c r="L61" s="104">
        <f>2800-30</f>
        <v>2770</v>
      </c>
      <c r="M61" s="104">
        <v>203</v>
      </c>
      <c r="N61" s="104"/>
      <c r="O61" s="104">
        <f t="shared" si="8"/>
        <v>10156.888822055138</v>
      </c>
      <c r="P61" s="104">
        <f t="shared" si="9"/>
        <v>213091.66526315789</v>
      </c>
      <c r="Q61" s="104"/>
      <c r="R61" s="104"/>
      <c r="S61" s="104"/>
      <c r="T61" s="105"/>
      <c r="U61" s="186"/>
      <c r="W61" s="95"/>
      <c r="X61" s="96"/>
      <c r="Y61" s="97"/>
    </row>
    <row r="62" spans="3:39" ht="17.399999999999999">
      <c r="C62" s="169" t="s">
        <v>442</v>
      </c>
      <c r="D62" s="165">
        <v>44463</v>
      </c>
      <c r="E62" s="163">
        <v>51</v>
      </c>
      <c r="F62" s="104">
        <v>3317</v>
      </c>
      <c r="G62" s="104" t="s">
        <v>56</v>
      </c>
      <c r="H62" s="104">
        <v>113</v>
      </c>
      <c r="I62" s="104">
        <v>54.97</v>
      </c>
      <c r="J62" s="104">
        <v>18.149999999999999</v>
      </c>
      <c r="K62" s="104">
        <v>26.36</v>
      </c>
      <c r="L62" s="104">
        <f>2428.57*105/100</f>
        <v>2549.9985000000001</v>
      </c>
      <c r="M62" s="104">
        <v>357.31</v>
      </c>
      <c r="N62" s="104"/>
      <c r="O62" s="104">
        <f t="shared" si="8"/>
        <v>6376.3095950921042</v>
      </c>
      <c r="P62" s="104">
        <f t="shared" si="9"/>
        <v>133545.19149693419</v>
      </c>
      <c r="Q62" s="104"/>
      <c r="R62" s="104"/>
      <c r="S62" s="104"/>
      <c r="T62" s="105"/>
      <c r="U62" s="186"/>
      <c r="W62" s="95"/>
      <c r="X62" s="96"/>
      <c r="Y62" s="97"/>
    </row>
    <row r="63" spans="3:39" ht="17.399999999999999">
      <c r="C63" s="169" t="s">
        <v>442</v>
      </c>
      <c r="D63" s="165">
        <v>44467</v>
      </c>
      <c r="E63" s="163">
        <v>52</v>
      </c>
      <c r="F63" s="104">
        <v>3428</v>
      </c>
      <c r="G63" s="104" t="s">
        <v>56</v>
      </c>
      <c r="H63" s="104">
        <v>143</v>
      </c>
      <c r="I63" s="104">
        <v>70.47</v>
      </c>
      <c r="J63" s="104">
        <v>18.71</v>
      </c>
      <c r="K63" s="104">
        <v>21</v>
      </c>
      <c r="L63" s="104">
        <f>2750*100/105</f>
        <v>2619.0476190476193</v>
      </c>
      <c r="M63" s="104">
        <v>485.06</v>
      </c>
      <c r="N63" s="104"/>
      <c r="O63" s="104">
        <f t="shared" si="8"/>
        <v>8654.6310418904413</v>
      </c>
      <c r="P63" s="104">
        <f t="shared" si="9"/>
        <v>181262.19187969927</v>
      </c>
      <c r="Q63" s="104"/>
      <c r="R63" s="104"/>
      <c r="S63" s="104"/>
      <c r="T63" s="105"/>
      <c r="U63" s="186"/>
      <c r="W63" s="95"/>
      <c r="X63" s="96"/>
      <c r="Y63" s="97"/>
    </row>
    <row r="64" spans="3:39" ht="17.399999999999999">
      <c r="C64" s="169" t="s">
        <v>54</v>
      </c>
      <c r="D64" s="165">
        <v>44476</v>
      </c>
      <c r="E64" s="163">
        <v>53</v>
      </c>
      <c r="F64" s="104">
        <v>2705</v>
      </c>
      <c r="G64" s="104" t="s">
        <v>56</v>
      </c>
      <c r="H64" s="104">
        <v>85</v>
      </c>
      <c r="I64" s="104">
        <v>41.75</v>
      </c>
      <c r="J64" s="104">
        <v>19</v>
      </c>
      <c r="K64" s="104">
        <v>21.27</v>
      </c>
      <c r="L64" s="104">
        <f>2800-60</f>
        <v>2740</v>
      </c>
      <c r="M64" s="104">
        <v>114</v>
      </c>
      <c r="N64" s="104"/>
      <c r="O64" s="104">
        <f t="shared" si="8"/>
        <v>5447.3809523809523</v>
      </c>
      <c r="P64" s="104">
        <f t="shared" si="9"/>
        <v>114280.99999999999</v>
      </c>
      <c r="Q64" s="104"/>
      <c r="R64" s="104"/>
      <c r="S64" s="104"/>
      <c r="T64" s="105"/>
      <c r="U64" s="186"/>
      <c r="W64" s="95"/>
      <c r="X64" s="96"/>
      <c r="Y64" s="97"/>
    </row>
    <row r="65" spans="3:25" ht="17.399999999999999">
      <c r="C65" s="169" t="s">
        <v>54</v>
      </c>
      <c r="D65" s="165">
        <v>44498</v>
      </c>
      <c r="E65" s="163">
        <v>54</v>
      </c>
      <c r="F65" s="104">
        <v>3045</v>
      </c>
      <c r="G65" s="104" t="s">
        <v>56</v>
      </c>
      <c r="H65" s="104">
        <v>136</v>
      </c>
      <c r="I65" s="104">
        <v>67.040000000000006</v>
      </c>
      <c r="J65" s="104">
        <v>18.25</v>
      </c>
      <c r="K65" s="104">
        <v>17.68</v>
      </c>
      <c r="L65" s="104">
        <f>2880-30</f>
        <v>2850</v>
      </c>
      <c r="M65" s="104">
        <v>175</v>
      </c>
      <c r="N65" s="104"/>
      <c r="O65" s="104">
        <f t="shared" si="8"/>
        <v>8739.1428571428587</v>
      </c>
      <c r="P65" s="104">
        <f t="shared" si="9"/>
        <v>183347.00000000003</v>
      </c>
      <c r="Q65" s="104"/>
      <c r="R65" s="104"/>
      <c r="S65" s="104"/>
      <c r="T65" s="105"/>
      <c r="U65" s="186"/>
      <c r="W65" s="95"/>
      <c r="X65" s="96"/>
      <c r="Y65" s="97"/>
    </row>
    <row r="66" spans="3:25" ht="17.399999999999999">
      <c r="C66" s="169" t="s">
        <v>487</v>
      </c>
      <c r="D66" s="165">
        <v>44517</v>
      </c>
      <c r="E66" s="163">
        <v>55</v>
      </c>
      <c r="F66" s="104">
        <v>359</v>
      </c>
      <c r="G66" s="104" t="s">
        <v>56</v>
      </c>
      <c r="H66" s="104">
        <v>182</v>
      </c>
      <c r="I66" s="104">
        <v>89.28</v>
      </c>
      <c r="J66" s="104">
        <v>17.5</v>
      </c>
      <c r="K66" s="104">
        <v>21.67</v>
      </c>
      <c r="L66" s="104">
        <f>2700-50</f>
        <v>2650</v>
      </c>
      <c r="M66" s="104">
        <v>455</v>
      </c>
      <c r="N66" s="104"/>
      <c r="O66" s="104">
        <f t="shared" si="8"/>
        <v>10376.842105263158</v>
      </c>
      <c r="P66" s="104">
        <f t="shared" si="9"/>
        <v>217458.68421052632</v>
      </c>
      <c r="Q66" s="104"/>
      <c r="R66" s="104"/>
      <c r="S66" s="104"/>
      <c r="T66" s="105"/>
      <c r="U66" s="186"/>
      <c r="W66" s="95">
        <v>13067.39</v>
      </c>
      <c r="X66" s="96">
        <f>W66*0.05</f>
        <v>653.36950000000002</v>
      </c>
      <c r="Y66" s="97">
        <f>X66+W66</f>
        <v>13720.7595</v>
      </c>
    </row>
    <row r="67" spans="3:25" ht="17.399999999999999">
      <c r="C67" s="169"/>
      <c r="D67" s="165"/>
      <c r="E67" s="163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5"/>
      <c r="U67" s="186"/>
      <c r="W67" s="95"/>
      <c r="X67" s="96"/>
      <c r="Y67" s="97"/>
    </row>
    <row r="68" spans="3:25" ht="17.399999999999999">
      <c r="C68" s="169"/>
      <c r="D68" s="165"/>
      <c r="E68" s="163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  <c r="U68" s="186"/>
      <c r="W68" s="95"/>
      <c r="X68" s="96"/>
      <c r="Y68" s="97"/>
    </row>
    <row r="69" spans="3:25" ht="17.399999999999999">
      <c r="C69" s="169"/>
      <c r="D69" s="165"/>
      <c r="E69" s="163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  <c r="U69" s="186"/>
      <c r="W69" s="95"/>
      <c r="X69" s="96"/>
      <c r="Y69" s="97"/>
    </row>
    <row r="70" spans="3:25" ht="17.399999999999999">
      <c r="C70" s="169"/>
      <c r="D70" s="165"/>
      <c r="E70" s="163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  <c r="U70" s="186"/>
      <c r="W70" s="95"/>
      <c r="X70" s="96"/>
      <c r="Y70" s="97"/>
    </row>
    <row r="71" spans="3:25" ht="17.399999999999999">
      <c r="C71" s="169"/>
      <c r="D71" s="165"/>
      <c r="E71" s="163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5"/>
      <c r="U71" s="186"/>
      <c r="W71" s="95"/>
      <c r="X71" s="96"/>
      <c r="Y71" s="97"/>
    </row>
    <row r="72" spans="3:25">
      <c r="D72" s="102"/>
      <c r="E72" s="163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  <c r="U72" s="186"/>
      <c r="W72" s="95"/>
      <c r="X72" s="96"/>
      <c r="Y72" s="97"/>
    </row>
    <row r="73" spans="3:25" ht="15" thickBot="1">
      <c r="D73" s="37"/>
      <c r="E73" s="135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9"/>
      <c r="U73" s="187"/>
      <c r="W73" s="98"/>
      <c r="X73" s="99"/>
      <c r="Y73" s="100"/>
    </row>
    <row r="81" spans="3:28" ht="15" thickBot="1"/>
    <row r="82" spans="3:28" ht="18">
      <c r="D82" s="246" t="s">
        <v>299</v>
      </c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8"/>
    </row>
    <row r="84" spans="3:28" ht="15" thickBot="1"/>
    <row r="85" spans="3:28" ht="15" thickBot="1">
      <c r="D85" s="53" t="s">
        <v>0</v>
      </c>
      <c r="E85" s="132" t="s">
        <v>295</v>
      </c>
      <c r="F85" s="54" t="s">
        <v>143</v>
      </c>
      <c r="G85" s="54" t="s">
        <v>144</v>
      </c>
      <c r="H85" s="54" t="s">
        <v>1</v>
      </c>
      <c r="I85" s="54" t="s">
        <v>2</v>
      </c>
      <c r="J85" s="54" t="s">
        <v>145</v>
      </c>
      <c r="K85" s="54" t="s">
        <v>146</v>
      </c>
      <c r="L85" s="54" t="s">
        <v>3</v>
      </c>
      <c r="M85" s="54" t="s">
        <v>147</v>
      </c>
      <c r="N85" s="54" t="s">
        <v>148</v>
      </c>
      <c r="O85" s="54" t="s">
        <v>149</v>
      </c>
      <c r="P85" s="54" t="s">
        <v>4</v>
      </c>
      <c r="Q85" s="54" t="s">
        <v>0</v>
      </c>
      <c r="R85" s="54" t="s">
        <v>4</v>
      </c>
      <c r="S85" s="55" t="s">
        <v>150</v>
      </c>
      <c r="T85" s="56" t="s">
        <v>151</v>
      </c>
      <c r="U85" s="182"/>
      <c r="W85" s="62" t="s">
        <v>168</v>
      </c>
      <c r="X85" s="63" t="s">
        <v>152</v>
      </c>
      <c r="Y85" s="64" t="s">
        <v>294</v>
      </c>
    </row>
    <row r="86" spans="3:28">
      <c r="D86" t="s">
        <v>300</v>
      </c>
    </row>
    <row r="87" spans="3:28">
      <c r="C87" s="244" t="s">
        <v>131</v>
      </c>
      <c r="D87" s="51">
        <v>44335</v>
      </c>
      <c r="E87">
        <v>6</v>
      </c>
      <c r="F87">
        <v>648</v>
      </c>
      <c r="G87" t="s">
        <v>56</v>
      </c>
      <c r="H87">
        <v>160</v>
      </c>
      <c r="I87">
        <v>77.900000000000006</v>
      </c>
      <c r="J87">
        <v>17.7</v>
      </c>
      <c r="K87">
        <v>13.11</v>
      </c>
      <c r="L87">
        <f>3118.5-10</f>
        <v>3108.5</v>
      </c>
      <c r="M87">
        <v>400</v>
      </c>
      <c r="O87" s="28">
        <f>L87/19*J87*I87*5/105</f>
        <v>10742.087857142858</v>
      </c>
      <c r="P87" s="28">
        <f>O87/5*105-M87</f>
        <v>225183.84500000003</v>
      </c>
      <c r="W87" s="136">
        <v>21729.67</v>
      </c>
      <c r="X87" s="96">
        <f>W87*0.05</f>
        <v>1086.4835</v>
      </c>
      <c r="Y87" s="97">
        <f>X87+W87</f>
        <v>22816.153499999997</v>
      </c>
    </row>
    <row r="88" spans="3:28">
      <c r="C88" s="244"/>
      <c r="D88" s="51">
        <v>44336</v>
      </c>
      <c r="E88">
        <v>7</v>
      </c>
      <c r="F88">
        <v>666</v>
      </c>
      <c r="G88" t="s">
        <v>56</v>
      </c>
      <c r="H88">
        <v>168</v>
      </c>
      <c r="I88">
        <v>82.12</v>
      </c>
      <c r="J88">
        <v>19</v>
      </c>
      <c r="K88">
        <v>9.5500000000000007</v>
      </c>
      <c r="L88">
        <f>3118.5</f>
        <v>3118.5</v>
      </c>
      <c r="M88">
        <v>420</v>
      </c>
      <c r="O88" s="28">
        <f>L88/19*J88*I88*5/105</f>
        <v>12194.820000000002</v>
      </c>
      <c r="P88" s="28">
        <f>O88/5*105-M88</f>
        <v>255671.22000000003</v>
      </c>
      <c r="W88" s="136">
        <v>8503.6</v>
      </c>
      <c r="X88" s="96">
        <f>W88*0.05</f>
        <v>425.18000000000006</v>
      </c>
      <c r="Y88" s="97">
        <f>X88+W88</f>
        <v>8928.7800000000007</v>
      </c>
    </row>
    <row r="89" spans="3:28">
      <c r="C89" s="244"/>
      <c r="D89" s="51">
        <v>44336</v>
      </c>
      <c r="E89">
        <v>8</v>
      </c>
      <c r="F89">
        <v>682</v>
      </c>
      <c r="G89" t="s">
        <v>137</v>
      </c>
      <c r="H89">
        <v>64</v>
      </c>
      <c r="I89">
        <v>31.66</v>
      </c>
      <c r="J89">
        <v>19</v>
      </c>
      <c r="K89">
        <v>11.84</v>
      </c>
      <c r="L89">
        <f>3118.5</f>
        <v>3118.5</v>
      </c>
      <c r="M89">
        <v>160</v>
      </c>
      <c r="O89" s="28">
        <f>L89/19*J89*I89*5/105</f>
        <v>4701.51</v>
      </c>
      <c r="P89" s="28">
        <f>O89/5*105-M89</f>
        <v>98571.71</v>
      </c>
      <c r="W89" s="136">
        <v>2122.1799999999998</v>
      </c>
      <c r="X89" s="96">
        <f>W89*0.05</f>
        <v>106.10899999999999</v>
      </c>
      <c r="Y89" s="97">
        <f>X89+W89</f>
        <v>2228.2889999999998</v>
      </c>
    </row>
    <row r="90" spans="3:28">
      <c r="C90" s="244"/>
      <c r="D90" s="51">
        <v>44336</v>
      </c>
      <c r="E90">
        <v>9</v>
      </c>
      <c r="F90">
        <v>692</v>
      </c>
      <c r="G90" t="s">
        <v>56</v>
      </c>
      <c r="H90">
        <v>190</v>
      </c>
      <c r="I90">
        <v>100.8</v>
      </c>
      <c r="J90">
        <v>19</v>
      </c>
      <c r="K90">
        <v>13.07</v>
      </c>
      <c r="L90">
        <f>3118.5-10</f>
        <v>3108.5</v>
      </c>
      <c r="M90">
        <v>475</v>
      </c>
      <c r="O90" s="28">
        <f>L90/19*J90*I90*5/105</f>
        <v>14920.8</v>
      </c>
      <c r="P90" s="28">
        <f>O90/5*105-M90</f>
        <v>312861.8</v>
      </c>
      <c r="W90" s="136">
        <v>9536.3799999999992</v>
      </c>
      <c r="X90" s="96">
        <f>W90*0.05</f>
        <v>476.81899999999996</v>
      </c>
      <c r="Y90" s="97">
        <f>X90+W90</f>
        <v>10013.198999999999</v>
      </c>
    </row>
    <row r="91" spans="3:28">
      <c r="D91" s="137"/>
      <c r="E91" s="249" t="s">
        <v>301</v>
      </c>
      <c r="F91" s="250"/>
      <c r="G91" s="250"/>
      <c r="H91" s="250"/>
      <c r="I91" s="250"/>
      <c r="J91" s="250"/>
      <c r="K91" s="250"/>
      <c r="L91" s="250"/>
      <c r="M91" s="250"/>
      <c r="N91" s="250"/>
      <c r="W91" s="136"/>
      <c r="X91" s="138"/>
      <c r="Y91" s="138"/>
    </row>
    <row r="92" spans="3:28">
      <c r="C92" t="s">
        <v>59</v>
      </c>
      <c r="D92" s="51">
        <v>44351</v>
      </c>
      <c r="E92">
        <v>19</v>
      </c>
      <c r="F92">
        <v>284</v>
      </c>
      <c r="G92" t="s">
        <v>56</v>
      </c>
      <c r="H92">
        <v>183</v>
      </c>
      <c r="I92">
        <v>89.17</v>
      </c>
      <c r="J92">
        <v>17.5</v>
      </c>
      <c r="K92">
        <v>21.06</v>
      </c>
      <c r="L92">
        <f>(2714.29-50)*105/100</f>
        <v>2797.5045</v>
      </c>
      <c r="M92">
        <v>687.76</v>
      </c>
      <c r="O92" s="28">
        <f t="shared" ref="O92:O99" si="12">L92/19*J92*I92*5/105</f>
        <v>10940.941941447367</v>
      </c>
      <c r="P92" s="119">
        <f t="shared" ref="P92:P99" si="13">O92/5*105-M92</f>
        <v>229072.02077039471</v>
      </c>
      <c r="Q92" s="51">
        <v>44383</v>
      </c>
      <c r="R92">
        <v>229071</v>
      </c>
      <c r="S92" t="s">
        <v>356</v>
      </c>
      <c r="W92" s="136">
        <v>29538.82</v>
      </c>
      <c r="X92" s="96">
        <f>W92*0.05</f>
        <v>1476.941</v>
      </c>
      <c r="Y92" s="97">
        <f>X92+W92</f>
        <v>31015.760999999999</v>
      </c>
      <c r="AB92">
        <v>245196</v>
      </c>
    </row>
    <row r="93" spans="3:28">
      <c r="C93" t="s">
        <v>259</v>
      </c>
      <c r="D93" s="51">
        <v>44357</v>
      </c>
      <c r="E93">
        <v>20</v>
      </c>
      <c r="F93">
        <v>275</v>
      </c>
      <c r="G93" t="s">
        <v>60</v>
      </c>
      <c r="H93">
        <v>79</v>
      </c>
      <c r="I93">
        <v>37.21</v>
      </c>
      <c r="J93">
        <v>16.09</v>
      </c>
      <c r="K93">
        <v>26.02</v>
      </c>
      <c r="L93">
        <f>2700-60</f>
        <v>2640</v>
      </c>
      <c r="M93">
        <v>119</v>
      </c>
      <c r="O93" s="28">
        <f t="shared" si="12"/>
        <v>3961.3821954887217</v>
      </c>
      <c r="P93" s="119">
        <f t="shared" si="13"/>
        <v>83070.026105263154</v>
      </c>
      <c r="Q93" s="51">
        <v>44393</v>
      </c>
      <c r="R93">
        <v>83070</v>
      </c>
      <c r="S93" t="s">
        <v>356</v>
      </c>
      <c r="W93" s="136">
        <v>48075</v>
      </c>
      <c r="X93" s="138">
        <f>W93*0.05</f>
        <v>2403.75</v>
      </c>
      <c r="Y93" s="138">
        <f>X93+W93</f>
        <v>50478.75</v>
      </c>
      <c r="AB93">
        <v>636000</v>
      </c>
    </row>
    <row r="94" spans="3:28">
      <c r="C94" t="s">
        <v>259</v>
      </c>
      <c r="D94" s="51">
        <v>44363</v>
      </c>
      <c r="E94">
        <v>21</v>
      </c>
      <c r="F94">
        <v>322</v>
      </c>
      <c r="G94" t="s">
        <v>60</v>
      </c>
      <c r="H94">
        <v>89</v>
      </c>
      <c r="I94">
        <v>43.61</v>
      </c>
      <c r="J94">
        <v>18.48</v>
      </c>
      <c r="K94">
        <v>20.57</v>
      </c>
      <c r="L94">
        <f>2350-50</f>
        <v>2300</v>
      </c>
      <c r="M94">
        <f>135+129</f>
        <v>264</v>
      </c>
      <c r="O94" s="28">
        <f t="shared" si="12"/>
        <v>4645.6126315789479</v>
      </c>
      <c r="P94" s="119">
        <f t="shared" si="13"/>
        <v>97293.865263157917</v>
      </c>
      <c r="Q94" s="51">
        <v>44404</v>
      </c>
      <c r="R94">
        <v>97294</v>
      </c>
      <c r="S94" t="s">
        <v>356</v>
      </c>
      <c r="W94" s="136">
        <v>6683</v>
      </c>
      <c r="X94" s="138">
        <f>W94*0.05</f>
        <v>334.15000000000003</v>
      </c>
      <c r="Y94" s="138">
        <f>X94+W94</f>
        <v>7017.15</v>
      </c>
      <c r="AA94" s="136"/>
    </row>
    <row r="95" spans="3:28">
      <c r="C95" t="s">
        <v>59</v>
      </c>
      <c r="E95">
        <v>22</v>
      </c>
      <c r="Q95" s="51">
        <v>44400</v>
      </c>
      <c r="R95">
        <v>220292</v>
      </c>
      <c r="S95" t="s">
        <v>356</v>
      </c>
    </row>
    <row r="96" spans="3:28">
      <c r="C96" t="s">
        <v>259</v>
      </c>
      <c r="D96" s="51">
        <v>44379</v>
      </c>
      <c r="E96">
        <v>23</v>
      </c>
      <c r="F96">
        <v>421</v>
      </c>
      <c r="G96" t="s">
        <v>56</v>
      </c>
      <c r="H96">
        <v>111</v>
      </c>
      <c r="I96">
        <v>54.79</v>
      </c>
      <c r="J96">
        <v>18.079999999999998</v>
      </c>
      <c r="K96">
        <v>24.46</v>
      </c>
      <c r="L96">
        <f>2570-50</f>
        <v>2520</v>
      </c>
      <c r="M96">
        <v>151</v>
      </c>
      <c r="O96" s="28">
        <f t="shared" si="12"/>
        <v>6256.4412631578944</v>
      </c>
      <c r="P96" s="119">
        <f t="shared" si="13"/>
        <v>131234.26652631577</v>
      </c>
      <c r="Q96" s="51">
        <v>44429</v>
      </c>
      <c r="R96">
        <v>131234</v>
      </c>
      <c r="S96" t="s">
        <v>356</v>
      </c>
      <c r="W96" s="136">
        <v>10714.28</v>
      </c>
      <c r="X96" s="138">
        <f>W96*0.05</f>
        <v>535.71400000000006</v>
      </c>
      <c r="Y96" s="138">
        <f>X96+W96</f>
        <v>11249.994000000001</v>
      </c>
    </row>
    <row r="97" spans="3:27">
      <c r="C97" t="s">
        <v>59</v>
      </c>
      <c r="D97" s="51">
        <v>44383</v>
      </c>
      <c r="E97">
        <v>24</v>
      </c>
      <c r="F97">
        <v>448</v>
      </c>
      <c r="G97" t="s">
        <v>56</v>
      </c>
      <c r="H97">
        <v>138</v>
      </c>
      <c r="I97">
        <v>66.72</v>
      </c>
      <c r="J97">
        <v>18.5</v>
      </c>
      <c r="K97">
        <v>24.86</v>
      </c>
      <c r="L97">
        <f>(2619.05-50)/100*105</f>
        <v>2697.5025000000001</v>
      </c>
      <c r="M97">
        <f>520</f>
        <v>520</v>
      </c>
      <c r="O97" s="28">
        <f t="shared" si="12"/>
        <v>8344.8152526315807</v>
      </c>
      <c r="P97" s="119">
        <f t="shared" si="13"/>
        <v>174721.1203052632</v>
      </c>
      <c r="Q97" s="51">
        <v>44418</v>
      </c>
      <c r="R97">
        <v>174720</v>
      </c>
      <c r="S97" t="s">
        <v>356</v>
      </c>
      <c r="W97" s="136">
        <v>13818.37</v>
      </c>
      <c r="X97" s="138">
        <f>W97*0.05</f>
        <v>690.91850000000011</v>
      </c>
      <c r="Y97" s="138">
        <f>X97+W97</f>
        <v>14509.288500000001</v>
      </c>
      <c r="AA97" s="136"/>
    </row>
    <row r="98" spans="3:27">
      <c r="C98" t="s">
        <v>259</v>
      </c>
      <c r="D98" s="51">
        <v>44386</v>
      </c>
      <c r="E98">
        <v>25</v>
      </c>
      <c r="F98">
        <v>443</v>
      </c>
      <c r="G98" t="s">
        <v>56</v>
      </c>
      <c r="H98">
        <v>165</v>
      </c>
      <c r="I98">
        <v>80.650000000000006</v>
      </c>
      <c r="J98">
        <v>18.5</v>
      </c>
      <c r="K98">
        <v>20.91</v>
      </c>
      <c r="L98">
        <f>2800-50</f>
        <v>2750</v>
      </c>
      <c r="M98">
        <v>205</v>
      </c>
      <c r="O98" s="28">
        <f t="shared" si="12"/>
        <v>10283.380325814536</v>
      </c>
      <c r="P98" s="119">
        <f t="shared" si="13"/>
        <v>215745.98684210528</v>
      </c>
      <c r="Q98" s="251">
        <v>44428</v>
      </c>
      <c r="R98" s="250">
        <v>339499</v>
      </c>
      <c r="S98" s="250" t="s">
        <v>356</v>
      </c>
      <c r="W98" s="136">
        <v>14333</v>
      </c>
      <c r="X98" s="138">
        <f>W98*0.05</f>
        <v>716.65000000000009</v>
      </c>
      <c r="Y98" s="138">
        <f>X98+W98</f>
        <v>15049.65</v>
      </c>
    </row>
    <row r="99" spans="3:27">
      <c r="C99" t="s">
        <v>259</v>
      </c>
      <c r="D99" s="51">
        <v>44387</v>
      </c>
      <c r="E99">
        <v>26</v>
      </c>
      <c r="F99">
        <v>445</v>
      </c>
      <c r="G99" t="s">
        <v>60</v>
      </c>
      <c r="H99">
        <v>80</v>
      </c>
      <c r="I99">
        <f>38.62</f>
        <v>38.619999999999997</v>
      </c>
      <c r="J99">
        <v>18.079999999999998</v>
      </c>
      <c r="K99">
        <v>27.94</v>
      </c>
      <c r="L99">
        <f>2800-60</f>
        <v>2740</v>
      </c>
      <c r="M99">
        <v>118</v>
      </c>
      <c r="O99" s="28">
        <f t="shared" si="12"/>
        <v>4794.9972531328312</v>
      </c>
      <c r="P99" s="119">
        <f t="shared" si="13"/>
        <v>100576.94231578946</v>
      </c>
      <c r="Q99" s="251"/>
      <c r="R99" s="250"/>
      <c r="S99" s="250"/>
      <c r="W99" s="136">
        <v>37432.85</v>
      </c>
      <c r="X99" s="138">
        <f>W99*0.05</f>
        <v>1871.6424999999999</v>
      </c>
      <c r="Y99" s="138">
        <f>X99+W99</f>
        <v>39304.4925</v>
      </c>
    </row>
    <row r="101" spans="3:27">
      <c r="C101" t="s">
        <v>259</v>
      </c>
      <c r="E101">
        <v>28</v>
      </c>
      <c r="G101" t="s">
        <v>344</v>
      </c>
      <c r="W101" s="136">
        <v>220000</v>
      </c>
      <c r="X101" s="138">
        <f>W101*0.05</f>
        <v>11000</v>
      </c>
      <c r="Y101" s="138">
        <f>X101+W101</f>
        <v>231000</v>
      </c>
    </row>
    <row r="102" spans="3:27">
      <c r="C102" t="s">
        <v>259</v>
      </c>
      <c r="D102" s="51">
        <v>44392</v>
      </c>
      <c r="E102">
        <v>29</v>
      </c>
      <c r="F102">
        <v>473</v>
      </c>
      <c r="G102" t="s">
        <v>56</v>
      </c>
      <c r="H102">
        <v>90</v>
      </c>
      <c r="I102">
        <v>44.8</v>
      </c>
      <c r="J102">
        <v>17.71</v>
      </c>
      <c r="K102">
        <v>23.65</v>
      </c>
      <c r="L102">
        <f>2900-50</f>
        <v>2850</v>
      </c>
      <c r="M102">
        <v>130</v>
      </c>
      <c r="O102" s="28">
        <f>L102/19*J102*I102*5/105</f>
        <v>5667.2</v>
      </c>
      <c r="P102" s="119">
        <f>O102/5*105-M102</f>
        <v>118881.20000000001</v>
      </c>
      <c r="Q102" s="51">
        <v>44435</v>
      </c>
      <c r="R102" s="172">
        <v>123753</v>
      </c>
      <c r="W102" s="136">
        <v>10942</v>
      </c>
      <c r="X102" s="138">
        <f>W102*0.05</f>
        <v>547.1</v>
      </c>
      <c r="Y102" s="138">
        <f>X102+W102</f>
        <v>11489.1</v>
      </c>
    </row>
    <row r="104" spans="3:27">
      <c r="C104" t="s">
        <v>259</v>
      </c>
      <c r="D104" s="51">
        <v>44400</v>
      </c>
      <c r="E104">
        <v>31</v>
      </c>
      <c r="F104">
        <v>500</v>
      </c>
      <c r="G104" t="s">
        <v>348</v>
      </c>
      <c r="H104">
        <v>44</v>
      </c>
      <c r="I104">
        <v>21.36</v>
      </c>
      <c r="J104">
        <v>18.82</v>
      </c>
      <c r="K104">
        <v>31.92</v>
      </c>
      <c r="L104">
        <f>3000-100</f>
        <v>2900</v>
      </c>
      <c r="M104">
        <v>104</v>
      </c>
      <c r="O104" s="28">
        <f>L104/19*J104*I104*5/105</f>
        <v>2921.7696240601508</v>
      </c>
      <c r="P104" s="119">
        <f>O104/5*105-M104</f>
        <v>61253.162105263167</v>
      </c>
      <c r="Q104" s="51">
        <v>44438</v>
      </c>
      <c r="R104" s="172">
        <v>56383</v>
      </c>
      <c r="W104" s="136">
        <v>3850.58</v>
      </c>
      <c r="X104" s="138">
        <f>W104*0.05</f>
        <v>192.529</v>
      </c>
      <c r="Y104" s="138">
        <f>X104+W104</f>
        <v>4043.1089999999999</v>
      </c>
    </row>
    <row r="106" spans="3:27">
      <c r="C106" t="s">
        <v>259</v>
      </c>
      <c r="D106" s="51">
        <v>44424</v>
      </c>
      <c r="E106">
        <v>43</v>
      </c>
      <c r="F106">
        <v>654</v>
      </c>
      <c r="G106" t="s">
        <v>56</v>
      </c>
      <c r="H106">
        <v>111</v>
      </c>
      <c r="I106">
        <v>54.79</v>
      </c>
      <c r="J106">
        <v>16.420000000000002</v>
      </c>
      <c r="K106">
        <v>24.42</v>
      </c>
      <c r="L106">
        <f>3150-50</f>
        <v>3100</v>
      </c>
      <c r="M106">
        <v>151</v>
      </c>
      <c r="O106" s="28">
        <f>L106/19*J106*I106*5/105</f>
        <v>6989.7758897243111</v>
      </c>
      <c r="P106" s="119">
        <f>O106/5*105-M106</f>
        <v>146634.29368421054</v>
      </c>
    </row>
    <row r="108" spans="3:27">
      <c r="C108" t="s">
        <v>59</v>
      </c>
      <c r="D108" s="51">
        <v>44448</v>
      </c>
      <c r="E108">
        <v>59</v>
      </c>
      <c r="F108">
        <v>860</v>
      </c>
      <c r="G108" t="s">
        <v>56</v>
      </c>
      <c r="H108">
        <v>131</v>
      </c>
      <c r="I108">
        <v>64.19</v>
      </c>
      <c r="J108">
        <v>16.600000000000001</v>
      </c>
      <c r="K108">
        <v>18.399999999999999</v>
      </c>
      <c r="L108">
        <f>(2571.43-30)/100*105</f>
        <v>2668.5014999999999</v>
      </c>
      <c r="M108">
        <v>1974.2</v>
      </c>
      <c r="O108" s="28">
        <f>L108/19*J108*I108*5/105</f>
        <v>7126.3971111052651</v>
      </c>
      <c r="P108" s="119">
        <f>O108/5*105-M108</f>
        <v>147680.13933321057</v>
      </c>
      <c r="Q108" s="51">
        <v>44452</v>
      </c>
      <c r="R108">
        <v>147680</v>
      </c>
    </row>
    <row r="115" spans="4:25" ht="15" thickBot="1"/>
    <row r="116" spans="4:25" ht="18">
      <c r="D116" s="246" t="s">
        <v>404</v>
      </c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8"/>
    </row>
    <row r="118" spans="4:25" ht="15" thickBot="1"/>
    <row r="119" spans="4:25" ht="15" thickBot="1">
      <c r="D119" s="53" t="s">
        <v>0</v>
      </c>
      <c r="E119" s="132" t="s">
        <v>295</v>
      </c>
      <c r="F119" s="54" t="s">
        <v>143</v>
      </c>
      <c r="G119" s="54" t="s">
        <v>144</v>
      </c>
      <c r="H119" s="54" t="s">
        <v>1</v>
      </c>
      <c r="I119" s="54" t="s">
        <v>2</v>
      </c>
      <c r="J119" s="54" t="s">
        <v>145</v>
      </c>
      <c r="K119" s="54" t="s">
        <v>146</v>
      </c>
      <c r="L119" s="54" t="s">
        <v>3</v>
      </c>
      <c r="M119" s="54" t="s">
        <v>147</v>
      </c>
      <c r="N119" s="54" t="s">
        <v>148</v>
      </c>
      <c r="O119" s="54" t="s">
        <v>149</v>
      </c>
      <c r="P119" s="54" t="s">
        <v>4</v>
      </c>
      <c r="Q119" s="54" t="s">
        <v>0</v>
      </c>
      <c r="R119" s="54" t="s">
        <v>4</v>
      </c>
      <c r="S119" s="55" t="s">
        <v>150</v>
      </c>
      <c r="T119" s="56" t="s">
        <v>151</v>
      </c>
      <c r="U119" s="182"/>
      <c r="W119" s="62" t="s">
        <v>168</v>
      </c>
      <c r="X119" s="63" t="s">
        <v>152</v>
      </c>
      <c r="Y119" s="64" t="s">
        <v>294</v>
      </c>
    </row>
    <row r="121" spans="4:25">
      <c r="D121" s="51">
        <v>44322</v>
      </c>
      <c r="E121">
        <v>1</v>
      </c>
      <c r="F121">
        <v>148</v>
      </c>
      <c r="G121" t="s">
        <v>56</v>
      </c>
      <c r="H121">
        <v>130</v>
      </c>
      <c r="I121">
        <v>63</v>
      </c>
      <c r="J121">
        <v>19</v>
      </c>
      <c r="K121">
        <v>0</v>
      </c>
      <c r="L121">
        <f>(2857.14)/100*105</f>
        <v>2999.9969999999998</v>
      </c>
      <c r="M121">
        <v>514</v>
      </c>
      <c r="O121" s="28">
        <f t="shared" ref="O121:O134" si="14">L121/19*J121*I121*5/105</f>
        <v>8999.991</v>
      </c>
      <c r="P121" s="119">
        <f t="shared" ref="P121:P134" si="15">O121/5*105-M121</f>
        <v>188485.81099999999</v>
      </c>
    </row>
    <row r="122" spans="4:25">
      <c r="D122" s="51">
        <v>44324</v>
      </c>
      <c r="E122">
        <v>2</v>
      </c>
      <c r="F122">
        <v>158</v>
      </c>
      <c r="G122" t="s">
        <v>56</v>
      </c>
      <c r="H122">
        <v>170</v>
      </c>
      <c r="I122">
        <v>85</v>
      </c>
      <c r="J122">
        <v>18.5</v>
      </c>
      <c r="K122">
        <v>0</v>
      </c>
      <c r="L122">
        <f>(2857.14)/100*105</f>
        <v>2999.9969999999998</v>
      </c>
      <c r="M122">
        <v>673.29</v>
      </c>
      <c r="O122" s="28">
        <f t="shared" si="14"/>
        <v>11823.296447368421</v>
      </c>
      <c r="P122" s="119">
        <f t="shared" si="15"/>
        <v>247615.93539473682</v>
      </c>
    </row>
    <row r="123" spans="4:25">
      <c r="D123" s="51">
        <v>44325</v>
      </c>
      <c r="E123">
        <v>3</v>
      </c>
      <c r="F123">
        <v>161</v>
      </c>
      <c r="G123" t="s">
        <v>56</v>
      </c>
      <c r="H123">
        <v>161</v>
      </c>
      <c r="I123">
        <v>68.400000000000006</v>
      </c>
      <c r="J123">
        <v>18.8</v>
      </c>
      <c r="K123">
        <v>0</v>
      </c>
      <c r="L123">
        <f>(2857.14)/100*105</f>
        <v>2999.9969999999998</v>
      </c>
      <c r="M123">
        <v>553.04</v>
      </c>
      <c r="O123" s="28">
        <f t="shared" si="14"/>
        <v>9668.5617600000005</v>
      </c>
      <c r="P123" s="119">
        <f t="shared" si="15"/>
        <v>202486.75696</v>
      </c>
    </row>
    <row r="124" spans="4:25">
      <c r="D124" s="51">
        <v>44326</v>
      </c>
      <c r="E124">
        <v>4</v>
      </c>
      <c r="F124">
        <v>165</v>
      </c>
      <c r="G124" t="s">
        <v>56</v>
      </c>
      <c r="H124">
        <v>178</v>
      </c>
      <c r="I124">
        <v>87.62</v>
      </c>
      <c r="J124">
        <v>17.89</v>
      </c>
      <c r="K124">
        <v>18.53</v>
      </c>
      <c r="L124">
        <f>(2904.76-30)/100*105</f>
        <v>3018.498</v>
      </c>
      <c r="M124">
        <v>694.03</v>
      </c>
      <c r="O124" s="28">
        <f t="shared" si="14"/>
        <v>11858.549920442107</v>
      </c>
      <c r="P124" s="119">
        <f t="shared" si="15"/>
        <v>248335.51832928421</v>
      </c>
    </row>
    <row r="125" spans="4:25">
      <c r="D125" s="51">
        <v>44327</v>
      </c>
      <c r="E125">
        <v>5</v>
      </c>
      <c r="F125">
        <v>169</v>
      </c>
      <c r="G125" t="s">
        <v>56</v>
      </c>
      <c r="H125">
        <v>170</v>
      </c>
      <c r="I125">
        <v>85</v>
      </c>
      <c r="J125">
        <v>17.62</v>
      </c>
      <c r="K125">
        <v>38.43</v>
      </c>
      <c r="L125">
        <f>(2904.76-120)/100*105</f>
        <v>2923.9980000000005</v>
      </c>
      <c r="M125">
        <v>655.49</v>
      </c>
      <c r="O125" s="28">
        <f t="shared" si="14"/>
        <v>10975.618557894741</v>
      </c>
      <c r="P125" s="119">
        <f t="shared" si="15"/>
        <v>229832.49971578957</v>
      </c>
    </row>
    <row r="126" spans="4:25">
      <c r="D126" s="51">
        <v>44327</v>
      </c>
      <c r="E126">
        <v>6</v>
      </c>
      <c r="F126">
        <v>173</v>
      </c>
      <c r="G126" t="s">
        <v>56</v>
      </c>
      <c r="H126">
        <v>173</v>
      </c>
      <c r="I126">
        <v>66.44</v>
      </c>
      <c r="J126">
        <v>19</v>
      </c>
      <c r="K126">
        <v>16.34</v>
      </c>
      <c r="L126">
        <f>(2904.76-30)/100*105</f>
        <v>3018.498</v>
      </c>
      <c r="M126">
        <v>540.54999999999995</v>
      </c>
      <c r="O126" s="28">
        <f t="shared" si="14"/>
        <v>9549.9527199999993</v>
      </c>
      <c r="P126" s="119">
        <f t="shared" si="15"/>
        <v>200008.45711999998</v>
      </c>
    </row>
    <row r="127" spans="4:25">
      <c r="D127" s="51">
        <v>44328</v>
      </c>
      <c r="E127">
        <v>7</v>
      </c>
      <c r="F127">
        <v>174</v>
      </c>
      <c r="G127" t="s">
        <v>67</v>
      </c>
      <c r="H127">
        <v>60</v>
      </c>
      <c r="I127">
        <v>26.4</v>
      </c>
      <c r="J127">
        <v>18.8</v>
      </c>
      <c r="K127">
        <v>0</v>
      </c>
      <c r="L127">
        <f>(2904.76)/100*105</f>
        <v>3049.9980000000005</v>
      </c>
      <c r="M127">
        <v>229.67</v>
      </c>
      <c r="O127" s="28">
        <f t="shared" si="14"/>
        <v>3793.9223242105272</v>
      </c>
      <c r="P127" s="119">
        <f t="shared" si="15"/>
        <v>79442.698808421075</v>
      </c>
    </row>
    <row r="128" spans="4:25">
      <c r="D128" s="142">
        <v>44329</v>
      </c>
      <c r="E128" s="116">
        <v>8</v>
      </c>
      <c r="F128" s="116">
        <v>177</v>
      </c>
      <c r="G128" s="116" t="s">
        <v>56</v>
      </c>
      <c r="H128" s="116">
        <v>140</v>
      </c>
      <c r="I128" s="116">
        <v>72.8</v>
      </c>
      <c r="J128" s="116">
        <v>19</v>
      </c>
      <c r="K128" s="116">
        <v>0</v>
      </c>
      <c r="L128" s="116">
        <f>(2904.76)/100*105</f>
        <v>3049.9980000000005</v>
      </c>
      <c r="M128" s="116">
        <v>2792.44</v>
      </c>
      <c r="N128" s="116"/>
      <c r="O128" s="141">
        <f t="shared" si="14"/>
        <v>10573.326400000002</v>
      </c>
      <c r="P128" s="143">
        <f t="shared" si="15"/>
        <v>219247.41440000001</v>
      </c>
    </row>
    <row r="129" spans="4:16">
      <c r="D129" s="51">
        <v>44330</v>
      </c>
      <c r="E129">
        <v>9</v>
      </c>
      <c r="F129">
        <v>182</v>
      </c>
      <c r="G129" s="116" t="s">
        <v>56</v>
      </c>
      <c r="H129">
        <v>200</v>
      </c>
      <c r="I129">
        <v>97.6</v>
      </c>
      <c r="J129">
        <v>19</v>
      </c>
      <c r="K129">
        <v>0</v>
      </c>
      <c r="L129" s="116">
        <f>(3000)/100*105</f>
        <v>3150</v>
      </c>
      <c r="M129">
        <v>3881.84</v>
      </c>
      <c r="O129" s="141">
        <f t="shared" si="14"/>
        <v>14640</v>
      </c>
      <c r="P129" s="143">
        <f t="shared" si="15"/>
        <v>303558.15999999997</v>
      </c>
    </row>
    <row r="130" spans="4:16">
      <c r="D130" s="51">
        <v>44331</v>
      </c>
      <c r="E130">
        <v>10</v>
      </c>
      <c r="F130">
        <v>183</v>
      </c>
      <c r="G130" s="116" t="s">
        <v>56</v>
      </c>
      <c r="H130">
        <v>180</v>
      </c>
      <c r="I130">
        <v>94.7</v>
      </c>
      <c r="J130">
        <v>17.36</v>
      </c>
      <c r="K130">
        <v>14.44</v>
      </c>
      <c r="L130" s="116">
        <f>(3000-20)/100*105</f>
        <v>3129</v>
      </c>
      <c r="M130">
        <v>3428.14</v>
      </c>
      <c r="O130" s="141">
        <f t="shared" si="14"/>
        <v>12892.358315789474</v>
      </c>
      <c r="P130" s="143">
        <f t="shared" si="15"/>
        <v>267311.38463157893</v>
      </c>
    </row>
    <row r="131" spans="4:16">
      <c r="D131" s="51">
        <v>44331</v>
      </c>
      <c r="E131">
        <v>11</v>
      </c>
      <c r="F131">
        <v>187</v>
      </c>
      <c r="G131" s="116" t="s">
        <v>56</v>
      </c>
      <c r="H131">
        <v>203</v>
      </c>
      <c r="I131">
        <v>99.27</v>
      </c>
      <c r="J131">
        <v>17.18</v>
      </c>
      <c r="K131">
        <v>15.48</v>
      </c>
      <c r="L131" s="116">
        <f>(3000-20)/100*105</f>
        <v>3129</v>
      </c>
      <c r="M131">
        <v>3597.48</v>
      </c>
      <c r="O131" s="141">
        <f t="shared" si="14"/>
        <v>13374.385863157893</v>
      </c>
      <c r="P131" s="143">
        <f t="shared" si="15"/>
        <v>277264.62312631577</v>
      </c>
    </row>
    <row r="132" spans="4:16">
      <c r="D132" s="51">
        <v>44332</v>
      </c>
      <c r="E132">
        <v>12</v>
      </c>
      <c r="F132">
        <v>192</v>
      </c>
      <c r="G132" s="116" t="s">
        <v>56</v>
      </c>
      <c r="H132">
        <v>195</v>
      </c>
      <c r="I132">
        <v>95.66</v>
      </c>
      <c r="J132">
        <v>17.71</v>
      </c>
      <c r="K132">
        <v>14</v>
      </c>
      <c r="L132" s="116">
        <f>(3000-10)/100*105</f>
        <v>3139.5</v>
      </c>
      <c r="M132">
        <v>3564.27</v>
      </c>
      <c r="O132" s="141">
        <f t="shared" si="14"/>
        <v>13330.195826315789</v>
      </c>
      <c r="P132" s="143">
        <f t="shared" si="15"/>
        <v>276369.84235263156</v>
      </c>
    </row>
    <row r="133" spans="4:16">
      <c r="D133" s="51">
        <v>44332</v>
      </c>
      <c r="E133">
        <v>13</v>
      </c>
      <c r="F133">
        <v>189</v>
      </c>
      <c r="G133" s="116" t="s">
        <v>309</v>
      </c>
      <c r="H133">
        <v>60</v>
      </c>
      <c r="I133">
        <v>29.4</v>
      </c>
      <c r="J133">
        <v>18.5</v>
      </c>
      <c r="K133">
        <v>0</v>
      </c>
      <c r="L133" s="116">
        <f>(3000)/100*105</f>
        <v>3150</v>
      </c>
      <c r="M133">
        <v>1141.9000000000001</v>
      </c>
      <c r="O133" s="141">
        <f t="shared" si="14"/>
        <v>4293.9473684210516</v>
      </c>
      <c r="P133" s="143">
        <f t="shared" si="15"/>
        <v>89030.994736842084</v>
      </c>
    </row>
    <row r="134" spans="4:16">
      <c r="D134" s="51">
        <v>44333</v>
      </c>
      <c r="E134">
        <v>14</v>
      </c>
      <c r="F134">
        <v>197</v>
      </c>
      <c r="G134" s="116" t="s">
        <v>308</v>
      </c>
      <c r="H134">
        <v>192</v>
      </c>
      <c r="I134">
        <v>94.78</v>
      </c>
      <c r="J134">
        <v>19</v>
      </c>
      <c r="K134">
        <v>0</v>
      </c>
      <c r="L134" s="116">
        <f>(3000)/100*105</f>
        <v>3150</v>
      </c>
      <c r="M134">
        <v>778.56</v>
      </c>
      <c r="O134" s="141">
        <f t="shared" si="14"/>
        <v>14217</v>
      </c>
      <c r="P134" s="143">
        <f t="shared" si="15"/>
        <v>297778.44</v>
      </c>
    </row>
  </sheetData>
  <mergeCells count="16">
    <mergeCell ref="D6:S6"/>
    <mergeCell ref="W30:W31"/>
    <mergeCell ref="X30:X31"/>
    <mergeCell ref="Q13:Q14"/>
    <mergeCell ref="R13:R14"/>
    <mergeCell ref="S13:S14"/>
    <mergeCell ref="T13:T14"/>
    <mergeCell ref="C16:C55"/>
    <mergeCell ref="C87:C90"/>
    <mergeCell ref="Y30:Y31"/>
    <mergeCell ref="D82:S82"/>
    <mergeCell ref="D116:S116"/>
    <mergeCell ref="E91:N91"/>
    <mergeCell ref="R98:R99"/>
    <mergeCell ref="S98:S99"/>
    <mergeCell ref="Q98:Q99"/>
  </mergeCells>
  <pageMargins left="0.7" right="0.7" top="0.75" bottom="0.75" header="0.3" footer="0.3"/>
  <pageSetup orientation="portrait" r:id="rId1"/>
  <ignoredErrors>
    <ignoredError sqref="AD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CL Balance</vt:lpstr>
      <vt:lpstr>FACTORY</vt:lpstr>
      <vt:lpstr>REMITANCES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2021-05-11T08:46:38Z</dcterms:created>
  <dcterms:modified xsi:type="dcterms:W3CDTF">2022-01-09T07:34:27Z</dcterms:modified>
</cp:coreProperties>
</file>