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1E4EB7B5-9B42-4DA6-9FAE-4EACE093F7DD}" xr6:coauthVersionLast="47" xr6:coauthVersionMax="47" xr10:uidLastSave="{00000000-0000-0000-0000-000000000000}"/>
  <bookViews>
    <workbookView xWindow="-108" yWindow="-108" windowWidth="23256" windowHeight="12720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5" l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C12" i="5"/>
  <c r="C13" i="5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D5" i="2" l="1"/>
  <c r="E5" i="2" s="1"/>
  <c r="H9" i="3"/>
  <c r="J9" i="4"/>
  <c r="B11" i="4"/>
  <c r="B11" i="3"/>
  <c r="B10" i="5"/>
  <c r="C12" i="4"/>
  <c r="C13" i="4" s="1"/>
  <c r="C14" i="4" s="1"/>
  <c r="C15" i="4" s="1"/>
  <c r="C16" i="4" s="1"/>
  <c r="C17" i="4" s="1"/>
  <c r="C18" i="4" s="1"/>
  <c r="C19" i="4" s="1"/>
  <c r="G11" i="3" l="1"/>
  <c r="G10" i="5"/>
  <c r="J10" i="5" s="1"/>
  <c r="E11" i="4"/>
  <c r="C11" i="3"/>
  <c r="E51" i="5" l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L11" i="4"/>
  <c r="H11" i="3"/>
  <c r="L10" i="5"/>
  <c r="C11" i="5"/>
  <c r="A11" i="5"/>
  <c r="A12" i="4"/>
  <c r="A13" i="4" l="1"/>
  <c r="B12" i="4"/>
  <c r="G11" i="5"/>
  <c r="J11" i="5" s="1"/>
  <c r="B11" i="5"/>
  <c r="L11" i="5" l="1"/>
  <c r="A14" i="4"/>
  <c r="B13" i="4"/>
  <c r="G12" i="5"/>
  <c r="B12" i="5"/>
  <c r="D15" i="4" l="1"/>
  <c r="D12" i="4"/>
  <c r="L12" i="5"/>
  <c r="J12" i="5"/>
  <c r="A15" i="4"/>
  <c r="B14" i="4"/>
  <c r="G13" i="5"/>
  <c r="J13" i="5" s="1"/>
  <c r="B13" i="5"/>
  <c r="D14" i="5"/>
  <c r="D13" i="4" l="1"/>
  <c r="D11" i="4"/>
  <c r="D11" i="5"/>
  <c r="D17" i="4"/>
  <c r="D10" i="5"/>
  <c r="I11" i="4"/>
  <c r="D16" i="4"/>
  <c r="D13" i="5"/>
  <c r="D14" i="4"/>
  <c r="D18" i="4"/>
  <c r="D12" i="5"/>
  <c r="D19" i="4"/>
  <c r="L13" i="5"/>
  <c r="B15" i="4"/>
  <c r="A16" i="4"/>
  <c r="B14" i="5"/>
  <c r="G14" i="5"/>
  <c r="D15" i="5"/>
  <c r="J11" i="4" l="1"/>
  <c r="L14" i="5"/>
  <c r="J14" i="5"/>
  <c r="A17" i="4"/>
  <c r="B16" i="4"/>
  <c r="B15" i="5"/>
  <c r="G15" i="5"/>
  <c r="D16" i="5"/>
  <c r="L15" i="5" l="1"/>
  <c r="J15" i="5"/>
  <c r="A18" i="4"/>
  <c r="B17" i="4"/>
  <c r="G16" i="5"/>
  <c r="B16" i="5"/>
  <c r="D17" i="5"/>
  <c r="L16" i="5" l="1"/>
  <c r="J16" i="5"/>
  <c r="A19" i="4"/>
  <c r="B18" i="4"/>
  <c r="G17" i="5"/>
  <c r="B17" i="5"/>
  <c r="D18" i="5"/>
  <c r="L17" i="5" l="1"/>
  <c r="J17" i="5"/>
  <c r="B19" i="4"/>
  <c r="G18" i="5"/>
  <c r="B18" i="5"/>
  <c r="G21" i="5" l="1"/>
  <c r="B20" i="5"/>
  <c r="G20" i="5"/>
  <c r="D19" i="5"/>
  <c r="L18" i="5"/>
  <c r="J18" i="5"/>
  <c r="B19" i="5"/>
  <c r="G19" i="5"/>
  <c r="G24" i="5" l="1"/>
  <c r="G23" i="5"/>
  <c r="L23" i="5" s="1"/>
  <c r="B24" i="5"/>
  <c r="B22" i="5"/>
  <c r="G22" i="5"/>
  <c r="B21" i="5"/>
  <c r="B26" i="5"/>
  <c r="L21" i="5"/>
  <c r="J21" i="5"/>
  <c r="D20" i="5"/>
  <c r="L20" i="5"/>
  <c r="J20" i="5"/>
  <c r="L19" i="5"/>
  <c r="J19" i="5"/>
  <c r="G26" i="5"/>
  <c r="J23" i="5" l="1"/>
  <c r="J24" i="5"/>
  <c r="L24" i="5"/>
  <c r="B23" i="5"/>
  <c r="B25" i="5"/>
  <c r="G25" i="5"/>
  <c r="D24" i="5"/>
  <c r="D22" i="5"/>
  <c r="L22" i="5"/>
  <c r="J22" i="5"/>
  <c r="D21" i="5"/>
  <c r="L26" i="5"/>
  <c r="J26" i="5"/>
  <c r="G27" i="5"/>
  <c r="L25" i="5" l="1"/>
  <c r="J25" i="5"/>
  <c r="D23" i="5"/>
  <c r="D25" i="5"/>
  <c r="B27" i="5"/>
  <c r="D26" i="5"/>
  <c r="L27" i="5"/>
  <c r="J27" i="5"/>
  <c r="B28" i="5"/>
  <c r="G28" i="5"/>
  <c r="E12" i="4"/>
  <c r="D27" i="5" l="1"/>
  <c r="L12" i="4"/>
  <c r="I12" i="4"/>
  <c r="L28" i="5"/>
  <c r="J28" i="5"/>
  <c r="B29" i="5"/>
  <c r="G29" i="5"/>
  <c r="E13" i="4"/>
  <c r="D28" i="5" l="1"/>
  <c r="L13" i="4"/>
  <c r="I13" i="4"/>
  <c r="J13" i="4" s="1"/>
  <c r="J12" i="4"/>
  <c r="L29" i="5"/>
  <c r="J29" i="5"/>
  <c r="B30" i="5"/>
  <c r="G30" i="5"/>
  <c r="E14" i="4"/>
  <c r="D29" i="5" l="1"/>
  <c r="L14" i="4"/>
  <c r="I14" i="4"/>
  <c r="J14" i="4" s="1"/>
  <c r="L30" i="5"/>
  <c r="J30" i="5"/>
  <c r="B34" i="5"/>
  <c r="B31" i="5"/>
  <c r="G31" i="5"/>
  <c r="E15" i="4"/>
  <c r="B33" i="5" l="1"/>
  <c r="B35" i="5"/>
  <c r="D30" i="5"/>
  <c r="L15" i="4"/>
  <c r="I15" i="4"/>
  <c r="J15" i="4" s="1"/>
  <c r="L31" i="5"/>
  <c r="J31" i="5"/>
  <c r="B32" i="5"/>
  <c r="G32" i="5"/>
  <c r="E16" i="4"/>
  <c r="D31" i="5" l="1"/>
  <c r="L16" i="4"/>
  <c r="G33" i="5"/>
  <c r="I16" i="4"/>
  <c r="J16" i="4" s="1"/>
  <c r="L32" i="5"/>
  <c r="J32" i="5"/>
  <c r="B36" i="5"/>
  <c r="G36" i="5"/>
  <c r="E17" i="4"/>
  <c r="G35" i="5" l="1"/>
  <c r="L35" i="5" s="1"/>
  <c r="G34" i="5"/>
  <c r="D32" i="5"/>
  <c r="D34" i="5"/>
  <c r="L17" i="4"/>
  <c r="L33" i="5"/>
  <c r="J33" i="5"/>
  <c r="I17" i="4"/>
  <c r="J17" i="4" s="1"/>
  <c r="L36" i="5"/>
  <c r="J36" i="5"/>
  <c r="B37" i="5"/>
  <c r="G37" i="5"/>
  <c r="E18" i="4"/>
  <c r="J35" i="5" l="1"/>
  <c r="L34" i="5"/>
  <c r="J34" i="5"/>
  <c r="D33" i="5"/>
  <c r="D35" i="5"/>
  <c r="D36" i="5"/>
  <c r="L18" i="4"/>
  <c r="I18" i="4"/>
  <c r="J18" i="4" s="1"/>
  <c r="L37" i="5"/>
  <c r="J37" i="5"/>
  <c r="B38" i="5"/>
  <c r="G38" i="5"/>
  <c r="E19" i="4"/>
  <c r="L19" i="4" l="1"/>
  <c r="D37" i="5"/>
  <c r="I19" i="4"/>
  <c r="J19" i="4" s="1"/>
  <c r="L38" i="5"/>
  <c r="J38" i="5"/>
  <c r="B39" i="5"/>
  <c r="G39" i="5"/>
  <c r="D38" i="5" l="1"/>
  <c r="L39" i="5"/>
  <c r="J39" i="5"/>
  <c r="B40" i="5"/>
  <c r="G40" i="5"/>
  <c r="D39" i="5" l="1"/>
  <c r="L40" i="5"/>
  <c r="J40" i="5"/>
  <c r="B41" i="5"/>
  <c r="G41" i="5"/>
  <c r="B43" i="5" l="1"/>
  <c r="G43" i="5"/>
  <c r="D40" i="5"/>
  <c r="L41" i="5"/>
  <c r="J41" i="5"/>
  <c r="B42" i="5"/>
  <c r="G42" i="5"/>
  <c r="G45" i="5" l="1"/>
  <c r="B46" i="5"/>
  <c r="B45" i="5"/>
  <c r="B48" i="5"/>
  <c r="B47" i="5"/>
  <c r="B44" i="5"/>
  <c r="B49" i="5"/>
  <c r="L43" i="5"/>
  <c r="J43" i="5"/>
  <c r="G44" i="5"/>
  <c r="D41" i="5"/>
  <c r="L42" i="5"/>
  <c r="J42" i="5"/>
  <c r="B50" i="5"/>
  <c r="G50" i="5"/>
  <c r="J45" i="5" l="1"/>
  <c r="L45" i="5"/>
  <c r="G47" i="5"/>
  <c r="L47" i="5" s="1"/>
  <c r="G46" i="5"/>
  <c r="G49" i="5"/>
  <c r="L49" i="5" s="1"/>
  <c r="G48" i="5"/>
  <c r="D43" i="5"/>
  <c r="L44" i="5"/>
  <c r="J44" i="5"/>
  <c r="D42" i="5"/>
  <c r="L50" i="5"/>
  <c r="J50" i="5"/>
  <c r="B51" i="5"/>
  <c r="G51" i="5"/>
  <c r="J47" i="5" l="1"/>
  <c r="J49" i="5"/>
  <c r="D46" i="5"/>
  <c r="D45" i="5"/>
  <c r="L46" i="5"/>
  <c r="J46" i="5"/>
  <c r="D48" i="5"/>
  <c r="D47" i="5"/>
  <c r="L48" i="5"/>
  <c r="J48" i="5"/>
  <c r="D44" i="5"/>
  <c r="D49" i="5"/>
  <c r="D50" i="5"/>
  <c r="L51" i="5"/>
  <c r="J51" i="5"/>
  <c r="B52" i="5"/>
  <c r="G52" i="5"/>
  <c r="D51" i="5" l="1"/>
  <c r="L52" i="5"/>
  <c r="J52" i="5"/>
  <c r="B53" i="5"/>
  <c r="G53" i="5"/>
  <c r="D52" i="5" l="1"/>
  <c r="L53" i="5"/>
  <c r="J53" i="5"/>
  <c r="B56" i="5"/>
  <c r="B54" i="5"/>
  <c r="G54" i="5"/>
  <c r="D53" i="5" l="1"/>
  <c r="L54" i="5"/>
  <c r="J54" i="5"/>
  <c r="B55" i="5"/>
  <c r="G55" i="5"/>
  <c r="G56" i="5" l="1"/>
  <c r="D54" i="5"/>
  <c r="D56" i="5"/>
  <c r="L55" i="5"/>
  <c r="J55" i="5"/>
  <c r="B57" i="5"/>
  <c r="G57" i="5"/>
  <c r="L56" i="5" l="1"/>
  <c r="J56" i="5"/>
  <c r="D55" i="5"/>
  <c r="L57" i="5"/>
  <c r="J57" i="5"/>
  <c r="B58" i="5"/>
  <c r="G58" i="5"/>
  <c r="D57" i="5" l="1"/>
  <c r="L58" i="5"/>
  <c r="J58" i="5"/>
  <c r="B59" i="5"/>
  <c r="G59" i="5"/>
  <c r="D58" i="5" l="1"/>
  <c r="L59" i="5"/>
  <c r="J59" i="5"/>
  <c r="B60" i="5"/>
  <c r="G60" i="5"/>
  <c r="B62" i="5" l="1"/>
  <c r="B63" i="5"/>
  <c r="D59" i="5"/>
  <c r="L60" i="5"/>
  <c r="J60" i="5"/>
  <c r="B61" i="5"/>
  <c r="G61" i="5"/>
  <c r="G63" i="5" l="1"/>
  <c r="D60" i="5"/>
  <c r="G62" i="5"/>
  <c r="L61" i="5"/>
  <c r="J61" i="5"/>
  <c r="B66" i="5"/>
  <c r="B64" i="5"/>
  <c r="G64" i="5"/>
  <c r="L63" i="5" l="1"/>
  <c r="J63" i="5"/>
  <c r="D61" i="5"/>
  <c r="L62" i="5"/>
  <c r="J62" i="5"/>
  <c r="L64" i="5"/>
  <c r="J64" i="5"/>
  <c r="B65" i="5"/>
  <c r="G65" i="5"/>
  <c r="D62" i="5" l="1"/>
  <c r="D63" i="5"/>
  <c r="G66" i="5"/>
  <c r="D64" i="5"/>
  <c r="D66" i="5"/>
  <c r="L65" i="5"/>
  <c r="J65" i="5"/>
  <c r="L66" i="5" l="1"/>
  <c r="J66" i="5"/>
  <c r="D65" i="5"/>
  <c r="K24" i="5" l="1"/>
  <c r="M24" i="5" s="1"/>
  <c r="K22" i="5"/>
  <c r="M22" i="5" s="1"/>
  <c r="K12" i="5"/>
  <c r="M12" i="5" s="1"/>
  <c r="K15" i="5"/>
  <c r="M15" i="5" s="1"/>
  <c r="K11" i="5"/>
  <c r="M11" i="5" s="1"/>
  <c r="K17" i="5"/>
  <c r="M17" i="5" s="1"/>
  <c r="K18" i="5"/>
  <c r="M18" i="5" s="1"/>
  <c r="K21" i="5"/>
  <c r="M21" i="5" s="1"/>
  <c r="K19" i="5"/>
  <c r="M19" i="5" s="1"/>
  <c r="K13" i="5"/>
  <c r="M13" i="5" s="1"/>
  <c r="K20" i="5"/>
  <c r="M20" i="5" s="1"/>
  <c r="K16" i="5"/>
  <c r="M16" i="5" s="1"/>
  <c r="K14" i="5"/>
  <c r="M14" i="5" s="1"/>
  <c r="K23" i="5"/>
  <c r="M23" i="5" s="1"/>
  <c r="K10" i="5"/>
  <c r="M10" i="5" s="1"/>
  <c r="K25" i="5"/>
  <c r="M25" i="5" s="1"/>
  <c r="K27" i="5"/>
  <c r="M27" i="5" s="1"/>
  <c r="K28" i="5"/>
  <c r="M28" i="5" s="1"/>
  <c r="K26" i="5"/>
  <c r="M26" i="5" s="1"/>
  <c r="K29" i="5"/>
  <c r="M29" i="5" s="1"/>
  <c r="K30" i="5"/>
  <c r="M30" i="5" s="1"/>
  <c r="K31" i="5"/>
  <c r="M31" i="5" s="1"/>
  <c r="K32" i="5"/>
  <c r="M32" i="5" s="1"/>
  <c r="K36" i="5"/>
  <c r="M36" i="5" s="1"/>
  <c r="K34" i="5"/>
  <c r="M34" i="5" s="1"/>
  <c r="K33" i="5"/>
  <c r="M33" i="5" s="1"/>
  <c r="K38" i="5"/>
  <c r="M38" i="5" s="1"/>
  <c r="K35" i="5"/>
  <c r="M35" i="5" s="1"/>
  <c r="K37" i="5"/>
  <c r="M37" i="5" s="1"/>
  <c r="K39" i="5"/>
  <c r="M39" i="5" s="1"/>
  <c r="K40" i="5"/>
  <c r="M40" i="5" s="1"/>
  <c r="K42" i="5"/>
  <c r="M42" i="5" s="1"/>
  <c r="K49" i="5"/>
  <c r="M49" i="5" s="1"/>
  <c r="K43" i="5"/>
  <c r="M43" i="5" s="1"/>
  <c r="K41" i="5"/>
  <c r="M41" i="5" s="1"/>
  <c r="K50" i="5"/>
  <c r="M50" i="5" s="1"/>
  <c r="K46" i="5"/>
  <c r="M46" i="5" s="1"/>
  <c r="K44" i="5"/>
  <c r="M44" i="5" s="1"/>
  <c r="K51" i="5"/>
  <c r="M51" i="5" s="1"/>
  <c r="K45" i="5"/>
  <c r="M45" i="5" s="1"/>
  <c r="K47" i="5"/>
  <c r="M47" i="5" s="1"/>
  <c r="K48" i="5"/>
  <c r="M48" i="5" s="1"/>
  <c r="K53" i="5"/>
  <c r="M53" i="5" s="1"/>
  <c r="K52" i="5"/>
  <c r="M52" i="5" s="1"/>
  <c r="K54" i="5"/>
  <c r="M54" i="5" s="1"/>
  <c r="K55" i="5"/>
  <c r="M55" i="5" s="1"/>
  <c r="K56" i="5"/>
  <c r="M56" i="5" s="1"/>
  <c r="K57" i="5"/>
  <c r="M57" i="5" s="1"/>
  <c r="K60" i="5"/>
  <c r="M60" i="5" s="1"/>
  <c r="K59" i="5"/>
  <c r="M59" i="5" s="1"/>
  <c r="K61" i="5"/>
  <c r="M61" i="5" s="1"/>
  <c r="K62" i="5"/>
  <c r="M62" i="5" s="1"/>
  <c r="K58" i="5"/>
  <c r="M58" i="5" s="1"/>
  <c r="K64" i="5"/>
  <c r="M64" i="5" s="1"/>
  <c r="K65" i="5"/>
  <c r="M65" i="5" s="1"/>
  <c r="K66" i="5"/>
  <c r="M66" i="5" s="1"/>
  <c r="K63" i="5"/>
  <c r="M63" i="5" s="1"/>
  <c r="F10" i="5" l="1"/>
  <c r="F24" i="5"/>
  <c r="F14" i="5"/>
  <c r="F12" i="5"/>
  <c r="F13" i="5"/>
  <c r="F23" i="5"/>
  <c r="F31" i="5"/>
  <c r="F11" i="5"/>
  <c r="F19" i="5"/>
  <c r="F20" i="5"/>
  <c r="F15" i="5"/>
  <c r="F16" i="5"/>
  <c r="F18" i="5"/>
  <c r="F25" i="5"/>
  <c r="F21" i="5"/>
  <c r="F17" i="5"/>
  <c r="F22" i="5"/>
  <c r="F30" i="5"/>
  <c r="F26" i="5"/>
  <c r="F29" i="5"/>
  <c r="F28" i="5"/>
  <c r="F27" i="5"/>
  <c r="F32" i="5"/>
  <c r="F36" i="5"/>
  <c r="F35" i="5"/>
  <c r="F38" i="5"/>
  <c r="F33" i="5"/>
  <c r="F37" i="5"/>
  <c r="F39" i="5"/>
  <c r="F34" i="5"/>
  <c r="F49" i="5"/>
  <c r="F41" i="5"/>
  <c r="F40" i="5"/>
  <c r="F45" i="5"/>
  <c r="F47" i="5"/>
  <c r="F50" i="5"/>
  <c r="F51" i="5"/>
  <c r="F43" i="5"/>
  <c r="F46" i="5"/>
  <c r="F48" i="5"/>
  <c r="F44" i="5"/>
  <c r="F52" i="5"/>
  <c r="F42" i="5"/>
  <c r="F54" i="5"/>
  <c r="F53" i="5"/>
  <c r="F55" i="5"/>
  <c r="F57" i="5"/>
  <c r="F59" i="5"/>
  <c r="F58" i="5"/>
  <c r="F56" i="5"/>
  <c r="F60" i="5"/>
  <c r="F64" i="5"/>
  <c r="F61" i="5"/>
  <c r="F63" i="5"/>
  <c r="F62" i="5"/>
  <c r="F65" i="5"/>
  <c r="F66" i="5"/>
  <c r="G8" i="5" l="1"/>
</calcChain>
</file>

<file path=xl/sharedStrings.xml><?xml version="1.0" encoding="utf-8"?>
<sst xmlns="http://schemas.openxmlformats.org/spreadsheetml/2006/main" count="115" uniqueCount="82">
  <si>
    <t>Id_industria</t>
  </si>
  <si>
    <t>Industria</t>
  </si>
  <si>
    <t>Descripcion</t>
  </si>
  <si>
    <t>Auxiliar</t>
  </si>
  <si>
    <t>Codigo</t>
  </si>
  <si>
    <t>Id_sector</t>
  </si>
  <si>
    <t>corr</t>
  </si>
  <si>
    <t>Sector</t>
  </si>
  <si>
    <t>Id_producto</t>
  </si>
  <si>
    <t>Corr</t>
  </si>
  <si>
    <t>Producto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</si>
  <si>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</si>
  <si>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</si>
  <si>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</si>
  <si>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</si>
  <si>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</si>
  <si>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</si>
  <si>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</si>
  <si>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</si>
  <si>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</si>
  <si>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</si>
  <si>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</si>
  <si>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</si>
  <si>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</si>
  <si>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</si>
  <si>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</si>
  <si>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</si>
  <si>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</si>
  <si>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</si>
  <si>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</si>
  <si>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</si>
  <si>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</si>
  <si>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</si>
  <si>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</si>
  <si>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</si>
  <si>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</si>
  <si>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</si>
  <si>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</si>
  <si>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</si>
  <si>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</si>
  <si>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</si>
  <si>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</si>
  <si>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</si>
  <si>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</si>
  <si>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</si>
  <si>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</si>
  <si>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</si>
  <si>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</si>
  <si>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</si>
  <si>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</si>
  <si>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MUJER-27</t>
  </si>
  <si>
    <t>Violencia</t>
  </si>
  <si>
    <t>Mujer-2701</t>
  </si>
  <si>
    <t>Delitos sexuales</t>
  </si>
  <si>
    <t>Delitos violentos</t>
  </si>
  <si>
    <t>Atenciones médicas</t>
  </si>
  <si>
    <t>Centros de la Mujer</t>
  </si>
  <si>
    <t>Casas de Acogida</t>
  </si>
  <si>
    <t>Salud</t>
  </si>
  <si>
    <t>Apremios Ilegíticos Violación, Abuso Sexual Agravado, Otros</t>
  </si>
  <si>
    <t>Acoso Laboral</t>
  </si>
  <si>
    <t>Atención por violación (con entrega de anticoncepción de emergencia)</t>
  </si>
  <si>
    <t>Atención por violación (sin entrega de anticoncepción de emergencia )</t>
  </si>
  <si>
    <t>Abuso sexual</t>
  </si>
  <si>
    <t>Otra violencia</t>
  </si>
  <si>
    <t>Violencia Física</t>
  </si>
  <si>
    <t>Violencia Intrafamiliar</t>
  </si>
  <si>
    <t>Orientación e Información</t>
  </si>
  <si>
    <t>Ingresos de años anteriores (por arrastre)</t>
  </si>
  <si>
    <t>Ingresos efectivos  de Mujeres</t>
  </si>
  <si>
    <t xml:space="preserve">Egreso </t>
  </si>
  <si>
    <t>Deserción</t>
  </si>
  <si>
    <t>Interrupción</t>
  </si>
  <si>
    <t>Derivacion</t>
  </si>
  <si>
    <t>Traslado</t>
  </si>
  <si>
    <t>Fallecimiento</t>
  </si>
  <si>
    <t>Pre ingresos de Mujeres</t>
  </si>
  <si>
    <t>Ingresos efectivos de Mujeres</t>
  </si>
  <si>
    <t>Ingresos de niños y niñas</t>
  </si>
  <si>
    <t>Egreso</t>
  </si>
  <si>
    <t>Retiro</t>
  </si>
  <si>
    <t xml:space="preserve">Fallecimiento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</si>
</sst>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0" fillId="3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2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6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6" borderId="0" xfId="0" applyNumberFormat="1" applyFont="1" applyFill="1"/>
    <xf numFmtId="0" fontId="0" fillId="7" borderId="0" xfId="0" applyFill="1" applyAlignment="1">
      <alignment horizontal="center" vertical="center"/>
    </xf>
    <xf numFmtId="0" fontId="0" fillId="7" borderId="0" xfId="0" applyFill="1"/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startItem="3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5" totalsRowShown="0">
  <autoFilter ref="A4:E5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1" totalsRowShown="0" headerRowDxfId="33" dataDxfId="32">
  <autoFilter ref="A10:H11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19" totalsRowShown="0">
  <autoFilter ref="A10:J19" xr:uid="{F612DA80-03BC-4D2D-B4B6-74414FA4CBCF}"/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66" totalsRowShown="0" headerRowDxfId="13">
  <autoFilter ref="A9:M66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5"/>
  <sheetViews>
    <sheetView showGridLines="0" tabSelected="1" zoomScaleNormal="100" workbookViewId="0">
      <pane ySplit="4" topLeftCell="A5" activePane="bottomLeft" state="frozen"/>
      <selection pane="bottomLeft" activeCell="E13" sqref="E13"/>
    </sheetView>
  </sheetViews>
  <sheetFormatPr baseColWidth="10" defaultColWidth="11.44140625" defaultRowHeight="14.4" x14ac:dyDescent="0.3"/>
  <cols>
    <col min="1" max="1" width="13.44140625" bestFit="1" customWidth="1"/>
    <col min="2" max="2" width="31.44140625" bestFit="1" customWidth="1"/>
    <col min="3" max="3" width="22.44140625" customWidth="1"/>
    <col min="4" max="4" width="26.44140625" bestFit="1" customWidth="1"/>
    <col min="5" max="5" width="70.44140625" bestFit="1" customWidth="1"/>
  </cols>
  <sheetData>
    <row r="4" spans="1:5" x14ac:dyDescent="0.3">
      <c r="A4" s="6" t="s">
        <v>0</v>
      </c>
      <c r="B4" s="13" t="s">
        <v>1</v>
      </c>
      <c r="C4" s="13" t="s">
        <v>2</v>
      </c>
      <c r="D4" s="13" t="s">
        <v>3</v>
      </c>
      <c r="E4" s="25" t="s">
        <v>4</v>
      </c>
    </row>
    <row r="5" spans="1:5" x14ac:dyDescent="0.3">
      <c r="A5" s="31">
        <v>27</v>
      </c>
      <c r="B5" s="32" t="s">
        <v>49</v>
      </c>
      <c r="C5" s="32" t="s">
        <v>50</v>
      </c>
      <c r="D5" s="32" t="str">
        <f>+"Industria: "&amp;Industria[[#This Row],[Descripcion]]</f>
        <v>Industria: MUJER-27</v>
      </c>
      <c r="E5" s="30" t="str">
        <f>+"INSERT INTO industria VALUES ("&amp;A5&amp;",'"&amp;B5&amp;"','"&amp;C5&amp;"','"&amp;D5&amp;"');"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1"/>
  <sheetViews>
    <sheetView showGridLines="0" zoomScaleNormal="100" workbookViewId="0">
      <pane ySplit="10" topLeftCell="A11" activePane="bottomLeft" state="frozen"/>
      <selection pane="bottomLeft" activeCell="G16" sqref="G16"/>
    </sheetView>
  </sheetViews>
  <sheetFormatPr baseColWidth="10" defaultColWidth="11.44140625" defaultRowHeight="14.4" x14ac:dyDescent="0.3"/>
  <cols>
    <col min="1" max="1" width="6.6640625" customWidth="1"/>
    <col min="2" max="2" width="18.6640625" bestFit="1" customWidth="1"/>
    <col min="3" max="3" width="6.33203125" customWidth="1"/>
    <col min="4" max="4" width="5.33203125" customWidth="1"/>
    <col min="5" max="5" width="26.44140625" customWidth="1"/>
    <col min="6" max="6" width="12.77734375" bestFit="1" customWidth="1"/>
    <col min="7" max="7" width="36.77734375" customWidth="1"/>
    <col min="8" max="8" width="59.109375" customWidth="1"/>
    <col min="9" max="9" width="13.33203125" bestFit="1" customWidth="1"/>
  </cols>
  <sheetData>
    <row r="9" spans="1:8" ht="14.55" customHeight="1" x14ac:dyDescent="0.3">
      <c r="H9" s="29">
        <f>+SUBTOTAL(3,Sector[Sector])</f>
        <v>1</v>
      </c>
    </row>
    <row r="10" spans="1:8" ht="24" x14ac:dyDescent="0.3">
      <c r="A10" s="6" t="s">
        <v>0</v>
      </c>
      <c r="B10" s="13" t="s">
        <v>1</v>
      </c>
      <c r="C10" s="6" t="s">
        <v>5</v>
      </c>
      <c r="D10" s="14" t="s">
        <v>6</v>
      </c>
      <c r="E10" s="13" t="s">
        <v>7</v>
      </c>
      <c r="F10" s="13" t="s">
        <v>2</v>
      </c>
      <c r="G10" s="13" t="s">
        <v>3</v>
      </c>
      <c r="H10" s="25" t="s">
        <v>4</v>
      </c>
    </row>
    <row r="11" spans="1:8" ht="20.399999999999999" x14ac:dyDescent="0.3">
      <c r="A11" s="17">
        <v>27</v>
      </c>
      <c r="B11" s="3" t="str">
        <f>+VLOOKUP(Sector[[#This Row],[Id_industria]],Industria[[Id_industria]:[Industria]],2,0)</f>
        <v>Mujeres</v>
      </c>
      <c r="C11" s="17">
        <f t="shared" ref="C11" si="0">+A11*100+D11</f>
        <v>2701</v>
      </c>
      <c r="D11" s="5">
        <v>1</v>
      </c>
      <c r="E11" s="2" t="s">
        <v>51</v>
      </c>
      <c r="F11" s="3" t="s">
        <v>52</v>
      </c>
      <c r="G11" s="3" t="str">
        <f>+"Sector: "&amp;Sector[[#This Row],[Descripcion]]&amp;" | "&amp;VLOOKUP(Sector[[#This Row],[Id_industria]],Industria[[Id_industria]:[Auxiliar]],4,0)</f>
        <v>Sector: Mujer-2701 | Industria: MUJER-27</v>
      </c>
      <c r="H11" s="22" t="str">
        <f t="shared" ref="H11" si="1">+"INSERT INTO sector VALUES ("&amp;C11&amp;",'"&amp;E11&amp;"','"&amp;F11&amp;"','"&amp;G11&amp;"',"&amp;A11&amp;");"</f>
        <v>INSERT INTO sector VALUES (2701,'Violencia','Mujer-2701','Sector: Mujer-2701 | Industria: MUJER-27',27);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19"/>
  <sheetViews>
    <sheetView showGridLines="0" workbookViewId="0">
      <pane ySplit="10" topLeftCell="A11" activePane="bottomLeft" state="frozen"/>
      <selection pane="bottomLeft" activeCell="H17" sqref="H17"/>
    </sheetView>
  </sheetViews>
  <sheetFormatPr baseColWidth="10" defaultColWidth="11.44140625" defaultRowHeight="14.4" x14ac:dyDescent="0.3"/>
  <cols>
    <col min="1" max="1" width="5.6640625" customWidth="1"/>
    <col min="2" max="2" width="15.77734375" customWidth="1"/>
    <col min="3" max="3" width="5.77734375" customWidth="1"/>
    <col min="4" max="4" width="21" customWidth="1"/>
    <col min="5" max="5" width="7.6640625" customWidth="1"/>
    <col min="6" max="6" width="5.6640625" customWidth="1"/>
    <col min="7" max="7" width="25.33203125" customWidth="1"/>
    <col min="8" max="8" width="14.44140625" customWidth="1"/>
    <col min="9" max="9" width="33" customWidth="1"/>
    <col min="10" max="10" width="64.77734375" customWidth="1"/>
  </cols>
  <sheetData>
    <row r="7" spans="1:12" ht="18" customHeight="1" x14ac:dyDescent="0.3"/>
    <row r="9" spans="1:12" x14ac:dyDescent="0.3">
      <c r="J9" s="29">
        <f>+SUBTOTAL(3,Productos[Producto])</f>
        <v>9</v>
      </c>
    </row>
    <row r="10" spans="1:12" ht="31.2" customHeight="1" x14ac:dyDescent="0.3">
      <c r="A10" s="6" t="s">
        <v>0</v>
      </c>
      <c r="B10" s="13" t="s">
        <v>1</v>
      </c>
      <c r="C10" s="6" t="s">
        <v>5</v>
      </c>
      <c r="D10" s="13" t="s">
        <v>7</v>
      </c>
      <c r="E10" s="6" t="s">
        <v>8</v>
      </c>
      <c r="F10" s="14" t="s">
        <v>9</v>
      </c>
      <c r="G10" s="13" t="s">
        <v>10</v>
      </c>
      <c r="H10" s="13" t="s">
        <v>2</v>
      </c>
      <c r="I10" s="13" t="s">
        <v>3</v>
      </c>
      <c r="J10" s="24" t="s">
        <v>4</v>
      </c>
    </row>
    <row r="11" spans="1:12" ht="24" x14ac:dyDescent="0.3">
      <c r="A11" s="15">
        <v>27</v>
      </c>
      <c r="B11" s="4" t="str">
        <f>+VLOOKUP(Productos[[#This Row],[Id_industria]],Industria[[Id_industria]:[Industria]],2,0)</f>
        <v>Mujeres</v>
      </c>
      <c r="C11" s="15">
        <v>2701</v>
      </c>
      <c r="D11" s="4" t="str">
        <f>+VLOOKUP(Productos[[#This Row],[Id_sector]],Sector[[Id_sector]:[Sector]],3,0)</f>
        <v>Violencia</v>
      </c>
      <c r="E11" s="15">
        <f t="shared" ref="E11:E19" si="0">+C11*100+F11</f>
        <v>270101</v>
      </c>
      <c r="F11" s="16">
        <v>1</v>
      </c>
      <c r="G11" s="3" t="s">
        <v>13</v>
      </c>
      <c r="H11" s="3" t="s">
        <v>11</v>
      </c>
      <c r="I11" s="3" t="str">
        <f>+"Prod: "&amp;Productos[[#This Row],[Descripcion]]&amp;"-"&amp;Productos[[#This Row],[Id_producto]]&amp;" | "&amp;VLOOKUP(Productos[[#This Row],[Id_sector]],Sector[[Id_sector]:[Auxiliar]],5,0)</f>
        <v>Prod: Delitos-270101 | Sector: Mujer-2701 | Industria: MUJER-27</v>
      </c>
      <c r="J11" s="23" t="str">
        <f>+"INSERT INTO producto VALUES ("&amp;E11&amp;",'"&amp;G11&amp;"','"&amp;H11&amp;"','"&amp;I11&amp;"',"&amp;C11&amp;");"</f>
        <v>INSERT INTO producto VALUES (270101,'Delitos Cometidos por Empleados y Funcionarios Públicos','Delitos','Prod: Delitos-270101 | Sector: Mujer-2701 | Industria: MUJER-27',2701);</v>
      </c>
      <c r="L11" t="str">
        <f>+Productos[[#This Row],[Id_producto]]&amp;" Producto|| "&amp;Productos[[#This Row],[Producto]]</f>
        <v>270101 Producto|| Delitos Cometidos por Empleados y Funcionarios Públicos</v>
      </c>
    </row>
    <row r="12" spans="1:12" ht="24" x14ac:dyDescent="0.3">
      <c r="A12" s="15">
        <f>+A11</f>
        <v>27</v>
      </c>
      <c r="B12" s="4" t="str">
        <f>+VLOOKUP(Productos[[#This Row],[Id_industria]],Industria[[Id_industria]:[Industria]],2,0)</f>
        <v>Mujeres</v>
      </c>
      <c r="C12" s="15">
        <f t="shared" ref="C12:C19" si="1">+IF(F12=1,C11+1,C11)</f>
        <v>2701</v>
      </c>
      <c r="D12" s="4" t="str">
        <f>+VLOOKUP(Productos[[#This Row],[Id_sector]],Sector[[Id_sector]:[Sector]],3,0)</f>
        <v>Violencia</v>
      </c>
      <c r="E12" s="15">
        <f t="shared" si="0"/>
        <v>270102</v>
      </c>
      <c r="F12" s="16">
        <v>2</v>
      </c>
      <c r="G12" s="3" t="s">
        <v>53</v>
      </c>
      <c r="H12" s="3" t="s">
        <v>11</v>
      </c>
      <c r="I12" s="3" t="str">
        <f>+"Prod: "&amp;Productos[[#This Row],[Descripcion]]&amp;"-"&amp;Productos[[#This Row],[Id_producto]]&amp;" | "&amp;VLOOKUP(Productos[[#This Row],[Id_sector]],Sector[[Id_sector]:[Auxiliar]],5,0)</f>
        <v>Prod: Delitos-270102 | Sector: Mujer-2701 | Industria: MUJER-27</v>
      </c>
      <c r="J12" s="23" t="str">
        <f t="shared" ref="J12:J19" si="2">+"INSERT INTO producto VALUES ("&amp;E12&amp;",'"&amp;G12&amp;"','"&amp;H12&amp;"','"&amp;I12&amp;"',"&amp;C12&amp;");"</f>
        <v>INSERT INTO producto VALUES (270102,'Delitos sexuales','Delitos','Prod: Delitos-270102 | Sector: Mujer-2701 | Industria: MUJER-27',2701);</v>
      </c>
      <c r="L12" t="str">
        <f>+Productos[[#This Row],[Id_producto]]&amp;" Producto|| "&amp;Productos[[#This Row],[Producto]]</f>
        <v>270102 Producto|| Delitos sexuales</v>
      </c>
    </row>
    <row r="13" spans="1:12" ht="24" x14ac:dyDescent="0.3">
      <c r="A13" s="15">
        <f t="shared" ref="A13:A19" si="3">+A12</f>
        <v>27</v>
      </c>
      <c r="B13" s="4" t="str">
        <f>+VLOOKUP(Productos[[#This Row],[Id_industria]],Industria[[Id_industria]:[Industria]],2,0)</f>
        <v>Mujeres</v>
      </c>
      <c r="C13" s="15">
        <f t="shared" si="1"/>
        <v>2701</v>
      </c>
      <c r="D13" s="4" t="str">
        <f>+VLOOKUP(Productos[[#This Row],[Id_sector]],Sector[[Id_sector]:[Sector]],3,0)</f>
        <v>Violencia</v>
      </c>
      <c r="E13" s="15">
        <f t="shared" si="0"/>
        <v>270103</v>
      </c>
      <c r="F13" s="16">
        <v>3</v>
      </c>
      <c r="G13" s="3" t="s">
        <v>54</v>
      </c>
      <c r="H13" s="3" t="s">
        <v>11</v>
      </c>
      <c r="I13" s="3" t="str">
        <f>+"Prod: "&amp;Productos[[#This Row],[Descripcion]]&amp;"-"&amp;Productos[[#This Row],[Id_producto]]&amp;" | "&amp;VLOOKUP(Productos[[#This Row],[Id_sector]],Sector[[Id_sector]:[Auxiliar]],5,0)</f>
        <v>Prod: Delitos-270103 | Sector: Mujer-2701 | Industria: MUJER-27</v>
      </c>
      <c r="J13" s="23" t="str">
        <f t="shared" si="2"/>
        <v>INSERT INTO producto VALUES (270103,'Delitos violentos','Delitos','Prod: Delitos-270103 | Sector: Mujer-2701 | Industria: MUJER-27',2701);</v>
      </c>
      <c r="L13" t="str">
        <f>+Productos[[#This Row],[Id_producto]]&amp;" Producto|| "&amp;Productos[[#This Row],[Producto]]</f>
        <v>270103 Producto|| Delitos violentos</v>
      </c>
    </row>
    <row r="14" spans="1:12" ht="24" x14ac:dyDescent="0.3">
      <c r="A14" s="15">
        <f t="shared" si="3"/>
        <v>27</v>
      </c>
      <c r="B14" s="4" t="str">
        <f>+VLOOKUP(Productos[[#This Row],[Id_industria]],Industria[[Id_industria]:[Industria]],2,0)</f>
        <v>Mujeres</v>
      </c>
      <c r="C14" s="15">
        <f t="shared" si="1"/>
        <v>2701</v>
      </c>
      <c r="D14" s="4" t="str">
        <f>+VLOOKUP(Productos[[#This Row],[Id_sector]],Sector[[Id_sector]:[Sector]],3,0)</f>
        <v>Violencia</v>
      </c>
      <c r="E14" s="15">
        <f t="shared" si="0"/>
        <v>270104</v>
      </c>
      <c r="F14" s="16">
        <v>4</v>
      </c>
      <c r="G14" s="3" t="s">
        <v>15</v>
      </c>
      <c r="H14" s="3" t="s">
        <v>11</v>
      </c>
      <c r="I14" s="3" t="str">
        <f>+"Prod: "&amp;Productos[[#This Row],[Descripcion]]&amp;"-"&amp;Productos[[#This Row],[Id_producto]]&amp;" | "&amp;VLOOKUP(Productos[[#This Row],[Id_sector]],Sector[[Id_sector]:[Auxiliar]],5,0)</f>
        <v>Prod: Delitos-270104 | Sector: Mujer-2701 | Industria: MUJER-27</v>
      </c>
      <c r="J14" s="23" t="str">
        <f t="shared" si="2"/>
        <v>INSERT INTO producto VALUES (270104,'Delitos Contra el Estado Civil y la Familia','Delitos','Prod: Delitos-270104 | Sector: Mujer-2701 | Industria: MUJER-27',2701);</v>
      </c>
      <c r="L14" t="str">
        <f>+Productos[[#This Row],[Id_producto]]&amp;" Producto|| "&amp;Productos[[#This Row],[Producto]]</f>
        <v>270104 Producto|| Delitos Contra el Estado Civil y la Familia</v>
      </c>
    </row>
    <row r="15" spans="1:12" ht="24" x14ac:dyDescent="0.3">
      <c r="A15" s="15">
        <f t="shared" si="3"/>
        <v>27</v>
      </c>
      <c r="B15" s="4" t="str">
        <f>+VLOOKUP(Productos[[#This Row],[Id_industria]],Industria[[Id_industria]:[Industria]],2,0)</f>
        <v>Mujeres</v>
      </c>
      <c r="C15" s="15">
        <f t="shared" si="1"/>
        <v>2701</v>
      </c>
      <c r="D15" s="4" t="str">
        <f>+VLOOKUP(Productos[[#This Row],[Id_sector]],Sector[[Id_sector]:[Sector]],3,0)</f>
        <v>Violencia</v>
      </c>
      <c r="E15" s="15">
        <f t="shared" si="0"/>
        <v>270105</v>
      </c>
      <c r="F15" s="16">
        <v>5</v>
      </c>
      <c r="G15" s="3" t="s">
        <v>12</v>
      </c>
      <c r="H15" s="3" t="s">
        <v>11</v>
      </c>
      <c r="I15" s="3" t="str">
        <f>+"Prod: "&amp;Productos[[#This Row],[Descripcion]]&amp;"-"&amp;Productos[[#This Row],[Id_producto]]&amp;" | "&amp;VLOOKUP(Productos[[#This Row],[Id_sector]],Sector[[Id_sector]:[Auxiliar]],5,0)</f>
        <v>Prod: Delitos-270105 | Sector: Mujer-2701 | Industria: MUJER-27</v>
      </c>
      <c r="J15" s="23" t="str">
        <f t="shared" si="2"/>
        <v>INSERT INTO producto VALUES (270105,'Delitos Contra la Vida, Integridad o Dignidad Personal','Delitos','Prod: Delitos-270105 | Sector: Mujer-2701 | Industria: MUJER-27',2701);</v>
      </c>
      <c r="L15" t="str">
        <f>+Productos[[#This Row],[Id_producto]]&amp;" Producto|| "&amp;Productos[[#This Row],[Producto]]</f>
        <v>270105 Producto|| Delitos Contra la Vida, Integridad o Dignidad Personal</v>
      </c>
    </row>
    <row r="16" spans="1:12" ht="24" x14ac:dyDescent="0.3">
      <c r="A16" s="15">
        <f t="shared" si="3"/>
        <v>27</v>
      </c>
      <c r="B16" s="4" t="str">
        <f>+VLOOKUP(Productos[[#This Row],[Id_industria]],Industria[[Id_industria]:[Industria]],2,0)</f>
        <v>Mujeres</v>
      </c>
      <c r="C16" s="15">
        <f t="shared" si="1"/>
        <v>2701</v>
      </c>
      <c r="D16" s="4" t="str">
        <f>+VLOOKUP(Productos[[#This Row],[Id_sector]],Sector[[Id_sector]:[Sector]],3,0)</f>
        <v>Violencia</v>
      </c>
      <c r="E16" s="15">
        <f t="shared" si="0"/>
        <v>270106</v>
      </c>
      <c r="F16" s="16">
        <v>6</v>
      </c>
      <c r="G16" s="3" t="s">
        <v>14</v>
      </c>
      <c r="H16" s="3" t="s">
        <v>11</v>
      </c>
      <c r="I16" s="3" t="str">
        <f>+"Prod: "&amp;Productos[[#This Row],[Descripcion]]&amp;"-"&amp;Productos[[#This Row],[Id_producto]]&amp;" | "&amp;VLOOKUP(Productos[[#This Row],[Id_sector]],Sector[[Id_sector]:[Auxiliar]],5,0)</f>
        <v>Prod: Delitos-270106 | Sector: Mujer-2701 | Industria: MUJER-27</v>
      </c>
      <c r="J16" s="23" t="str">
        <f t="shared" si="2"/>
        <v>INSERT INTO producto VALUES (270106,'Delitos Contra la Intimidad y la Libertad','Delitos','Prod: Delitos-270106 | Sector: Mujer-2701 | Industria: MUJER-27',2701);</v>
      </c>
      <c r="L16" t="str">
        <f>+Productos[[#This Row],[Id_producto]]&amp;" Producto|| "&amp;Productos[[#This Row],[Producto]]</f>
        <v>270106 Producto|| Delitos Contra la Intimidad y la Libertad</v>
      </c>
    </row>
    <row r="17" spans="1:12" ht="24" x14ac:dyDescent="0.3">
      <c r="A17" s="15">
        <f t="shared" si="3"/>
        <v>27</v>
      </c>
      <c r="B17" s="4" t="str">
        <f>+VLOOKUP(Productos[[#This Row],[Id_industria]],Industria[[Id_industria]:[Industria]],2,0)</f>
        <v>Mujeres</v>
      </c>
      <c r="C17" s="15">
        <f t="shared" si="1"/>
        <v>2701</v>
      </c>
      <c r="D17" s="4" t="str">
        <f>+VLOOKUP(Productos[[#This Row],[Id_sector]],Sector[[Id_sector]:[Sector]],3,0)</f>
        <v>Violencia</v>
      </c>
      <c r="E17" s="15">
        <f t="shared" si="0"/>
        <v>270107</v>
      </c>
      <c r="F17" s="16">
        <v>7</v>
      </c>
      <c r="G17" s="3" t="s">
        <v>55</v>
      </c>
      <c r="H17" s="3" t="s">
        <v>58</v>
      </c>
      <c r="I17" s="3" t="str">
        <f>+"Prod: "&amp;Productos[[#This Row],[Descripcion]]&amp;"-"&amp;Productos[[#This Row],[Id_producto]]&amp;" | "&amp;VLOOKUP(Productos[[#This Row],[Id_sector]],Sector[[Id_sector]:[Auxiliar]],5,0)</f>
        <v>Prod: Salud-270107 | Sector: Mujer-2701 | Industria: MUJER-27</v>
      </c>
      <c r="J17" s="23" t="str">
        <f t="shared" si="2"/>
        <v>INSERT INTO producto VALUES (270107,'Atenciones médicas','Salud','Prod: Salud-270107 | Sector: Mujer-2701 | Industria: MUJER-27',2701);</v>
      </c>
      <c r="L17" t="str">
        <f>+Productos[[#This Row],[Id_producto]]&amp;" Producto|| "&amp;Productos[[#This Row],[Producto]]</f>
        <v>270107 Producto|| Atenciones médicas</v>
      </c>
    </row>
    <row r="18" spans="1:12" ht="24" x14ac:dyDescent="0.3">
      <c r="A18" s="15">
        <f t="shared" si="3"/>
        <v>27</v>
      </c>
      <c r="B18" s="4" t="str">
        <f>+VLOOKUP(Productos[[#This Row],[Id_industria]],Industria[[Id_industria]:[Industria]],2,0)</f>
        <v>Mujeres</v>
      </c>
      <c r="C18" s="15">
        <f t="shared" si="1"/>
        <v>2701</v>
      </c>
      <c r="D18" s="4" t="str">
        <f>+VLOOKUP(Productos[[#This Row],[Id_sector]],Sector[[Id_sector]:[Sector]],3,0)</f>
        <v>Violencia</v>
      </c>
      <c r="E18" s="15">
        <f t="shared" si="0"/>
        <v>270108</v>
      </c>
      <c r="F18" s="16">
        <v>8</v>
      </c>
      <c r="G18" s="3" t="s">
        <v>56</v>
      </c>
      <c r="H18" s="3" t="s">
        <v>58</v>
      </c>
      <c r="I18" s="3" t="str">
        <f>+"Prod: "&amp;Productos[[#This Row],[Descripcion]]&amp;"-"&amp;Productos[[#This Row],[Id_producto]]&amp;" | "&amp;VLOOKUP(Productos[[#This Row],[Id_sector]],Sector[[Id_sector]:[Auxiliar]],5,0)</f>
        <v>Prod: Salud-270108 | Sector: Mujer-2701 | Industria: MUJER-27</v>
      </c>
      <c r="J18" s="23" t="str">
        <f t="shared" si="2"/>
        <v>INSERT INTO producto VALUES (270108,'Centros de la Mujer','Salud','Prod: Salud-270108 | Sector: Mujer-2701 | Industria: MUJER-27',2701);</v>
      </c>
      <c r="L18" t="str">
        <f>+Productos[[#This Row],[Id_producto]]&amp;" Producto|| "&amp;Productos[[#This Row],[Producto]]</f>
        <v>270108 Producto|| Centros de la Mujer</v>
      </c>
    </row>
    <row r="19" spans="1:12" ht="24" x14ac:dyDescent="0.3">
      <c r="A19" s="15">
        <f t="shared" si="3"/>
        <v>27</v>
      </c>
      <c r="B19" s="4" t="str">
        <f>+VLOOKUP(Productos[[#This Row],[Id_industria]],Industria[[Id_industria]:[Industria]],2,0)</f>
        <v>Mujeres</v>
      </c>
      <c r="C19" s="15">
        <f t="shared" si="1"/>
        <v>2701</v>
      </c>
      <c r="D19" s="4" t="str">
        <f>+VLOOKUP(Productos[[#This Row],[Id_sector]],Sector[[Id_sector]:[Sector]],3,0)</f>
        <v>Violencia</v>
      </c>
      <c r="E19" s="15">
        <f t="shared" si="0"/>
        <v>270109</v>
      </c>
      <c r="F19" s="16">
        <v>9</v>
      </c>
      <c r="G19" s="3" t="s">
        <v>57</v>
      </c>
      <c r="H19" s="3" t="s">
        <v>58</v>
      </c>
      <c r="I19" s="3" t="str">
        <f>+"Prod: "&amp;Productos[[#This Row],[Descripcion]]&amp;"-"&amp;Productos[[#This Row],[Id_producto]]&amp;" | "&amp;VLOOKUP(Productos[[#This Row],[Id_sector]],Sector[[Id_sector]:[Auxiliar]],5,0)</f>
        <v>Prod: Salud-270109 | Sector: Mujer-2701 | Industria: MUJER-27</v>
      </c>
      <c r="J19" s="23" t="str">
        <f t="shared" si="2"/>
        <v>INSERT INTO producto VALUES (270109,'Casas de Acogida','Salud','Prod: Salud-270109 | Sector: Mujer-2701 | Industria: MUJER-27',2701);</v>
      </c>
      <c r="L19" t="str">
        <f>+Productos[[#This Row],[Id_producto]]&amp;" Producto|| "&amp;Productos[[#This Row],[Producto]]</f>
        <v>270109 Producto|| Casas de Acogida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66"/>
  <sheetViews>
    <sheetView showGridLines="0" workbookViewId="0">
      <pane ySplit="9" topLeftCell="A10" activePane="bottomLeft" state="frozen"/>
      <selection pane="bottomLeft" activeCell="G7" sqref="G7"/>
    </sheetView>
  </sheetViews>
  <sheetFormatPr baseColWidth="10" defaultColWidth="11.44140625" defaultRowHeight="14.4" x14ac:dyDescent="0.3"/>
  <cols>
    <col min="1" max="1" width="6.44140625" customWidth="1"/>
    <col min="2" max="2" width="16.6640625" customWidth="1"/>
    <col min="3" max="3" width="7.6640625" customWidth="1"/>
    <col min="4" max="4" width="18.77734375" customWidth="1"/>
    <col min="5" max="5" width="9.109375" customWidth="1"/>
    <col min="6" max="6" width="26.6640625" customWidth="1"/>
    <col min="7" max="7" width="10.6640625" customWidth="1"/>
    <col min="8" max="8" width="4.77734375" customWidth="1"/>
    <col min="9" max="9" width="21.77734375" customWidth="1"/>
    <col min="10" max="10" width="24.44140625" customWidth="1"/>
    <col min="11" max="11" width="29.44140625" customWidth="1"/>
    <col min="12" max="12" width="20.109375" customWidth="1"/>
    <col min="13" max="13" width="49.33203125" customWidth="1"/>
  </cols>
  <sheetData>
    <row r="8" spans="1:13" x14ac:dyDescent="0.3">
      <c r="E8" s="12"/>
      <c r="G8" s="12">
        <f>+SUBTOTAL(3,Categorias[Id_categoría])</f>
        <v>57</v>
      </c>
    </row>
    <row r="9" spans="1:13" ht="26.55" customHeight="1" x14ac:dyDescent="0.3">
      <c r="A9" s="6" t="s">
        <v>0</v>
      </c>
      <c r="B9" s="18" t="s">
        <v>1</v>
      </c>
      <c r="C9" s="6" t="s">
        <v>5</v>
      </c>
      <c r="D9" s="18" t="s">
        <v>7</v>
      </c>
      <c r="E9" s="6" t="s">
        <v>8</v>
      </c>
      <c r="F9" s="18" t="s">
        <v>10</v>
      </c>
      <c r="G9" s="6" t="s">
        <v>16</v>
      </c>
      <c r="H9" s="1" t="s">
        <v>9</v>
      </c>
      <c r="I9" s="18" t="s">
        <v>17</v>
      </c>
      <c r="J9" s="19" t="s">
        <v>2</v>
      </c>
      <c r="K9" s="19" t="s">
        <v>3</v>
      </c>
      <c r="L9" s="1" t="s">
        <v>18</v>
      </c>
      <c r="M9" s="20" t="s">
        <v>4</v>
      </c>
    </row>
    <row r="10" spans="1:13" ht="30.6" x14ac:dyDescent="0.3">
      <c r="A10" s="10">
        <v>27</v>
      </c>
      <c r="B10" s="8" t="str">
        <f>+VLOOKUP(A10,Industria[],2,0)</f>
        <v>Mujeres</v>
      </c>
      <c r="C10" s="10">
        <v>2701</v>
      </c>
      <c r="D10" s="8" t="str">
        <f>+VLOOKUP(C10,Sector[[Id_sector]:[Codigo]],3,0)</f>
        <v>Violencia</v>
      </c>
      <c r="E10" s="10">
        <v>270101</v>
      </c>
      <c r="F10" s="8" t="str">
        <f>+VLOOKUP(E10,Productos[[Id_producto]:[Codigo]],3,0)</f>
        <v>Delitos Cometidos por Empleados y Funcionarios Públicos</v>
      </c>
      <c r="G10" s="11">
        <f>+E10*1000+H10</f>
        <v>270101001</v>
      </c>
      <c r="H10" s="7">
        <v>1</v>
      </c>
      <c r="I10" s="8" t="s">
        <v>59</v>
      </c>
      <c r="J10" s="8" t="str">
        <f>+Categorias[[#This Row],[Categoría]]&amp;"-"&amp;Categorias[[#This Row],[Id_categoría]]</f>
        <v>Apremios Ilegíticos Violación, Abuso Sexual Agravado, Otros-270101001</v>
      </c>
      <c r="K10" s="9" t="str">
        <f>+Categorias[[#This Row],[Descripcion]]&amp;" | "&amp;VLOOKUP(Categorias[[#This Row],[Id_producto]],Productos[[Id_producto]:[Auxiliar]],5,0)</f>
        <v>Apremios Ilegíticos Violación, Abuso Sexual Agravado, Otros-270101001 | Prod: Delitos-270101 | Sector: Mujer-2701 | Industria: MUJER-27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270101001apremios_ilegiticos_violacion,_abuso_sexual_agravado,_otros</v>
      </c>
      <c r="M10" s="21" t="str">
        <f t="shared" ref="M10:M65" si="0">+"INSERT INTO categoria VALUES ("&amp;G10&amp;",'"&amp;I10&amp;"','"&amp;J10&amp;"','"&amp;K10&amp;"',"&amp;E10&amp;");"</f>
        <v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v>
      </c>
    </row>
    <row r="11" spans="1:13" ht="30.6" x14ac:dyDescent="0.3">
      <c r="A11" s="10">
        <f>+A10</f>
        <v>27</v>
      </c>
      <c r="B11" s="8" t="str">
        <f>+VLOOKUP(A11,Industria[],2,0)</f>
        <v>Mujeres</v>
      </c>
      <c r="C11" s="10">
        <f>+C10</f>
        <v>2701</v>
      </c>
      <c r="D11" s="8" t="str">
        <f>+VLOOKUP(C11,Sector[[Id_sector]:[Codigo]],3,0)</f>
        <v>Violencia</v>
      </c>
      <c r="E11" s="10">
        <f t="shared" ref="E11:E66" si="1">+IF(H11=1,E10+1,E10)</f>
        <v>270102</v>
      </c>
      <c r="F11" s="8" t="str">
        <f>+VLOOKUP(E11,Productos[[Id_producto]:[Codigo]],3,0)</f>
        <v>Delitos sexuales</v>
      </c>
      <c r="G11" s="11">
        <f t="shared" ref="G11:G65" si="2">+E11*1000+H11</f>
        <v>270102001</v>
      </c>
      <c r="H11" s="7">
        <v>1</v>
      </c>
      <c r="I11" s="8" t="s">
        <v>19</v>
      </c>
      <c r="J11" s="8" t="str">
        <f>+Categorias[[#This Row],[Categoría]]&amp;"-"&amp;Categorias[[#This Row],[Id_categoría]]</f>
        <v>Estupro-270102001</v>
      </c>
      <c r="K11" s="9" t="str">
        <f>+Categorias[[#This Row],[Descripcion]]&amp;" | "&amp;VLOOKUP(Categorias[[#This Row],[Id_producto]],Productos[[Id_producto]:[Auxiliar]],5,0)</f>
        <v>Estupro-270102001 | Prod: Delitos-270102 | Sector: Mujer-2701 | Industria: MUJER-27</v>
      </c>
      <c r="L11" s="9" t="str">
        <f t="shared" ref="L11:L65" si="3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270102001estupro</v>
      </c>
      <c r="M11" s="21" t="str">
        <f t="shared" si="0"/>
        <v>INSERT INTO categoria VALUES (270102001,'Estupro','Estupro-270102001','Estupro-270102001 | Prod: Delitos-270102 | Sector: Mujer-2701 | Industria: MUJER-27',270102);</v>
      </c>
    </row>
    <row r="12" spans="1:13" ht="30.6" x14ac:dyDescent="0.3">
      <c r="A12" s="10">
        <f t="shared" ref="A12:A66" si="4">+A11</f>
        <v>27</v>
      </c>
      <c r="B12" s="8" t="str">
        <f>+VLOOKUP(A12,Industria[],2,0)</f>
        <v>Mujeres</v>
      </c>
      <c r="C12" s="10">
        <f t="shared" ref="C12:C66" si="5">+C11</f>
        <v>2701</v>
      </c>
      <c r="D12" s="8" t="str">
        <f>+VLOOKUP(C12,Sector[[Id_sector]:[Codigo]],3,0)</f>
        <v>Violencia</v>
      </c>
      <c r="E12" s="10">
        <f t="shared" si="1"/>
        <v>270102</v>
      </c>
      <c r="F12" s="8" t="str">
        <f>+VLOOKUP(E12,Productos[[Id_producto]:[Codigo]],3,0)</f>
        <v>Delitos sexuales</v>
      </c>
      <c r="G12" s="11">
        <f t="shared" si="2"/>
        <v>270102002</v>
      </c>
      <c r="H12" s="7">
        <v>2</v>
      </c>
      <c r="I12" s="8" t="s">
        <v>20</v>
      </c>
      <c r="J12" s="8" t="str">
        <f>+Categorias[[#This Row],[Categoría]]&amp;"-"&amp;Categorias[[#This Row],[Id_categoría]]</f>
        <v>Violación-270102002</v>
      </c>
      <c r="K12" s="9" t="str">
        <f>+Categorias[[#This Row],[Descripcion]]&amp;" | "&amp;VLOOKUP(Categorias[[#This Row],[Id_producto]],Productos[[Id_producto]:[Auxiliar]],5,0)</f>
        <v>Violación-270102002 | Prod: Delitos-270102 | Sector: Mujer-2701 | Industria: MUJER-27</v>
      </c>
      <c r="L12" s="9" t="str">
        <f t="shared" si="3"/>
        <v>270102002violacion</v>
      </c>
      <c r="M12" s="21" t="str">
        <f t="shared" si="0"/>
        <v>INSERT INTO categoria VALUES (270102002,'Violación','Violación-270102002','Violación-270102002 | Prod: Delitos-270102 | Sector: Mujer-2701 | Industria: MUJER-27',270102);</v>
      </c>
    </row>
    <row r="13" spans="1:13" ht="40.799999999999997" x14ac:dyDescent="0.3">
      <c r="A13" s="10">
        <f t="shared" si="4"/>
        <v>27</v>
      </c>
      <c r="B13" s="8" t="str">
        <f>+VLOOKUP(A13,Industria[],2,0)</f>
        <v>Mujeres</v>
      </c>
      <c r="C13" s="10">
        <f t="shared" si="5"/>
        <v>2701</v>
      </c>
      <c r="D13" s="8" t="str">
        <f>+VLOOKUP(C13,Sector[[Id_sector]:[Codigo]],3,0)</f>
        <v>Violencia</v>
      </c>
      <c r="E13" s="10">
        <f t="shared" si="1"/>
        <v>270102</v>
      </c>
      <c r="F13" s="8" t="str">
        <f>+VLOOKUP(E13,Productos[[Id_producto]:[Codigo]],3,0)</f>
        <v>Delitos sexuales</v>
      </c>
      <c r="G13" s="11">
        <f t="shared" si="2"/>
        <v>270102003</v>
      </c>
      <c r="H13" s="7">
        <v>3</v>
      </c>
      <c r="I13" s="8" t="s">
        <v>21</v>
      </c>
      <c r="J13" s="8" t="str">
        <f>+Categorias[[#This Row],[Categoría]]&amp;"-"&amp;Categorias[[#This Row],[Id_categoría]]</f>
        <v>Abuso Sexual (Sólo Crimen)-270102003</v>
      </c>
      <c r="K13" s="9" t="str">
        <f>+Categorias[[#This Row],[Descripcion]]&amp;" | "&amp;VLOOKUP(Categorias[[#This Row],[Id_producto]],Productos[[Id_producto]:[Auxiliar]],5,0)</f>
        <v>Abuso Sexual (Sólo Crimen)-270102003 | Prod: Delitos-270102 | Sector: Mujer-2701 | Industria: MUJER-27</v>
      </c>
      <c r="L13" s="9" t="str">
        <f t="shared" si="3"/>
        <v>270102003abuso_sexual_(solo_crimen)</v>
      </c>
      <c r="M13" s="21" t="str">
        <f t="shared" si="0"/>
        <v>INSERT INTO categoria VALUES (270102003,'Abuso Sexual (Sólo Crimen)','Abuso Sexual (Sólo Crimen)-270102003','Abuso Sexual (Sólo Crimen)-270102003 | Prod: Delitos-270102 | Sector: Mujer-2701 | Industria: MUJER-27',270102);</v>
      </c>
    </row>
    <row r="14" spans="1:13" ht="30.6" x14ac:dyDescent="0.3">
      <c r="A14" s="10">
        <f t="shared" si="4"/>
        <v>27</v>
      </c>
      <c r="B14" s="8" t="str">
        <f>+VLOOKUP(A14,Industria[],2,0)</f>
        <v>Mujeres</v>
      </c>
      <c r="C14" s="10">
        <f t="shared" si="5"/>
        <v>2701</v>
      </c>
      <c r="D14" s="8" t="str">
        <f>+VLOOKUP(C14,Sector[[Id_sector]:[Codigo]],3,0)</f>
        <v>Violencia</v>
      </c>
      <c r="E14" s="10">
        <f t="shared" si="1"/>
        <v>270102</v>
      </c>
      <c r="F14" s="8" t="str">
        <f>+VLOOKUP(E14,Productos[[Id_producto]:[Codigo]],3,0)</f>
        <v>Delitos sexuales</v>
      </c>
      <c r="G14" s="11">
        <f t="shared" si="2"/>
        <v>270102004</v>
      </c>
      <c r="H14" s="7">
        <v>4</v>
      </c>
      <c r="I14" s="8" t="s">
        <v>22</v>
      </c>
      <c r="J14" s="8" t="str">
        <f>+Categorias[[#This Row],[Categoría]]&amp;"-"&amp;Categorias[[#This Row],[Id_categoría]]</f>
        <v>Abuso Sexual Adulto-270102004</v>
      </c>
      <c r="K14" s="9" t="str">
        <f>+Categorias[[#This Row],[Descripcion]]&amp;" | "&amp;VLOOKUP(Categorias[[#This Row],[Id_producto]],Productos[[Id_producto]:[Auxiliar]],5,0)</f>
        <v>Abuso Sexual Adulto-270102004 | Prod: Delitos-270102 | Sector: Mujer-2701 | Industria: MUJER-27</v>
      </c>
      <c r="L14" s="9" t="str">
        <f t="shared" si="3"/>
        <v>270102004abuso_sexual_adulto</v>
      </c>
      <c r="M14" s="21" t="str">
        <f t="shared" si="0"/>
        <v>INSERT INTO categoria VALUES (270102004,'Abuso Sexual Adulto','Abuso Sexual Adulto-270102004','Abuso Sexual Adulto-270102004 | Prod: Delitos-270102 | Sector: Mujer-2701 | Industria: MUJER-27',270102);</v>
      </c>
    </row>
    <row r="15" spans="1:13" ht="51" x14ac:dyDescent="0.3">
      <c r="A15" s="10">
        <f t="shared" si="4"/>
        <v>27</v>
      </c>
      <c r="B15" s="8" t="str">
        <f>+VLOOKUP(A15,Industria[],2,0)</f>
        <v>Mujeres</v>
      </c>
      <c r="C15" s="10">
        <f t="shared" si="5"/>
        <v>2701</v>
      </c>
      <c r="D15" s="8" t="str">
        <f>+VLOOKUP(C15,Sector[[Id_sector]:[Codigo]],3,0)</f>
        <v>Violencia</v>
      </c>
      <c r="E15" s="10">
        <f t="shared" si="1"/>
        <v>270102</v>
      </c>
      <c r="F15" s="8" t="str">
        <f>+VLOOKUP(E15,Productos[[Id_producto]:[Codigo]],3,0)</f>
        <v>Delitos sexuales</v>
      </c>
      <c r="G15" s="11">
        <f t="shared" si="2"/>
        <v>270102005</v>
      </c>
      <c r="H15" s="7">
        <v>5</v>
      </c>
      <c r="I15" s="8" t="s">
        <v>23</v>
      </c>
      <c r="J15" s="8" t="str">
        <f>+Categorias[[#This Row],[Categoría]]&amp;"-"&amp;Categorias[[#This Row],[Id_categoría]]</f>
        <v>Abuso Sexual Calificado c/Introduccion Objetos O Uso Animal-270102005</v>
      </c>
      <c r="K15" s="9" t="str">
        <f>+Categorias[[#This Row],[Descripcion]]&amp;" | "&amp;VLOOKUP(Categorias[[#This Row],[Id_producto]],Productos[[Id_producto]:[Auxiliar]],5,0)</f>
        <v>Abuso Sexual Calificado c/Introduccion Objetos O Uso Animal-270102005 | Prod: Delitos-270102 | Sector: Mujer-2701 | Industria: MUJER-27</v>
      </c>
      <c r="L15" s="9" t="str">
        <f t="shared" si="3"/>
        <v>270102005abuso_sexual_calificado_c/introduccion_objetos_o_uso_animal</v>
      </c>
      <c r="M15" s="21" t="str">
        <f t="shared" si="0"/>
        <v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v>
      </c>
    </row>
    <row r="16" spans="1:13" ht="40.799999999999997" x14ac:dyDescent="0.3">
      <c r="A16" s="10">
        <f t="shared" si="4"/>
        <v>27</v>
      </c>
      <c r="B16" s="8" t="str">
        <f>+VLOOKUP(A16,Industria[],2,0)</f>
        <v>Mujeres</v>
      </c>
      <c r="C16" s="10">
        <f t="shared" si="5"/>
        <v>2701</v>
      </c>
      <c r="D16" s="8" t="str">
        <f>+VLOOKUP(C16,Sector[[Id_sector]:[Codigo]],3,0)</f>
        <v>Violencia</v>
      </c>
      <c r="E16" s="10">
        <f t="shared" si="1"/>
        <v>270102</v>
      </c>
      <c r="F16" s="8" t="str">
        <f>+VLOOKUP(E16,Productos[[Id_producto]:[Codigo]],3,0)</f>
        <v>Delitos sexuales</v>
      </c>
      <c r="G16" s="11">
        <f t="shared" si="2"/>
        <v>270102006</v>
      </c>
      <c r="H16" s="7">
        <v>6</v>
      </c>
      <c r="I16" s="8" t="s">
        <v>24</v>
      </c>
      <c r="J16" s="8" t="str">
        <f>+Categorias[[#This Row],[Categoría]]&amp;"-"&amp;Categorias[[#This Row],[Id_categoría]]</f>
        <v>Abuso Sexual Con Contacto De Menor De 14 Años-270102006</v>
      </c>
      <c r="K16" s="9" t="str">
        <f>+Categorias[[#This Row],[Descripcion]]&amp;" | "&amp;VLOOKUP(Categorias[[#This Row],[Id_producto]],Productos[[Id_producto]:[Auxiliar]],5,0)</f>
        <v>Abuso Sexual Con Contacto De Menor De 14 Años-270102006 | Prod: Delitos-270102 | Sector: Mujer-2701 | Industria: MUJER-27</v>
      </c>
      <c r="L16" s="9" t="str">
        <f t="shared" si="3"/>
        <v>270102006abuso_sexual_con_contacto_de_menor_de_14_años</v>
      </c>
      <c r="M16" s="21" t="str">
        <f t="shared" si="0"/>
        <v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v>
      </c>
    </row>
    <row r="17" spans="1:13" ht="51" x14ac:dyDescent="0.3">
      <c r="A17" s="10">
        <f t="shared" si="4"/>
        <v>27</v>
      </c>
      <c r="B17" s="8" t="str">
        <f>+VLOOKUP(A17,Industria[],2,0)</f>
        <v>Mujeres</v>
      </c>
      <c r="C17" s="10">
        <f t="shared" si="5"/>
        <v>2701</v>
      </c>
      <c r="D17" s="8" t="str">
        <f>+VLOOKUP(C17,Sector[[Id_sector]:[Codigo]],3,0)</f>
        <v>Violencia</v>
      </c>
      <c r="E17" s="10">
        <f t="shared" si="1"/>
        <v>270102</v>
      </c>
      <c r="F17" s="8" t="str">
        <f>+VLOOKUP(E17,Productos[[Id_producto]:[Codigo]],3,0)</f>
        <v>Delitos sexuales</v>
      </c>
      <c r="G17" s="11">
        <f t="shared" si="2"/>
        <v>270102007</v>
      </c>
      <c r="H17" s="7">
        <v>7</v>
      </c>
      <c r="I17" s="8" t="s">
        <v>25</v>
      </c>
      <c r="J17" s="8" t="str">
        <f>+Categorias[[#This Row],[Categoría]]&amp;"-"&amp;Categorias[[#This Row],[Id_categoría]]</f>
        <v>Abuso Sexual De 14 Años A Menor De 18 Años Con Circunstancia Estupro-270102007</v>
      </c>
      <c r="K17" s="9" t="str">
        <f>+Categorias[[#This Row],[Descripcion]]&amp;" | "&amp;VLOOKUP(Categorias[[#This Row],[Id_producto]],Productos[[Id_producto]:[Auxiliar]],5,0)</f>
        <v>Abuso Sexual De 14 Años A Menor De 18 Años Con Circunstancia Estupro-270102007 | Prod: Delitos-270102 | Sector: Mujer-2701 | Industria: MUJER-27</v>
      </c>
      <c r="L17" s="9" t="str">
        <f t="shared" si="3"/>
        <v>270102007abuso_sexual_de_14_años_a_menor_de_18_años_con_circunstancia_estupro</v>
      </c>
      <c r="M17" s="21" t="str">
        <f t="shared" si="0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v>
      </c>
    </row>
    <row r="18" spans="1:13" ht="51" x14ac:dyDescent="0.3">
      <c r="A18" s="10">
        <f t="shared" si="4"/>
        <v>27</v>
      </c>
      <c r="B18" s="8" t="str">
        <f>+VLOOKUP(A18,Industria[],2,0)</f>
        <v>Mujeres</v>
      </c>
      <c r="C18" s="10">
        <f t="shared" si="5"/>
        <v>2701</v>
      </c>
      <c r="D18" s="8" t="str">
        <f>+VLOOKUP(C18,Sector[[Id_sector]:[Codigo]],3,0)</f>
        <v>Violencia</v>
      </c>
      <c r="E18" s="10">
        <f t="shared" si="1"/>
        <v>270102</v>
      </c>
      <c r="F18" s="8" t="str">
        <f>+VLOOKUP(E18,Productos[[Id_producto]:[Codigo]],3,0)</f>
        <v>Delitos sexuales</v>
      </c>
      <c r="G18" s="11">
        <f t="shared" si="2"/>
        <v>270102008</v>
      </c>
      <c r="H18" s="7">
        <v>8</v>
      </c>
      <c r="I18" s="8" t="s">
        <v>26</v>
      </c>
      <c r="J18" s="8" t="str">
        <f>+Categorias[[#This Row],[Categoría]]&amp;"-"&amp;Categorias[[#This Row],[Id_categoría]]</f>
        <v>Abuso Sexual De Mayor De 14 (Con Circunstancias De Violación)-270102008</v>
      </c>
      <c r="K18" s="9" t="str">
        <f>+Categorias[[#This Row],[Descripcion]]&amp;" | "&amp;VLOOKUP(Categorias[[#This Row],[Id_producto]],Productos[[Id_producto]:[Auxiliar]],5,0)</f>
        <v>Abuso Sexual De Mayor De 14 (Con Circunstancias De Violación)-270102008 | Prod: Delitos-270102 | Sector: Mujer-2701 | Industria: MUJER-27</v>
      </c>
      <c r="L18" s="9" t="str">
        <f t="shared" si="3"/>
        <v>270102008abuso_sexual_de_mayor_de_14_(con_circunstancias_de_violacion)</v>
      </c>
      <c r="M18" s="21" t="str">
        <f t="shared" si="0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v>
      </c>
    </row>
    <row r="19" spans="1:13" ht="51" x14ac:dyDescent="0.3">
      <c r="A19" s="10">
        <f t="shared" si="4"/>
        <v>27</v>
      </c>
      <c r="B19" s="8" t="str">
        <f>+VLOOKUP(A19,Industria[],2,0)</f>
        <v>Mujeres</v>
      </c>
      <c r="C19" s="10">
        <f t="shared" si="5"/>
        <v>2701</v>
      </c>
      <c r="D19" s="8" t="str">
        <f>+VLOOKUP(C19,Sector[[Id_sector]:[Codigo]],3,0)</f>
        <v>Violencia</v>
      </c>
      <c r="E19" s="10">
        <f t="shared" si="1"/>
        <v>270102</v>
      </c>
      <c r="F19" s="8" t="str">
        <f>+VLOOKUP(E19,Productos[[Id_producto]:[Codigo]],3,0)</f>
        <v>Delitos sexuales</v>
      </c>
      <c r="G19" s="11">
        <f t="shared" si="2"/>
        <v>270102009</v>
      </c>
      <c r="H19" s="7">
        <v>9</v>
      </c>
      <c r="I19" s="8" t="s">
        <v>27</v>
      </c>
      <c r="J19" s="8" t="str">
        <f>+Categorias[[#This Row],[Categoría]]&amp;"-"&amp;Categorias[[#This Row],[Id_categoría]]</f>
        <v>Abuso Sexual Mayor 14 /Sorpresa Sin Consentimiento-270102009</v>
      </c>
      <c r="K19" s="9" t="str">
        <f>+Categorias[[#This Row],[Descripcion]]&amp;" | "&amp;VLOOKUP(Categorias[[#This Row],[Id_producto]],Productos[[Id_producto]:[Auxiliar]],5,0)</f>
        <v>Abuso Sexual Mayor 14 /Sorpresa Sin Consentimiento-270102009 | Prod: Delitos-270102 | Sector: Mujer-2701 | Industria: MUJER-27</v>
      </c>
      <c r="L19" s="9" t="str">
        <f t="shared" si="3"/>
        <v>270102009abuso_sexual_mayor_14_/sorpresa_sin_consentimiento</v>
      </c>
      <c r="M19" s="21" t="str">
        <f t="shared" si="0"/>
        <v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v>
      </c>
    </row>
    <row r="20" spans="1:13" ht="30.6" x14ac:dyDescent="0.3">
      <c r="A20" s="10">
        <f t="shared" si="4"/>
        <v>27</v>
      </c>
      <c r="B20" s="8" t="str">
        <f>+VLOOKUP(A20,Industria[],2,0)</f>
        <v>Mujeres</v>
      </c>
      <c r="C20" s="10">
        <f t="shared" si="5"/>
        <v>2701</v>
      </c>
      <c r="D20" s="8" t="str">
        <f>+VLOOKUP(C20,Sector[[Id_sector]:[Codigo]],3,0)</f>
        <v>Violencia</v>
      </c>
      <c r="E20" s="10">
        <f t="shared" si="1"/>
        <v>270102</v>
      </c>
      <c r="F20" s="8" t="str">
        <f>+VLOOKUP(E20,Productos[[Id_producto]:[Codigo]],3,0)</f>
        <v>Delitos sexuales</v>
      </c>
      <c r="G20" s="11">
        <f t="shared" ref="G20:G25" si="6">+E20*1000+H20</f>
        <v>270102010</v>
      </c>
      <c r="H20" s="7">
        <v>10</v>
      </c>
      <c r="I20" s="8" t="s">
        <v>28</v>
      </c>
      <c r="J20" s="26" t="str">
        <f>+Categorias[[#This Row],[Categoría]]&amp;"-"&amp;Categorias[[#This Row],[Id_categoría]]</f>
        <v>Abuso Sexual Sin Contacto-270102010</v>
      </c>
      <c r="K20" s="27" t="str">
        <f>+Categorias[[#This Row],[Descripcion]]&amp;" | "&amp;VLOOKUP(Categorias[[#This Row],[Id_producto]],Productos[[Id_producto]:[Auxiliar]],5,0)</f>
        <v>Abuso Sexual Sin Contacto-270102010 | Prod: Delitos-270102 | Sector: Mujer-2701 | Industria: MUJER-27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270102010abuso_sexual_sin_contacto</v>
      </c>
      <c r="M20" s="28" t="str">
        <f t="shared" ref="M20:M25" si="8">+"INSERT INTO categoria VALUES ("&amp;G20&amp;",'"&amp;I20&amp;"','"&amp;J20&amp;"','"&amp;K20&amp;"',"&amp;E20&amp;");"</f>
        <v>INSERT INTO categoria VALUES (270102010,'Abuso Sexual Sin Contacto','Abuso Sexual Sin Contacto-270102010','Abuso Sexual Sin Contacto-270102010 | Prod: Delitos-270102 | Sector: Mujer-2701 | Industria: MUJER-27',270102);</v>
      </c>
    </row>
    <row r="21" spans="1:13" ht="40.799999999999997" x14ac:dyDescent="0.3">
      <c r="A21" s="10">
        <f t="shared" si="4"/>
        <v>27</v>
      </c>
      <c r="B21" s="8" t="str">
        <f>+VLOOKUP(A21,Industria[],2,0)</f>
        <v>Mujeres</v>
      </c>
      <c r="C21" s="10">
        <f t="shared" si="5"/>
        <v>2701</v>
      </c>
      <c r="D21" s="8" t="str">
        <f>+VLOOKUP(C21,Sector[[Id_sector]:[Codigo]],3,0)</f>
        <v>Violencia</v>
      </c>
      <c r="E21" s="10">
        <f t="shared" si="1"/>
        <v>270102</v>
      </c>
      <c r="F21" s="8" t="str">
        <f>+VLOOKUP(E21,Productos[[Id_producto]:[Codigo]],3,0)</f>
        <v>Delitos sexuales</v>
      </c>
      <c r="G21" s="11">
        <f t="shared" si="6"/>
        <v>270102011</v>
      </c>
      <c r="H21" s="7">
        <v>11</v>
      </c>
      <c r="I21" s="8" t="s">
        <v>29</v>
      </c>
      <c r="J21" s="26" t="str">
        <f>+Categorias[[#This Row],[Categoría]]&amp;"-"&amp;Categorias[[#This Row],[Id_categoría]]</f>
        <v>Delitos De Signifación Sexual-270102011</v>
      </c>
      <c r="K21" s="27" t="str">
        <f>+Categorias[[#This Row],[Descripcion]]&amp;" | "&amp;VLOOKUP(Categorias[[#This Row],[Id_producto]],Productos[[Id_producto]:[Auxiliar]],5,0)</f>
        <v>Delitos De Signifación Sexual-270102011 | Prod: Delitos-270102 | Sector: Mujer-2701 | Industria: MUJER-27</v>
      </c>
      <c r="L21" s="9" t="str">
        <f t="shared" si="7"/>
        <v>270102011delitos_de_signifacion_sexual</v>
      </c>
      <c r="M21" s="28" t="str">
        <f t="shared" si="8"/>
        <v>INSERT INTO categoria VALUES (270102011,'Delitos De Signifación Sexual','Delitos De Signifación Sexual-270102011','Delitos De Signifación Sexual-270102011 | Prod: Delitos-270102 | Sector: Mujer-2701 | Industria: MUJER-27',270102);</v>
      </c>
    </row>
    <row r="22" spans="1:13" ht="51" x14ac:dyDescent="0.3">
      <c r="A22" s="10">
        <f t="shared" si="4"/>
        <v>27</v>
      </c>
      <c r="B22" s="8" t="str">
        <f>+VLOOKUP(A22,Industria[],2,0)</f>
        <v>Mujeres</v>
      </c>
      <c r="C22" s="10">
        <f t="shared" si="5"/>
        <v>2701</v>
      </c>
      <c r="D22" s="8" t="str">
        <f>+VLOOKUP(C22,Sector[[Id_sector]:[Codigo]],3,0)</f>
        <v>Violencia</v>
      </c>
      <c r="E22" s="10">
        <f t="shared" si="1"/>
        <v>270102</v>
      </c>
      <c r="F22" s="8" t="str">
        <f>+VLOOKUP(E22,Productos[[Id_producto]:[Codigo]],3,0)</f>
        <v>Delitos sexuales</v>
      </c>
      <c r="G22" s="11">
        <f t="shared" si="6"/>
        <v>270102012</v>
      </c>
      <c r="H22" s="7">
        <v>12</v>
      </c>
      <c r="I22" s="8" t="s">
        <v>30</v>
      </c>
      <c r="J22" s="26" t="str">
        <f>+Categorias[[#This Row],[Categoría]]&amp;"-"&amp;Categorias[[#This Row],[Id_categoría]]</f>
        <v>Producción De Material Pornógrafico Utilizando Menores 18 Años-270102012</v>
      </c>
      <c r="K22" s="27" t="str">
        <f>+Categorias[[#This Row],[Descripcion]]&amp;" | "&amp;VLOOKUP(Categorias[[#This Row],[Id_producto]],Productos[[Id_producto]:[Auxiliar]],5,0)</f>
        <v>Producción De Material Pornógrafico Utilizando Menores 18 Años-270102012 | Prod: Delitos-270102 | Sector: Mujer-2701 | Industria: MUJER-27</v>
      </c>
      <c r="L22" s="9" t="str">
        <f t="shared" si="7"/>
        <v>270102012produccion_de_material_pornografico_utilizando_menores_18_años</v>
      </c>
      <c r="M22" s="28" t="str">
        <f t="shared" si="8"/>
        <v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v>
      </c>
    </row>
    <row r="23" spans="1:13" ht="40.799999999999997" x14ac:dyDescent="0.3">
      <c r="A23" s="10">
        <f t="shared" si="4"/>
        <v>27</v>
      </c>
      <c r="B23" s="8" t="str">
        <f>+VLOOKUP(A23,Industria[],2,0)</f>
        <v>Mujeres</v>
      </c>
      <c r="C23" s="10">
        <f t="shared" si="5"/>
        <v>2701</v>
      </c>
      <c r="D23" s="8" t="str">
        <f>+VLOOKUP(C23,Sector[[Id_sector]:[Codigo]],3,0)</f>
        <v>Violencia</v>
      </c>
      <c r="E23" s="10">
        <f t="shared" si="1"/>
        <v>270102</v>
      </c>
      <c r="F23" s="8" t="str">
        <f>+VLOOKUP(E23,Productos[[Id_producto]:[Codigo]],3,0)</f>
        <v>Delitos sexuales</v>
      </c>
      <c r="G23" s="11">
        <f t="shared" si="6"/>
        <v>270102013</v>
      </c>
      <c r="H23" s="7">
        <v>13</v>
      </c>
      <c r="I23" s="8" t="s">
        <v>31</v>
      </c>
      <c r="J23" s="26" t="str">
        <f>+Categorias[[#This Row],[Categoría]]&amp;"-"&amp;Categorias[[#This Row],[Id_categoría]]</f>
        <v>Promover O Facilitar Prostitucion De Menores-270102013</v>
      </c>
      <c r="K23" s="27" t="str">
        <f>+Categorias[[#This Row],[Descripcion]]&amp;" | "&amp;VLOOKUP(Categorias[[#This Row],[Id_producto]],Productos[[Id_producto]:[Auxiliar]],5,0)</f>
        <v>Promover O Facilitar Prostitucion De Menores-270102013 | Prod: Delitos-270102 | Sector: Mujer-2701 | Industria: MUJER-27</v>
      </c>
      <c r="L23" s="9" t="str">
        <f t="shared" si="7"/>
        <v>270102013promover_o_facilitar_prostitucion_de_menores</v>
      </c>
      <c r="M23" s="28" t="str">
        <f t="shared" si="8"/>
        <v>INSERT INTO categoria VALUES (270102013,'Promover O Facilitar Prostitucion De Menores','Promover O Facilitar Prostitucion De Menores-270102013','Promover O Facilitar Prostitucion De Menores-270102013 | Prod: Delitos-270102 | Sector: Mujer-2701 | Industria: MUJER-27',270102);</v>
      </c>
    </row>
    <row r="24" spans="1:13" ht="40.799999999999997" x14ac:dyDescent="0.3">
      <c r="A24" s="10">
        <f t="shared" si="4"/>
        <v>27</v>
      </c>
      <c r="B24" s="8" t="str">
        <f>+VLOOKUP(A24,Industria[],2,0)</f>
        <v>Mujeres</v>
      </c>
      <c r="C24" s="10">
        <f t="shared" si="5"/>
        <v>2701</v>
      </c>
      <c r="D24" s="8" t="str">
        <f>+VLOOKUP(C24,Sector[[Id_sector]:[Codigo]],3,0)</f>
        <v>Violencia</v>
      </c>
      <c r="E24" s="10">
        <f t="shared" si="1"/>
        <v>270102</v>
      </c>
      <c r="F24" s="8" t="str">
        <f>+VLOOKUP(E24,Productos[[Id_producto]:[Codigo]],3,0)</f>
        <v>Delitos sexuales</v>
      </c>
      <c r="G24" s="11">
        <f t="shared" si="6"/>
        <v>270102014</v>
      </c>
      <c r="H24" s="7">
        <v>14</v>
      </c>
      <c r="I24" s="8" t="s">
        <v>32</v>
      </c>
      <c r="J24" s="26" t="str">
        <f>+Categorias[[#This Row],[Categoría]]&amp;"-"&amp;Categorias[[#This Row],[Id_categoría]]</f>
        <v>Violación De Mayor De 14 Años-270102014</v>
      </c>
      <c r="K24" s="27" t="str">
        <f>+Categorias[[#This Row],[Descripcion]]&amp;" | "&amp;VLOOKUP(Categorias[[#This Row],[Id_producto]],Productos[[Id_producto]:[Auxiliar]],5,0)</f>
        <v>Violación De Mayor De 14 Años-270102014 | Prod: Delitos-270102 | Sector: Mujer-2701 | Industria: MUJER-27</v>
      </c>
      <c r="L24" s="9" t="str">
        <f t="shared" si="7"/>
        <v>270102014violacion_de_mayor_de_14_años</v>
      </c>
      <c r="M24" s="28" t="str">
        <f t="shared" si="8"/>
        <v>INSERT INTO categoria VALUES (270102014,'Violación De Mayor De 14 Años','Violación De Mayor De 14 Años-270102014','Violación De Mayor De 14 Años-270102014 | Prod: Delitos-270102 | Sector: Mujer-2701 | Industria: MUJER-27',270102);</v>
      </c>
    </row>
    <row r="25" spans="1:13" ht="40.799999999999997" x14ac:dyDescent="0.3">
      <c r="A25" s="10">
        <f t="shared" si="4"/>
        <v>27</v>
      </c>
      <c r="B25" s="8" t="str">
        <f>+VLOOKUP(A25,Industria[],2,0)</f>
        <v>Mujeres</v>
      </c>
      <c r="C25" s="10">
        <f t="shared" si="5"/>
        <v>2701</v>
      </c>
      <c r="D25" s="8" t="str">
        <f>+VLOOKUP(C25,Sector[[Id_sector]:[Codigo]],3,0)</f>
        <v>Violencia</v>
      </c>
      <c r="E25" s="10">
        <f t="shared" si="1"/>
        <v>270102</v>
      </c>
      <c r="F25" s="8" t="str">
        <f>+VLOOKUP(E25,Productos[[Id_producto]:[Codigo]],3,0)</f>
        <v>Delitos sexuales</v>
      </c>
      <c r="G25" s="11">
        <f t="shared" si="6"/>
        <v>270102015</v>
      </c>
      <c r="H25" s="7">
        <v>15</v>
      </c>
      <c r="I25" s="8" t="s">
        <v>33</v>
      </c>
      <c r="J25" s="26" t="str">
        <f>+Categorias[[#This Row],[Categoría]]&amp;"-"&amp;Categorias[[#This Row],[Id_categoría]]</f>
        <v>Violación De Menor De 14 Años-270102015</v>
      </c>
      <c r="K25" s="27" t="str">
        <f>+Categorias[[#This Row],[Descripcion]]&amp;" | "&amp;VLOOKUP(Categorias[[#This Row],[Id_producto]],Productos[[Id_producto]:[Auxiliar]],5,0)</f>
        <v>Violación De Menor De 14 Años-270102015 | Prod: Delitos-270102 | Sector: Mujer-2701 | Industria: MUJER-27</v>
      </c>
      <c r="L25" s="9" t="str">
        <f t="shared" si="7"/>
        <v>270102015violacion_de_menor_de_14_años</v>
      </c>
      <c r="M25" s="28" t="str">
        <f t="shared" si="8"/>
        <v>INSERT INTO categoria VALUES (270102015,'Violación De Menor De 14 Años','Violación De Menor De 14 Años-270102015','Violación De Menor De 14 Años-270102015 | Prod: Delitos-270102 | Sector: Mujer-2701 | Industria: MUJER-27',270102);</v>
      </c>
    </row>
    <row r="26" spans="1:13" ht="40.799999999999997" x14ac:dyDescent="0.3">
      <c r="A26" s="10">
        <f t="shared" si="4"/>
        <v>27</v>
      </c>
      <c r="B26" s="8" t="str">
        <f>+VLOOKUP(A26,Industria[],2,0)</f>
        <v>Mujeres</v>
      </c>
      <c r="C26" s="10">
        <f t="shared" si="5"/>
        <v>2701</v>
      </c>
      <c r="D26" s="8" t="str">
        <f>+VLOOKUP(C26,Sector[[Id_sector]:[Codigo]],3,0)</f>
        <v>Violencia</v>
      </c>
      <c r="E26" s="10">
        <f t="shared" si="1"/>
        <v>270102</v>
      </c>
      <c r="F26" s="8" t="str">
        <f>+VLOOKUP(E26,Productos[[Id_producto]:[Codigo]],3,0)</f>
        <v>Delitos sexuales</v>
      </c>
      <c r="G26" s="11">
        <f t="shared" si="2"/>
        <v>270102016</v>
      </c>
      <c r="H26" s="7">
        <v>16</v>
      </c>
      <c r="I26" s="8" t="s">
        <v>34</v>
      </c>
      <c r="J26" s="8" t="str">
        <f>+Categorias[[#This Row],[Categoría]]&amp;"-"&amp;Categorias[[#This Row],[Id_categoría]]</f>
        <v>Acoso Sexual Lugares Públicos /Libre Acceso Público-270102016</v>
      </c>
      <c r="K26" s="9" t="str">
        <f>+Categorias[[#This Row],[Descripcion]]&amp;" | "&amp;VLOOKUP(Categorias[[#This Row],[Id_producto]],Productos[[Id_producto]:[Auxiliar]],5,0)</f>
        <v>Acoso Sexual Lugares Públicos /Libre Acceso Público-270102016 | Prod: Delitos-270102 | Sector: Mujer-2701 | Industria: MUJER-27</v>
      </c>
      <c r="L26" s="9" t="str">
        <f t="shared" si="3"/>
        <v>270102016acoso_sexual_lugares_publicos_/libre_acceso_publico</v>
      </c>
      <c r="M26" s="21" t="str">
        <f t="shared" si="0"/>
        <v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v>
      </c>
    </row>
    <row r="27" spans="1:13" ht="40.799999999999997" x14ac:dyDescent="0.3">
      <c r="A27" s="10">
        <f t="shared" si="4"/>
        <v>27</v>
      </c>
      <c r="B27" s="8" t="str">
        <f>+VLOOKUP(A27,Industria[],2,0)</f>
        <v>Mujeres</v>
      </c>
      <c r="C27" s="10">
        <f t="shared" si="5"/>
        <v>2701</v>
      </c>
      <c r="D27" s="8" t="str">
        <f>+VLOOKUP(C27,Sector[[Id_sector]:[Codigo]],3,0)</f>
        <v>Violencia</v>
      </c>
      <c r="E27" s="10">
        <f t="shared" si="1"/>
        <v>270102</v>
      </c>
      <c r="F27" s="8" t="str">
        <f>+VLOOKUP(E27,Productos[[Id_producto]:[Codigo]],3,0)</f>
        <v>Delitos sexuales</v>
      </c>
      <c r="G27" s="11">
        <f t="shared" si="2"/>
        <v>270102017</v>
      </c>
      <c r="H27" s="7">
        <v>17</v>
      </c>
      <c r="I27" s="8" t="s">
        <v>35</v>
      </c>
      <c r="J27" s="8" t="str">
        <f>+Categorias[[#This Row],[Categoría]]&amp;"-"&amp;Categorias[[#This Row],[Id_categoría]]</f>
        <v>Violación Con Homicidio O Femicidio-270102017</v>
      </c>
      <c r="K27" s="9" t="str">
        <f>+Categorias[[#This Row],[Descripcion]]&amp;" | "&amp;VLOOKUP(Categorias[[#This Row],[Id_producto]],Productos[[Id_producto]:[Auxiliar]],5,0)</f>
        <v>Violación Con Homicidio O Femicidio-270102017 | Prod: Delitos-270102 | Sector: Mujer-2701 | Industria: MUJER-27</v>
      </c>
      <c r="L27" s="9" t="str">
        <f t="shared" si="3"/>
        <v>270102017violacion_con_homicidio_o_femicidio</v>
      </c>
      <c r="M27" s="21" t="str">
        <f t="shared" si="0"/>
        <v>INSERT INTO categoria VALUES (270102017,'Violación Con Homicidio O Femicidio','Violación Con Homicidio O Femicidio-270102017','Violación Con Homicidio O Femicidio-270102017 | Prod: Delitos-270102 | Sector: Mujer-2701 | Industria: MUJER-27',270102);</v>
      </c>
    </row>
    <row r="28" spans="1:13" ht="40.799999999999997" x14ac:dyDescent="0.3">
      <c r="A28" s="10">
        <f t="shared" si="4"/>
        <v>27</v>
      </c>
      <c r="B28" s="8" t="str">
        <f>+VLOOKUP(A28,Industria[],2,0)</f>
        <v>Mujeres</v>
      </c>
      <c r="C28" s="10">
        <f t="shared" si="5"/>
        <v>2701</v>
      </c>
      <c r="D28" s="8" t="str">
        <f>+VLOOKUP(C28,Sector[[Id_sector]:[Codigo]],3,0)</f>
        <v>Violencia</v>
      </c>
      <c r="E28" s="10">
        <f t="shared" si="1"/>
        <v>270102</v>
      </c>
      <c r="F28" s="8" t="str">
        <f>+VLOOKUP(E28,Productos[[Id_producto]:[Codigo]],3,0)</f>
        <v>Delitos sexuales</v>
      </c>
      <c r="G28" s="11">
        <f t="shared" si="2"/>
        <v>270102018</v>
      </c>
      <c r="H28" s="7">
        <v>18</v>
      </c>
      <c r="I28" s="8" t="s">
        <v>36</v>
      </c>
      <c r="J28" s="8" t="str">
        <f>+Categorias[[#This Row],[Categoría]]&amp;"-"&amp;Categorias[[#This Row],[Id_categoría]]</f>
        <v>Difusión De Material Pornográfico-270102018</v>
      </c>
      <c r="K28" s="9" t="str">
        <f>+Categorias[[#This Row],[Descripcion]]&amp;" | "&amp;VLOOKUP(Categorias[[#This Row],[Id_producto]],Productos[[Id_producto]:[Auxiliar]],5,0)</f>
        <v>Difusión De Material Pornográfico-270102018 | Prod: Delitos-270102 | Sector: Mujer-2701 | Industria: MUJER-27</v>
      </c>
      <c r="L28" s="9" t="str">
        <f t="shared" si="3"/>
        <v>270102018difusion_de_material_pornografico</v>
      </c>
      <c r="M28" s="21" t="str">
        <f t="shared" si="0"/>
        <v>INSERT INTO categoria VALUES (270102018,'Difusión De Material Pornográfico','Difusión De Material Pornográfico-270102018','Difusión De Material Pornográfico-270102018 | Prod: Delitos-270102 | Sector: Mujer-2701 | Industria: MUJER-27',270102);</v>
      </c>
    </row>
    <row r="29" spans="1:13" ht="30.6" x14ac:dyDescent="0.3">
      <c r="A29" s="10">
        <f t="shared" si="4"/>
        <v>27</v>
      </c>
      <c r="B29" s="8" t="str">
        <f>+VLOOKUP(A29,Industria[],2,0)</f>
        <v>Mujeres</v>
      </c>
      <c r="C29" s="10">
        <f t="shared" si="5"/>
        <v>2701</v>
      </c>
      <c r="D29" s="8" t="str">
        <f>+VLOOKUP(C29,Sector[[Id_sector]:[Codigo]],3,0)</f>
        <v>Violencia</v>
      </c>
      <c r="E29" s="10">
        <f t="shared" si="1"/>
        <v>270103</v>
      </c>
      <c r="F29" s="8" t="str">
        <f>+VLOOKUP(E29,Productos[[Id_producto]:[Codigo]],3,0)</f>
        <v>Delitos violentos</v>
      </c>
      <c r="G29" s="11">
        <f t="shared" si="2"/>
        <v>270103001</v>
      </c>
      <c r="H29" s="7">
        <v>1</v>
      </c>
      <c r="I29" s="8" t="s">
        <v>37</v>
      </c>
      <c r="J29" s="8" t="str">
        <f>+Categorias[[#This Row],[Categoría]]&amp;"-"&amp;Categorias[[#This Row],[Id_categoría]]</f>
        <v>Femicidio-270103001</v>
      </c>
      <c r="K29" s="9" t="str">
        <f>+Categorias[[#This Row],[Descripcion]]&amp;" | "&amp;VLOOKUP(Categorias[[#This Row],[Id_producto]],Productos[[Id_producto]:[Auxiliar]],5,0)</f>
        <v>Femicidio-270103001 | Prod: Delitos-270103 | Sector: Mujer-2701 | Industria: MUJER-27</v>
      </c>
      <c r="L29" s="9" t="str">
        <f t="shared" si="3"/>
        <v>270103001femicidio</v>
      </c>
      <c r="M29" s="21" t="str">
        <f t="shared" si="0"/>
        <v>INSERT INTO categoria VALUES (270103001,'Femicidio','Femicidio-270103001','Femicidio-270103001 | Prod: Delitos-270103 | Sector: Mujer-2701 | Industria: MUJER-27',270103);</v>
      </c>
    </row>
    <row r="30" spans="1:13" ht="30.6" x14ac:dyDescent="0.3">
      <c r="A30" s="10">
        <f t="shared" si="4"/>
        <v>27</v>
      </c>
      <c r="B30" s="8" t="str">
        <f>+VLOOKUP(A30,Industria[],2,0)</f>
        <v>Mujeres</v>
      </c>
      <c r="C30" s="10">
        <f t="shared" si="5"/>
        <v>2701</v>
      </c>
      <c r="D30" s="8" t="str">
        <f>+VLOOKUP(C30,Sector[[Id_sector]:[Codigo]],3,0)</f>
        <v>Violencia</v>
      </c>
      <c r="E30" s="10">
        <f t="shared" si="1"/>
        <v>270103</v>
      </c>
      <c r="F30" s="8" t="str">
        <f>+VLOOKUP(E30,Productos[[Id_producto]:[Codigo]],3,0)</f>
        <v>Delitos violentos</v>
      </c>
      <c r="G30" s="11">
        <f t="shared" si="2"/>
        <v>270103002</v>
      </c>
      <c r="H30" s="7">
        <v>2</v>
      </c>
      <c r="I30" s="8" t="s">
        <v>38</v>
      </c>
      <c r="J30" s="8" t="str">
        <f>+Categorias[[#This Row],[Categoría]]&amp;"-"&amp;Categorias[[#This Row],[Id_categoría]]</f>
        <v>Femicidio Intimo-270103002</v>
      </c>
      <c r="K30" s="9" t="str">
        <f>+Categorias[[#This Row],[Descripcion]]&amp;" | "&amp;VLOOKUP(Categorias[[#This Row],[Id_producto]],Productos[[Id_producto]:[Auxiliar]],5,0)</f>
        <v>Femicidio Intimo-270103002 | Prod: Delitos-270103 | Sector: Mujer-2701 | Industria: MUJER-27</v>
      </c>
      <c r="L30" s="9" t="str">
        <f t="shared" si="3"/>
        <v>270103002femicidio_intimo</v>
      </c>
      <c r="M30" s="21" t="str">
        <f t="shared" si="0"/>
        <v>INSERT INTO categoria VALUES (270103002,'Femicidio Intimo','Femicidio Intimo-270103002','Femicidio Intimo-270103002 | Prod: Delitos-270103 | Sector: Mujer-2701 | Industria: MUJER-27',270103);</v>
      </c>
    </row>
    <row r="31" spans="1:13" ht="40.799999999999997" x14ac:dyDescent="0.3">
      <c r="A31" s="10">
        <f t="shared" si="4"/>
        <v>27</v>
      </c>
      <c r="B31" s="8" t="str">
        <f>+VLOOKUP(A31,Industria[],2,0)</f>
        <v>Mujeres</v>
      </c>
      <c r="C31" s="10">
        <f t="shared" si="5"/>
        <v>2701</v>
      </c>
      <c r="D31" s="8" t="str">
        <f>+VLOOKUP(C31,Sector[[Id_sector]:[Codigo]],3,0)</f>
        <v>Violencia</v>
      </c>
      <c r="E31" s="10">
        <f t="shared" si="1"/>
        <v>270103</v>
      </c>
      <c r="F31" s="8" t="str">
        <f>+VLOOKUP(E31,Productos[[Id_producto]:[Codigo]],3,0)</f>
        <v>Delitos violentos</v>
      </c>
      <c r="G31" s="11">
        <f t="shared" si="2"/>
        <v>270103003</v>
      </c>
      <c r="H31" s="7">
        <v>3</v>
      </c>
      <c r="I31" s="8" t="s">
        <v>39</v>
      </c>
      <c r="J31" s="8" t="str">
        <f>+Categorias[[#This Row],[Categoría]]&amp;"-"&amp;Categorias[[#This Row],[Id_categoría]]</f>
        <v>Secuestro Con Violación-270103003</v>
      </c>
      <c r="K31" s="9" t="str">
        <f>+Categorias[[#This Row],[Descripcion]]&amp;" | "&amp;VLOOKUP(Categorias[[#This Row],[Id_producto]],Productos[[Id_producto]:[Auxiliar]],5,0)</f>
        <v>Secuestro Con Violación-270103003 | Prod: Delitos-270103 | Sector: Mujer-2701 | Industria: MUJER-27</v>
      </c>
      <c r="L31" s="9" t="str">
        <f t="shared" si="3"/>
        <v>270103003secuestro_con_violacion</v>
      </c>
      <c r="M31" s="21" t="str">
        <f t="shared" si="0"/>
        <v>INSERT INTO categoria VALUES (270103003,'Secuestro Con Violación','Secuestro Con Violación-270103003','Secuestro Con Violación-270103003 | Prod: Delitos-270103 | Sector: Mujer-2701 | Industria: MUJER-27',270103);</v>
      </c>
    </row>
    <row r="32" spans="1:13" ht="40.799999999999997" x14ac:dyDescent="0.3">
      <c r="A32" s="10">
        <f t="shared" si="4"/>
        <v>27</v>
      </c>
      <c r="B32" s="8" t="str">
        <f>+VLOOKUP(A32,Industria[],2,0)</f>
        <v>Mujeres</v>
      </c>
      <c r="C32" s="10">
        <f t="shared" si="5"/>
        <v>2701</v>
      </c>
      <c r="D32" s="8" t="str">
        <f>+VLOOKUP(C32,Sector[[Id_sector]:[Codigo]],3,0)</f>
        <v>Violencia</v>
      </c>
      <c r="E32" s="10">
        <f t="shared" si="1"/>
        <v>270103</v>
      </c>
      <c r="F32" s="8" t="str">
        <f>+VLOOKUP(E32,Productos[[Id_producto]:[Codigo]],3,0)</f>
        <v>Delitos violentos</v>
      </c>
      <c r="G32" s="11">
        <f t="shared" si="2"/>
        <v>270103004</v>
      </c>
      <c r="H32" s="7">
        <v>4</v>
      </c>
      <c r="I32" s="8" t="s">
        <v>40</v>
      </c>
      <c r="J32" s="8" t="str">
        <f>+Categorias[[#This Row],[Categoría]]&amp;"-"&amp;Categorias[[#This Row],[Id_categoría]]</f>
        <v>Secuestro Con Homicidio, Violación O Lesiones-270103004</v>
      </c>
      <c r="K32" s="9" t="str">
        <f>+Categorias[[#This Row],[Descripcion]]&amp;" | "&amp;VLOOKUP(Categorias[[#This Row],[Id_producto]],Productos[[Id_producto]:[Auxiliar]],5,0)</f>
        <v>Secuestro Con Homicidio, Violación O Lesiones-270103004 | Prod: Delitos-270103 | Sector: Mujer-2701 | Industria: MUJER-27</v>
      </c>
      <c r="L32" s="9" t="str">
        <f t="shared" si="3"/>
        <v>270103004secuestro_con_homicidio,_violacion_o_lesiones</v>
      </c>
      <c r="M32" s="21" t="str">
        <f t="shared" si="0"/>
        <v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v>
      </c>
    </row>
    <row r="33" spans="1:13" ht="40.799999999999997" x14ac:dyDescent="0.3">
      <c r="A33" s="10">
        <f t="shared" si="4"/>
        <v>27</v>
      </c>
      <c r="B33" s="8" t="str">
        <f>+VLOOKUP(A33,Industria[],2,0)</f>
        <v>Mujeres</v>
      </c>
      <c r="C33" s="10">
        <f t="shared" si="5"/>
        <v>2701</v>
      </c>
      <c r="D33" s="8" t="str">
        <f>+VLOOKUP(C33,Sector[[Id_sector]:[Codigo]],3,0)</f>
        <v>Violencia</v>
      </c>
      <c r="E33" s="10">
        <f t="shared" si="1"/>
        <v>270103</v>
      </c>
      <c r="F33" s="8" t="str">
        <f>+VLOOKUP(E33,Productos[[Id_producto]:[Codigo]],3,0)</f>
        <v>Delitos violentos</v>
      </c>
      <c r="G33" s="11">
        <f>+E33*1000+H33</f>
        <v>270103005</v>
      </c>
      <c r="H33" s="7">
        <v>5</v>
      </c>
      <c r="I33" s="8" t="s">
        <v>41</v>
      </c>
      <c r="J33" s="26" t="str">
        <f>+Categorias[[#This Row],[Categoría]]&amp;"-"&amp;Categorias[[#This Row],[Id_categoría]]</f>
        <v>Tortura Con Violación, Abuso Sexual Agravado/Otros-270103005</v>
      </c>
      <c r="K33" s="27" t="str">
        <f>+Categorias[[#This Row],[Descripcion]]&amp;" | "&amp;VLOOKUP(Categorias[[#This Row],[Id_producto]],Productos[[Id_producto]:[Auxiliar]],5,0)</f>
        <v>Tortura Con Violación, Abuso Sexual Agravado/Otros-270103005 | Prod: Delitos-270103 | Sector: Mujer-2701 | Industria: MUJER-27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270103005tortura_con_violacion,_abuso_sexual_agravado/otros</v>
      </c>
      <c r="M33" s="28" t="str">
        <f>+"INSERT INTO categoria VALUES ("&amp;G33&amp;",'"&amp;I33&amp;"','"&amp;J33&amp;"','"&amp;K33&amp;"',"&amp;E33&amp;");"</f>
        <v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v>
      </c>
    </row>
    <row r="34" spans="1:13" ht="30.6" x14ac:dyDescent="0.3">
      <c r="A34" s="10">
        <f t="shared" si="4"/>
        <v>27</v>
      </c>
      <c r="B34" s="8" t="str">
        <f>+VLOOKUP(A34,Industria[],2,0)</f>
        <v>Mujeres</v>
      </c>
      <c r="C34" s="10">
        <f t="shared" si="5"/>
        <v>2701</v>
      </c>
      <c r="D34" s="8" t="str">
        <f>+VLOOKUP(C34,Sector[[Id_sector]:[Codigo]],3,0)</f>
        <v>Violencia</v>
      </c>
      <c r="E34" s="10">
        <f t="shared" si="1"/>
        <v>270103</v>
      </c>
      <c r="F34" s="8" t="str">
        <f>+VLOOKUP(E34,Productos[[Id_producto]:[Codigo]],3,0)</f>
        <v>Delitos violentos</v>
      </c>
      <c r="G34" s="11">
        <f>+E34*1000+H34</f>
        <v>270103006</v>
      </c>
      <c r="H34" s="7">
        <v>6</v>
      </c>
      <c r="I34" s="8" t="s">
        <v>42</v>
      </c>
      <c r="J34" s="26" t="str">
        <f>+Categorias[[#This Row],[Categoría]]&amp;"-"&amp;Categorias[[#This Row],[Id_categoría]]</f>
        <v>Femicidio No Íntimo-270103006</v>
      </c>
      <c r="K34" s="27" t="str">
        <f>+Categorias[[#This Row],[Descripcion]]&amp;" | "&amp;VLOOKUP(Categorias[[#This Row],[Id_producto]],Productos[[Id_producto]:[Auxiliar]],5,0)</f>
        <v>Femicidio No Íntimo-270103006 | Prod: Delitos-270103 | Sector: Mujer-2701 | Industria: MUJER-27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270103006femicidio_no_intimo</v>
      </c>
      <c r="M34" s="28" t="str">
        <f>+"INSERT INTO categoria VALUES ("&amp;G34&amp;",'"&amp;I34&amp;"','"&amp;J34&amp;"','"&amp;K34&amp;"',"&amp;E34&amp;");"</f>
        <v>INSERT INTO categoria VALUES (270103006,'Femicidio No Íntimo','Femicidio No Íntimo-270103006','Femicidio No Íntimo-270103006 | Prod: Delitos-270103 | Sector: Mujer-2701 | Industria: MUJER-27',270103);</v>
      </c>
    </row>
    <row r="35" spans="1:13" ht="40.799999999999997" x14ac:dyDescent="0.3">
      <c r="A35" s="10">
        <f t="shared" si="4"/>
        <v>27</v>
      </c>
      <c r="B35" s="8" t="str">
        <f>+VLOOKUP(A35,Industria[],2,0)</f>
        <v>Mujeres</v>
      </c>
      <c r="C35" s="10">
        <f t="shared" si="5"/>
        <v>2701</v>
      </c>
      <c r="D35" s="8" t="str">
        <f>+VLOOKUP(C35,Sector[[Id_sector]:[Codigo]],3,0)</f>
        <v>Violencia</v>
      </c>
      <c r="E35" s="10">
        <f t="shared" si="1"/>
        <v>270104</v>
      </c>
      <c r="F35" s="8" t="str">
        <f>+VLOOKUP(E35,Productos[[Id_producto]:[Codigo]],3,0)</f>
        <v>Delitos Contra el Estado Civil y la Familia</v>
      </c>
      <c r="G35" s="11">
        <f>+E35*1000+H35</f>
        <v>270104001</v>
      </c>
      <c r="H35" s="7">
        <v>1</v>
      </c>
      <c r="I35" s="8" t="s">
        <v>48</v>
      </c>
      <c r="J35" s="26" t="str">
        <f>+Categorias[[#This Row],[Categoría]]&amp;"-"&amp;Categorias[[#This Row],[Id_categoría]]</f>
        <v>Maltrato Habitual (Violencia Intrafamiliar)-270104001</v>
      </c>
      <c r="K35" s="27" t="str">
        <f>+Categorias[[#This Row],[Descripcion]]&amp;" | "&amp;VLOOKUP(Categorias[[#This Row],[Id_producto]],Productos[[Id_producto]:[Auxiliar]],5,0)</f>
        <v>Maltrato Habitual (Violencia Intrafamiliar)-270104001 | Prod: Delitos-270104 | Sector: Mujer-2701 | Industria: MUJER-27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270104001maltrato_habitual_(violencia_intrafamiliar)</v>
      </c>
      <c r="M35" s="28" t="str">
        <f>+"INSERT INTO categoria VALUES ("&amp;G35&amp;",'"&amp;I35&amp;"','"&amp;J35&amp;"','"&amp;K35&amp;"',"&amp;E35&amp;");"</f>
        <v>INSERT INTO categoria VALUES (270104001,'Maltrato Habitual (Violencia Intrafamiliar)','Maltrato Habitual (Violencia Intrafamiliar)-270104001','Maltrato Habitual (Violencia Intrafamiliar)-270104001 | Prod: Delitos-270104 | Sector: Mujer-2701 | Industria: MUJER-27',270104);</v>
      </c>
    </row>
    <row r="36" spans="1:13" ht="51" x14ac:dyDescent="0.3">
      <c r="A36" s="10">
        <f t="shared" si="4"/>
        <v>27</v>
      </c>
      <c r="B36" s="8" t="str">
        <f>+VLOOKUP(A36,Industria[],2,0)</f>
        <v>Mujeres</v>
      </c>
      <c r="C36" s="10">
        <f t="shared" si="5"/>
        <v>2701</v>
      </c>
      <c r="D36" s="8" t="str">
        <f>+VLOOKUP(C36,Sector[[Id_sector]:[Codigo]],3,0)</f>
        <v>Violencia</v>
      </c>
      <c r="E36" s="10">
        <f t="shared" si="1"/>
        <v>270105</v>
      </c>
      <c r="F36" s="8" t="str">
        <f>+VLOOKUP(E36,Productos[[Id_producto]:[Codigo]],3,0)</f>
        <v>Delitos Contra la Vida, Integridad o Dignidad Personal</v>
      </c>
      <c r="G36" s="11">
        <f t="shared" si="2"/>
        <v>270105001</v>
      </c>
      <c r="H36" s="7">
        <v>1</v>
      </c>
      <c r="I36" s="8" t="s">
        <v>43</v>
      </c>
      <c r="J36" s="8" t="str">
        <f>+Categorias[[#This Row],[Categoría]]&amp;"-"&amp;Categorias[[#This Row],[Id_categoría]]</f>
        <v>Aborto Cometido Por Facultativo Por Causales No Reguladas-270105001</v>
      </c>
      <c r="K36" s="9" t="str">
        <f>+Categorias[[#This Row],[Descripcion]]&amp;" | "&amp;VLOOKUP(Categorias[[#This Row],[Id_producto]],Productos[[Id_producto]:[Auxiliar]],5,0)</f>
        <v>Aborto Cometido Por Facultativo Por Causales No Reguladas-270105001 | Prod: Delitos-270105 | Sector: Mujer-2701 | Industria: MUJER-27</v>
      </c>
      <c r="L36" s="9" t="str">
        <f t="shared" si="3"/>
        <v>270105001aborto_cometido_por_facultativo_por_causales_no_reguladas</v>
      </c>
      <c r="M36" s="21" t="str">
        <f t="shared" si="0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v>
      </c>
    </row>
    <row r="37" spans="1:13" ht="40.799999999999997" x14ac:dyDescent="0.3">
      <c r="A37" s="10">
        <f t="shared" si="4"/>
        <v>27</v>
      </c>
      <c r="B37" s="8" t="str">
        <f>+VLOOKUP(A37,Industria[],2,0)</f>
        <v>Mujeres</v>
      </c>
      <c r="C37" s="10">
        <f t="shared" si="5"/>
        <v>2701</v>
      </c>
      <c r="D37" s="8" t="str">
        <f>+VLOOKUP(C37,Sector[[Id_sector]:[Codigo]],3,0)</f>
        <v>Violencia</v>
      </c>
      <c r="E37" s="10">
        <f t="shared" si="1"/>
        <v>270105</v>
      </c>
      <c r="F37" s="8" t="str">
        <f>+VLOOKUP(E37,Productos[[Id_producto]:[Codigo]],3,0)</f>
        <v>Delitos Contra la Vida, Integridad o Dignidad Personal</v>
      </c>
      <c r="G37" s="11">
        <f t="shared" si="2"/>
        <v>270105002</v>
      </c>
      <c r="H37" s="7">
        <v>2</v>
      </c>
      <c r="I37" s="8" t="s">
        <v>44</v>
      </c>
      <c r="J37" s="8" t="str">
        <f>+Categorias[[#This Row],[Categoría]]&amp;"-"&amp;Categorias[[#This Row],[Id_categoría]]</f>
        <v>Aborto Consentido Causales No Reguladas-270105002</v>
      </c>
      <c r="K37" s="9" t="str">
        <f>+Categorias[[#This Row],[Descripcion]]&amp;" | "&amp;VLOOKUP(Categorias[[#This Row],[Id_producto]],Productos[[Id_producto]:[Auxiliar]],5,0)</f>
        <v>Aborto Consentido Causales No Reguladas-270105002 | Prod: Delitos-270105 | Sector: Mujer-2701 | Industria: MUJER-27</v>
      </c>
      <c r="L37" s="9" t="str">
        <f t="shared" si="3"/>
        <v>270105002aborto_consentido_causales_no_reguladas</v>
      </c>
      <c r="M37" s="21" t="str">
        <f t="shared" si="0"/>
        <v>INSERT INTO categoria VALUES (270105002,'Aborto Consentido Causales No Reguladas','Aborto Consentido Causales No Reguladas-270105002','Aborto Consentido Causales No Reguladas-270105002 | Prod: Delitos-270105 | Sector: Mujer-2701 | Industria: MUJER-27',270105);</v>
      </c>
    </row>
    <row r="38" spans="1:13" ht="40.799999999999997" x14ac:dyDescent="0.3">
      <c r="A38" s="10">
        <f t="shared" si="4"/>
        <v>27</v>
      </c>
      <c r="B38" s="8" t="str">
        <f>+VLOOKUP(A38,Industria[],2,0)</f>
        <v>Mujeres</v>
      </c>
      <c r="C38" s="10">
        <f t="shared" si="5"/>
        <v>2701</v>
      </c>
      <c r="D38" s="8" t="str">
        <f>+VLOOKUP(C38,Sector[[Id_sector]:[Codigo]],3,0)</f>
        <v>Violencia</v>
      </c>
      <c r="E38" s="10">
        <f t="shared" si="1"/>
        <v>270105</v>
      </c>
      <c r="F38" s="8" t="str">
        <f>+VLOOKUP(E38,Productos[[Id_producto]:[Codigo]],3,0)</f>
        <v>Delitos Contra la Vida, Integridad o Dignidad Personal</v>
      </c>
      <c r="G38" s="11">
        <f t="shared" si="2"/>
        <v>270105003</v>
      </c>
      <c r="H38" s="7">
        <v>3</v>
      </c>
      <c r="I38" s="8" t="s">
        <v>45</v>
      </c>
      <c r="J38" s="8" t="str">
        <f>+Categorias[[#This Row],[Categoría]]&amp;"-"&amp;Categorias[[#This Row],[Id_categoría]]</f>
        <v>Aborto Sin Consentimiento-270105003</v>
      </c>
      <c r="K38" s="9" t="str">
        <f>+Categorias[[#This Row],[Descripcion]]&amp;" | "&amp;VLOOKUP(Categorias[[#This Row],[Id_producto]],Productos[[Id_producto]:[Auxiliar]],5,0)</f>
        <v>Aborto Sin Consentimiento-270105003 | Prod: Delitos-270105 | Sector: Mujer-2701 | Industria: MUJER-27</v>
      </c>
      <c r="L38" s="9" t="str">
        <f t="shared" si="3"/>
        <v>270105003aborto_sin_consentimiento</v>
      </c>
      <c r="M38" s="21" t="str">
        <f t="shared" si="0"/>
        <v>INSERT INTO categoria VALUES (270105003,'Aborto Sin Consentimiento','Aborto Sin Consentimiento-270105003','Aborto Sin Consentimiento-270105003 | Prod: Delitos-270105 | Sector: Mujer-2701 | Industria: MUJER-27',270105);</v>
      </c>
    </row>
    <row r="39" spans="1:13" ht="51" x14ac:dyDescent="0.3">
      <c r="A39" s="10">
        <f t="shared" si="4"/>
        <v>27</v>
      </c>
      <c r="B39" s="8" t="str">
        <f>+VLOOKUP(A39,Industria[],2,0)</f>
        <v>Mujeres</v>
      </c>
      <c r="C39" s="10">
        <f t="shared" si="5"/>
        <v>2701</v>
      </c>
      <c r="D39" s="8" t="str">
        <f>+VLOOKUP(C39,Sector[[Id_sector]:[Codigo]],3,0)</f>
        <v>Violencia</v>
      </c>
      <c r="E39" s="10">
        <f t="shared" si="1"/>
        <v>270105</v>
      </c>
      <c r="F39" s="8" t="str">
        <f>+VLOOKUP(E39,Productos[[Id_producto]:[Codigo]],3,0)</f>
        <v>Delitos Contra la Vida, Integridad o Dignidad Personal</v>
      </c>
      <c r="G39" s="11">
        <f t="shared" si="2"/>
        <v>270105004</v>
      </c>
      <c r="H39" s="7">
        <v>4</v>
      </c>
      <c r="I39" s="8" t="s">
        <v>46</v>
      </c>
      <c r="J39" s="8" t="str">
        <f>+Categorias[[#This Row],[Categoría]]&amp;"-"&amp;Categorias[[#This Row],[Id_categoría]]</f>
        <v>Tráfico De Órganos Incluyendo los Provenientes de Aborto-270105004</v>
      </c>
      <c r="K39" s="9" t="str">
        <f>+Categorias[[#This Row],[Descripcion]]&amp;" | "&amp;VLOOKUP(Categorias[[#This Row],[Id_producto]],Productos[[Id_producto]:[Auxiliar]],5,0)</f>
        <v>Tráfico De Órganos Incluyendo los Provenientes de Aborto-270105004 | Prod: Delitos-270105 | Sector: Mujer-2701 | Industria: MUJER-27</v>
      </c>
      <c r="L39" s="9" t="str">
        <f t="shared" si="3"/>
        <v>270105004trafico_de_organos_incluyendo_los_provenientes_de_aborto</v>
      </c>
      <c r="M39" s="21" t="str">
        <f t="shared" si="0"/>
        <v>INSERT INTO categoria VALUES (270105004,'Tráfico De Órganos Incluyendo los Provenientes de Aborto','Tráfico De Órganos Incluyendo los Provenientes de Aborto-270105004','Tráfico De Órganos Incluyendo los Provenientes de Aborto-270105004 | Prod: Delitos-270105 | Sector: Mujer-2701 | Industria: MUJER-27',270105);</v>
      </c>
    </row>
    <row r="40" spans="1:13" ht="40.799999999999997" x14ac:dyDescent="0.3">
      <c r="A40" s="10">
        <f t="shared" si="4"/>
        <v>27</v>
      </c>
      <c r="B40" s="8" t="str">
        <f>+VLOOKUP(A40,Industria[],2,0)</f>
        <v>Mujeres</v>
      </c>
      <c r="C40" s="10">
        <f t="shared" si="5"/>
        <v>2701</v>
      </c>
      <c r="D40" s="8" t="str">
        <f>+VLOOKUP(C40,Sector[[Id_sector]:[Codigo]],3,0)</f>
        <v>Violencia</v>
      </c>
      <c r="E40" s="10">
        <f t="shared" si="1"/>
        <v>270106</v>
      </c>
      <c r="F40" s="8" t="str">
        <f>+VLOOKUP(E40,Productos[[Id_producto]:[Codigo]],3,0)</f>
        <v>Delitos Contra la Intimidad y la Libertad</v>
      </c>
      <c r="G40" s="11">
        <f t="shared" si="2"/>
        <v>270106001</v>
      </c>
      <c r="H40" s="7">
        <v>1</v>
      </c>
      <c r="I40" s="8" t="s">
        <v>47</v>
      </c>
      <c r="J40" s="8" t="str">
        <f>+Categorias[[#This Row],[Categoría]]&amp;"-"&amp;Categorias[[#This Row],[Id_categoría]]</f>
        <v>Infracciones A La Ley De Identidad De Género-270106001</v>
      </c>
      <c r="K40" s="9" t="str">
        <f>+Categorias[[#This Row],[Descripcion]]&amp;" | "&amp;VLOOKUP(Categorias[[#This Row],[Id_producto]],Productos[[Id_producto]:[Auxiliar]],5,0)</f>
        <v>Infracciones A La Ley De Identidad De Género-270106001 | Prod: Delitos-270106 | Sector: Mujer-2701 | Industria: MUJER-27</v>
      </c>
      <c r="L40" s="9" t="str">
        <f t="shared" si="3"/>
        <v>270106001infracciones_a_la_ley_de_identidad_de_genero</v>
      </c>
      <c r="M40" s="21" t="str">
        <f t="shared" si="0"/>
        <v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v>
      </c>
    </row>
    <row r="41" spans="1:13" ht="30.6" x14ac:dyDescent="0.3">
      <c r="A41" s="10">
        <f t="shared" si="4"/>
        <v>27</v>
      </c>
      <c r="B41" s="8" t="str">
        <f>+VLOOKUP(A41,Industria[],2,0)</f>
        <v>Mujeres</v>
      </c>
      <c r="C41" s="10">
        <f t="shared" si="5"/>
        <v>2701</v>
      </c>
      <c r="D41" s="8" t="str">
        <f>+VLOOKUP(C41,Sector[[Id_sector]:[Codigo]],3,0)</f>
        <v>Violencia</v>
      </c>
      <c r="E41" s="10">
        <f t="shared" si="1"/>
        <v>270106</v>
      </c>
      <c r="F41" s="8" t="str">
        <f>+VLOOKUP(E41,Productos[[Id_producto]:[Codigo]],3,0)</f>
        <v>Delitos Contra la Intimidad y la Libertad</v>
      </c>
      <c r="G41" s="11">
        <f t="shared" si="2"/>
        <v>270106002</v>
      </c>
      <c r="H41" s="7">
        <v>2</v>
      </c>
      <c r="I41" s="8" t="s">
        <v>60</v>
      </c>
      <c r="J41" s="8" t="str">
        <f>+Categorias[[#This Row],[Categoría]]&amp;"-"&amp;Categorias[[#This Row],[Id_categoría]]</f>
        <v>Acoso Laboral-270106002</v>
      </c>
      <c r="K41" s="9" t="str">
        <f>+Categorias[[#This Row],[Descripcion]]&amp;" | "&amp;VLOOKUP(Categorias[[#This Row],[Id_producto]],Productos[[Id_producto]:[Auxiliar]],5,0)</f>
        <v>Acoso Laboral-270106002 | Prod: Delitos-270106 | Sector: Mujer-2701 | Industria: MUJER-27</v>
      </c>
      <c r="L41" s="9" t="str">
        <f t="shared" si="3"/>
        <v>270106002acoso_laboral</v>
      </c>
      <c r="M41" s="21" t="str">
        <f t="shared" si="0"/>
        <v>INSERT INTO categoria VALUES (270106002,'Acoso Laboral','Acoso Laboral-270106002','Acoso Laboral-270106002 | Prod: Delitos-270106 | Sector: Mujer-2701 | Industria: MUJER-27',270106);</v>
      </c>
    </row>
    <row r="42" spans="1:13" ht="61.2" x14ac:dyDescent="0.3">
      <c r="A42" s="10">
        <f t="shared" si="4"/>
        <v>27</v>
      </c>
      <c r="B42" s="8" t="str">
        <f>+VLOOKUP(A42,Industria[],2,0)</f>
        <v>Mujeres</v>
      </c>
      <c r="C42" s="10">
        <f t="shared" si="5"/>
        <v>2701</v>
      </c>
      <c r="D42" s="8" t="str">
        <f>+VLOOKUP(C42,Sector[[Id_sector]:[Codigo]],3,0)</f>
        <v>Violencia</v>
      </c>
      <c r="E42" s="10">
        <f t="shared" si="1"/>
        <v>270107</v>
      </c>
      <c r="F42" s="8" t="str">
        <f>+VLOOKUP(E42,Productos[[Id_producto]:[Codigo]],3,0)</f>
        <v>Atenciones médicas</v>
      </c>
      <c r="G42" s="11">
        <f t="shared" si="2"/>
        <v>270107001</v>
      </c>
      <c r="H42" s="7">
        <v>1</v>
      </c>
      <c r="I42" s="8" t="s">
        <v>61</v>
      </c>
      <c r="J42" s="8" t="str">
        <f>+Categorias[[#This Row],[Categoría]]&amp;"-"&amp;Categorias[[#This Row],[Id_categoría]]</f>
        <v>Atención por violación (con entrega de anticoncepción de emergencia)-270107001</v>
      </c>
      <c r="K42" s="9" t="str">
        <f>+Categorias[[#This Row],[Descripcion]]&amp;" | "&amp;VLOOKUP(Categorias[[#This Row],[Id_producto]],Productos[[Id_producto]:[Auxiliar]],5,0)</f>
        <v>Atención por violación (con entrega de anticoncepción de emergencia)-270107001 | Prod: Salud-270107 | Sector: Mujer-2701 | Industria: MUJER-27</v>
      </c>
      <c r="L42" s="9" t="str">
        <f t="shared" si="3"/>
        <v>270107001atencion por violacion (con entrega de anticoncepcion de emergencia)</v>
      </c>
      <c r="M42" s="21" t="str">
        <f t="shared" si="0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v>
      </c>
    </row>
    <row r="43" spans="1:13" ht="61.2" x14ac:dyDescent="0.3">
      <c r="A43" s="10">
        <f t="shared" si="4"/>
        <v>27</v>
      </c>
      <c r="B43" s="8" t="str">
        <f>+VLOOKUP(A43,Industria[],2,0)</f>
        <v>Mujeres</v>
      </c>
      <c r="C43" s="10">
        <f t="shared" si="5"/>
        <v>2701</v>
      </c>
      <c r="D43" s="8" t="str">
        <f>+VLOOKUP(C43,Sector[[Id_sector]:[Codigo]],3,0)</f>
        <v>Violencia</v>
      </c>
      <c r="E43" s="10">
        <f t="shared" si="1"/>
        <v>270107</v>
      </c>
      <c r="F43" s="8" t="str">
        <f>+VLOOKUP(E43,Productos[[Id_producto]:[Codigo]],3,0)</f>
        <v>Atenciones médicas</v>
      </c>
      <c r="G43" s="11">
        <f t="shared" ref="G43:G49" si="9">+E43*1000+H43</f>
        <v>270107002</v>
      </c>
      <c r="H43" s="7">
        <v>2</v>
      </c>
      <c r="I43" s="8" t="s">
        <v>62</v>
      </c>
      <c r="J43" s="26" t="str">
        <f>+Categorias[[#This Row],[Categoría]]&amp;"-"&amp;Categorias[[#This Row],[Id_categoría]]</f>
        <v>Atención por violación (sin entrega de anticoncepción de emergencia )-270107002</v>
      </c>
      <c r="K43" s="27" t="str">
        <f>+Categorias[[#This Row],[Descripcion]]&amp;" | "&amp;VLOOKUP(Categorias[[#This Row],[Id_producto]],Productos[[Id_producto]:[Auxiliar]],5,0)</f>
        <v>Atención por violación (sin entrega de anticoncepción de emergencia )-270107002 | Prod: Salud-270107 | Sector: Mujer-2701 | Industria: MUJER-27</v>
      </c>
      <c r="L43" s="9" t="str">
        <f t="shared" ref="L43:L49" si="10">+SUBSTITUTE(G43&amp;LOWER(SUBSTITUTE( SUBSTITUTE( SUBSTITUTE( SUBSTITUTE( SUBSTITUTE( SUBSTITUTE( SUBSTITUTE( SUBSTITUTE( SUBSTITUTE( SUBSTITUTE(I43, "á", "a"), "é", "e"), "í", "i"), "ó", "o"), "ú", "u"), "Á", "A"), "É", "E"), "Í", "I"), "Ó", "O"), "Ú", "U"))," ","_")</f>
        <v>270107002atencion por violacion (sin entrega de anticoncepcion de emergencia )</v>
      </c>
      <c r="M43" s="28" t="str">
        <f t="shared" ref="M43:M49" si="11">+"INSERT INTO categoria VALUES ("&amp;G43&amp;",'"&amp;I43&amp;"','"&amp;J43&amp;"','"&amp;K43&amp;"',"&amp;E43&amp;");"</f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v>
      </c>
    </row>
    <row r="44" spans="1:13" ht="30.6" x14ac:dyDescent="0.3">
      <c r="A44" s="10">
        <f t="shared" si="4"/>
        <v>27</v>
      </c>
      <c r="B44" s="8" t="str">
        <f>+VLOOKUP(A44,Industria[],2,0)</f>
        <v>Mujeres</v>
      </c>
      <c r="C44" s="10">
        <f t="shared" si="5"/>
        <v>2701</v>
      </c>
      <c r="D44" s="8" t="str">
        <f>+VLOOKUP(C44,Sector[[Id_sector]:[Codigo]],3,0)</f>
        <v>Violencia</v>
      </c>
      <c r="E44" s="10">
        <f t="shared" si="1"/>
        <v>270107</v>
      </c>
      <c r="F44" s="8" t="str">
        <f>+VLOOKUP(E44,Productos[[Id_producto]:[Codigo]],3,0)</f>
        <v>Atenciones médicas</v>
      </c>
      <c r="G44" s="11">
        <f t="shared" si="9"/>
        <v>270107003</v>
      </c>
      <c r="H44" s="7">
        <v>3</v>
      </c>
      <c r="I44" s="8" t="s">
        <v>19</v>
      </c>
      <c r="J44" s="26" t="str">
        <f>+Categorias[[#This Row],[Categoría]]&amp;"-"&amp;Categorias[[#This Row],[Id_categoría]]</f>
        <v>Estupro-270107003</v>
      </c>
      <c r="K44" s="27" t="str">
        <f>+Categorias[[#This Row],[Descripcion]]&amp;" | "&amp;VLOOKUP(Categorias[[#This Row],[Id_producto]],Productos[[Id_producto]:[Auxiliar]],5,0)</f>
        <v>Estupro-270107003 | Prod: Salud-270107 | Sector: Mujer-2701 | Industria: MUJER-27</v>
      </c>
      <c r="L44" s="9" t="str">
        <f t="shared" si="10"/>
        <v>270107003estupro</v>
      </c>
      <c r="M44" s="28" t="str">
        <f t="shared" si="11"/>
        <v>INSERT INTO categoria VALUES (270107003,'Estupro','Estupro-270107003','Estupro-270107003 | Prod: Salud-270107 | Sector: Mujer-2701 | Industria: MUJER-27',270107);</v>
      </c>
    </row>
    <row r="45" spans="1:13" ht="30.6" x14ac:dyDescent="0.3">
      <c r="A45" s="10">
        <f t="shared" si="4"/>
        <v>27</v>
      </c>
      <c r="B45" s="8" t="str">
        <f>+VLOOKUP(A45,Industria[],2,0)</f>
        <v>Mujeres</v>
      </c>
      <c r="C45" s="10">
        <f t="shared" si="5"/>
        <v>2701</v>
      </c>
      <c r="D45" s="8" t="str">
        <f>+VLOOKUP(C45,Sector[[Id_sector]:[Codigo]],3,0)</f>
        <v>Violencia</v>
      </c>
      <c r="E45" s="10">
        <f t="shared" si="1"/>
        <v>270107</v>
      </c>
      <c r="F45" s="8" t="str">
        <f>+VLOOKUP(E45,Productos[[Id_producto]:[Codigo]],3,0)</f>
        <v>Atenciones médicas</v>
      </c>
      <c r="G45" s="11">
        <f t="shared" si="9"/>
        <v>270107004</v>
      </c>
      <c r="H45" s="7">
        <v>4</v>
      </c>
      <c r="I45" s="8" t="s">
        <v>63</v>
      </c>
      <c r="J45" s="26" t="str">
        <f>+Categorias[[#This Row],[Categoría]]&amp;"-"&amp;Categorias[[#This Row],[Id_categoría]]</f>
        <v>Abuso sexual-270107004</v>
      </c>
      <c r="K45" s="27" t="str">
        <f>+Categorias[[#This Row],[Descripcion]]&amp;" | "&amp;VLOOKUP(Categorias[[#This Row],[Id_producto]],Productos[[Id_producto]:[Auxiliar]],5,0)</f>
        <v>Abuso sexual-270107004 | Prod: Salud-270107 | Sector: Mujer-2701 | Industria: MUJER-27</v>
      </c>
      <c r="L45" s="9" t="str">
        <f t="shared" si="10"/>
        <v>270107004abuso sexual</v>
      </c>
      <c r="M45" s="28" t="str">
        <f t="shared" si="11"/>
        <v>INSERT INTO categoria VALUES (270107004,'Abuso sexual','Abuso sexual-270107004','Abuso sexual-270107004 | Prod: Salud-270107 | Sector: Mujer-2701 | Industria: MUJER-27',270107);</v>
      </c>
    </row>
    <row r="46" spans="1:13" ht="30.6" x14ac:dyDescent="0.3">
      <c r="A46" s="10">
        <f t="shared" si="4"/>
        <v>27</v>
      </c>
      <c r="B46" s="8" t="str">
        <f>+VLOOKUP(A46,Industria[],2,0)</f>
        <v>Mujeres</v>
      </c>
      <c r="C46" s="10">
        <f t="shared" si="5"/>
        <v>2701</v>
      </c>
      <c r="D46" s="8" t="str">
        <f>+VLOOKUP(C46,Sector[[Id_sector]:[Codigo]],3,0)</f>
        <v>Violencia</v>
      </c>
      <c r="E46" s="10">
        <f t="shared" si="1"/>
        <v>270107</v>
      </c>
      <c r="F46" s="8" t="str">
        <f>+VLOOKUP(E46,Productos[[Id_producto]:[Codigo]],3,0)</f>
        <v>Atenciones médicas</v>
      </c>
      <c r="G46" s="11">
        <f t="shared" si="9"/>
        <v>270107005</v>
      </c>
      <c r="H46" s="7">
        <v>5</v>
      </c>
      <c r="I46" s="8" t="s">
        <v>64</v>
      </c>
      <c r="J46" s="26" t="str">
        <f>+Categorias[[#This Row],[Categoría]]&amp;"-"&amp;Categorias[[#This Row],[Id_categoría]]</f>
        <v>Otra violencia-270107005</v>
      </c>
      <c r="K46" s="27" t="str">
        <f>+Categorias[[#This Row],[Descripcion]]&amp;" | "&amp;VLOOKUP(Categorias[[#This Row],[Id_producto]],Productos[[Id_producto]:[Auxiliar]],5,0)</f>
        <v>Otra violencia-270107005 | Prod: Salud-270107 | Sector: Mujer-2701 | Industria: MUJER-27</v>
      </c>
      <c r="L46" s="9" t="str">
        <f t="shared" si="10"/>
        <v>270107005otra violencia</v>
      </c>
      <c r="M46" s="28" t="str">
        <f t="shared" si="11"/>
        <v>INSERT INTO categoria VALUES (270107005,'Otra violencia','Otra violencia-270107005','Otra violencia-270107005 | Prod: Salud-270107 | Sector: Mujer-2701 | Industria: MUJER-27',270107);</v>
      </c>
    </row>
    <row r="47" spans="1:13" ht="30.6" x14ac:dyDescent="0.3">
      <c r="A47" s="10">
        <f t="shared" si="4"/>
        <v>27</v>
      </c>
      <c r="B47" s="8" t="str">
        <f>+VLOOKUP(A47,Industria[],2,0)</f>
        <v>Mujeres</v>
      </c>
      <c r="C47" s="10">
        <f t="shared" si="5"/>
        <v>2701</v>
      </c>
      <c r="D47" s="8" t="str">
        <f>+VLOOKUP(C47,Sector[[Id_sector]:[Codigo]],3,0)</f>
        <v>Violencia</v>
      </c>
      <c r="E47" s="10">
        <f t="shared" si="1"/>
        <v>270107</v>
      </c>
      <c r="F47" s="8" t="str">
        <f>+VLOOKUP(E47,Productos[[Id_producto]:[Codigo]],3,0)</f>
        <v>Atenciones médicas</v>
      </c>
      <c r="G47" s="11">
        <f t="shared" si="9"/>
        <v>270107006</v>
      </c>
      <c r="H47" s="7">
        <v>6</v>
      </c>
      <c r="I47" s="8" t="s">
        <v>65</v>
      </c>
      <c r="J47" s="26" t="str">
        <f>+Categorias[[#This Row],[Categoría]]&amp;"-"&amp;Categorias[[#This Row],[Id_categoría]]</f>
        <v>Violencia Física-270107006</v>
      </c>
      <c r="K47" s="27" t="str">
        <f>+Categorias[[#This Row],[Descripcion]]&amp;" | "&amp;VLOOKUP(Categorias[[#This Row],[Id_producto]],Productos[[Id_producto]:[Auxiliar]],5,0)</f>
        <v>Violencia Física-270107006 | Prod: Salud-270107 | Sector: Mujer-2701 | Industria: MUJER-27</v>
      </c>
      <c r="L47" s="9" t="str">
        <f t="shared" si="10"/>
        <v>270107006violencia_fisica</v>
      </c>
      <c r="M47" s="28" t="str">
        <f t="shared" si="11"/>
        <v>INSERT INTO categoria VALUES (270107006,'Violencia Física','Violencia Física-270107006','Violencia Física-270107006 | Prod: Salud-270107 | Sector: Mujer-2701 | Industria: MUJER-27',270107);</v>
      </c>
    </row>
    <row r="48" spans="1:13" ht="30.6" x14ac:dyDescent="0.3">
      <c r="A48" s="10">
        <f t="shared" si="4"/>
        <v>27</v>
      </c>
      <c r="B48" s="8" t="str">
        <f>+VLOOKUP(A48,Industria[],2,0)</f>
        <v>Mujeres</v>
      </c>
      <c r="C48" s="10">
        <f t="shared" si="5"/>
        <v>2701</v>
      </c>
      <c r="D48" s="8" t="str">
        <f>+VLOOKUP(C48,Sector[[Id_sector]:[Codigo]],3,0)</f>
        <v>Violencia</v>
      </c>
      <c r="E48" s="10">
        <f t="shared" si="1"/>
        <v>270107</v>
      </c>
      <c r="F48" s="8" t="str">
        <f>+VLOOKUP(E48,Productos[[Id_producto]:[Codigo]],3,0)</f>
        <v>Atenciones médicas</v>
      </c>
      <c r="G48" s="11">
        <f t="shared" si="9"/>
        <v>270107007</v>
      </c>
      <c r="H48" s="7">
        <v>7</v>
      </c>
      <c r="I48" s="8" t="s">
        <v>66</v>
      </c>
      <c r="J48" s="26" t="str">
        <f>+Categorias[[#This Row],[Categoría]]&amp;"-"&amp;Categorias[[#This Row],[Id_categoría]]</f>
        <v>Violencia Intrafamiliar-270107007</v>
      </c>
      <c r="K48" s="27" t="str">
        <f>+Categorias[[#This Row],[Descripcion]]&amp;" | "&amp;VLOOKUP(Categorias[[#This Row],[Id_producto]],Productos[[Id_producto]:[Auxiliar]],5,0)</f>
        <v>Violencia Intrafamiliar-270107007 | Prod: Salud-270107 | Sector: Mujer-2701 | Industria: MUJER-27</v>
      </c>
      <c r="L48" s="9" t="str">
        <f t="shared" si="10"/>
        <v>270107007violencia_intrafamiliar</v>
      </c>
      <c r="M48" s="28" t="str">
        <f t="shared" si="11"/>
        <v>INSERT INTO categoria VALUES (270107007,'Violencia Intrafamiliar','Violencia Intrafamiliar-270107007','Violencia Intrafamiliar-270107007 | Prod: Salud-270107 | Sector: Mujer-2701 | Industria: MUJER-27',270107);</v>
      </c>
    </row>
    <row r="49" spans="1:13" ht="40.799999999999997" x14ac:dyDescent="0.3">
      <c r="A49" s="10">
        <f t="shared" si="4"/>
        <v>27</v>
      </c>
      <c r="B49" s="8" t="str">
        <f>+VLOOKUP(A49,Industria[],2,0)</f>
        <v>Mujeres</v>
      </c>
      <c r="C49" s="10">
        <f t="shared" si="5"/>
        <v>2701</v>
      </c>
      <c r="D49" s="8" t="str">
        <f>+VLOOKUP(C49,Sector[[Id_sector]:[Codigo]],3,0)</f>
        <v>Violencia</v>
      </c>
      <c r="E49" s="10">
        <f t="shared" si="1"/>
        <v>270108</v>
      </c>
      <c r="F49" s="8" t="str">
        <f>+VLOOKUP(E49,Productos[[Id_producto]:[Codigo]],3,0)</f>
        <v>Centros de la Mujer</v>
      </c>
      <c r="G49" s="11">
        <f t="shared" si="9"/>
        <v>270108001</v>
      </c>
      <c r="H49" s="7">
        <v>1</v>
      </c>
      <c r="I49" s="8" t="s">
        <v>67</v>
      </c>
      <c r="J49" s="26" t="str">
        <f>+Categorias[[#This Row],[Categoría]]&amp;"-"&amp;Categorias[[#This Row],[Id_categoría]]</f>
        <v>Orientación e Información-270108001</v>
      </c>
      <c r="K49" s="27" t="str">
        <f>+Categorias[[#This Row],[Descripcion]]&amp;" | "&amp;VLOOKUP(Categorias[[#This Row],[Id_producto]],Productos[[Id_producto]:[Auxiliar]],5,0)</f>
        <v>Orientación e Información-270108001 | Prod: Salud-270108 | Sector: Mujer-2701 | Industria: MUJER-27</v>
      </c>
      <c r="L49" s="9" t="str">
        <f t="shared" si="10"/>
        <v>270108001orientacion_e_informacion</v>
      </c>
      <c r="M49" s="28" t="str">
        <f t="shared" si="11"/>
        <v>INSERT INTO categoria VALUES (270108001,'Orientación e Información','Orientación e Información-270108001','Orientación e Información-270108001 | Prod: Salud-270108 | Sector: Mujer-2701 | Industria: MUJER-27',270108);</v>
      </c>
    </row>
    <row r="50" spans="1:13" ht="40.799999999999997" x14ac:dyDescent="0.3">
      <c r="A50" s="10">
        <f t="shared" si="4"/>
        <v>27</v>
      </c>
      <c r="B50" s="8" t="str">
        <f>+VLOOKUP(A50,Industria[],2,0)</f>
        <v>Mujeres</v>
      </c>
      <c r="C50" s="10">
        <f t="shared" si="5"/>
        <v>2701</v>
      </c>
      <c r="D50" s="8" t="str">
        <f>+VLOOKUP(C50,Sector[[Id_sector]:[Codigo]],3,0)</f>
        <v>Violencia</v>
      </c>
      <c r="E50" s="10">
        <f t="shared" si="1"/>
        <v>270108</v>
      </c>
      <c r="F50" s="8" t="str">
        <f>+VLOOKUP(E50,Productos[[Id_producto]:[Codigo]],3,0)</f>
        <v>Centros de la Mujer</v>
      </c>
      <c r="G50" s="11">
        <f t="shared" si="2"/>
        <v>270108002</v>
      </c>
      <c r="H50" s="7">
        <v>2</v>
      </c>
      <c r="I50" s="8" t="s">
        <v>68</v>
      </c>
      <c r="J50" s="8" t="str">
        <f>+Categorias[[#This Row],[Categoría]]&amp;"-"&amp;Categorias[[#This Row],[Id_categoría]]</f>
        <v>Ingresos de años anteriores (por arrastre)-270108002</v>
      </c>
      <c r="K50" s="9" t="str">
        <f>+Categorias[[#This Row],[Descripcion]]&amp;" | "&amp;VLOOKUP(Categorias[[#This Row],[Id_producto]],Productos[[Id_producto]:[Auxiliar]],5,0)</f>
        <v>Ingresos de años anteriores (por arrastre)-270108002 | Prod: Salud-270108 | Sector: Mujer-2701 | Industria: MUJER-27</v>
      </c>
      <c r="L50" s="9" t="str">
        <f t="shared" si="3"/>
        <v>270108002ingresos_de_años_anteriores_(por_arrastre)</v>
      </c>
      <c r="M50" s="21" t="str">
        <f t="shared" si="0"/>
        <v>INSERT INTO categoria VALUES (270108002,'Ingresos de años anteriores (por arrastre)','Ingresos de años anteriores (por arrastre)-270108002','Ingresos de años anteriores (por arrastre)-270108002 | Prod: Salud-270108 | Sector: Mujer-2701 | Industria: MUJER-27',270108);</v>
      </c>
    </row>
    <row r="51" spans="1:13" ht="40.799999999999997" x14ac:dyDescent="0.3">
      <c r="A51" s="10">
        <f t="shared" si="4"/>
        <v>27</v>
      </c>
      <c r="B51" s="8" t="str">
        <f>+VLOOKUP(A51,Industria[],2,0)</f>
        <v>Mujeres</v>
      </c>
      <c r="C51" s="10">
        <f t="shared" si="5"/>
        <v>2701</v>
      </c>
      <c r="D51" s="8" t="str">
        <f>+VLOOKUP(C51,Sector[[Id_sector]:[Codigo]],3,0)</f>
        <v>Violencia</v>
      </c>
      <c r="E51" s="10">
        <f t="shared" ref="E51" si="12">+IF(H51=1,E50+1,E50)</f>
        <v>270108</v>
      </c>
      <c r="F51" s="8" t="str">
        <f>+VLOOKUP(E51,Productos[[Id_producto]:[Codigo]],3,0)</f>
        <v>Centros de la Mujer</v>
      </c>
      <c r="G51" s="11">
        <f t="shared" si="2"/>
        <v>270108003</v>
      </c>
      <c r="H51" s="7">
        <v>3</v>
      </c>
      <c r="I51" s="8" t="s">
        <v>69</v>
      </c>
      <c r="J51" s="8" t="str">
        <f>+Categorias[[#This Row],[Categoría]]&amp;"-"&amp;Categorias[[#This Row],[Id_categoría]]</f>
        <v>Ingresos efectivos  de Mujeres-270108003</v>
      </c>
      <c r="K51" s="9" t="str">
        <f>+Categorias[[#This Row],[Descripcion]]&amp;" | "&amp;VLOOKUP(Categorias[[#This Row],[Id_producto]],Productos[[Id_producto]:[Auxiliar]],5,0)</f>
        <v>Ingresos efectivos  de Mujeres-270108003 | Prod: Salud-270108 | Sector: Mujer-2701 | Industria: MUJER-27</v>
      </c>
      <c r="L51" s="9" t="str">
        <f t="shared" si="3"/>
        <v>270108003ingresos_efectivos__de_mujeres</v>
      </c>
      <c r="M51" s="21" t="str">
        <f t="shared" si="0"/>
        <v>INSERT INTO categoria VALUES (270108003,'Ingresos efectivos  de Mujeres','Ingresos efectivos  de Mujeres-270108003','Ingresos efectivos  de Mujeres-270108003 | Prod: Salud-270108 | Sector: Mujer-2701 | Industria: MUJER-27',270108);</v>
      </c>
    </row>
    <row r="52" spans="1:13" ht="30.6" x14ac:dyDescent="0.3">
      <c r="A52" s="10">
        <f t="shared" si="4"/>
        <v>27</v>
      </c>
      <c r="B52" s="8" t="str">
        <f>+VLOOKUP(A52,Industria[],2,0)</f>
        <v>Mujeres</v>
      </c>
      <c r="C52" s="10">
        <f t="shared" si="5"/>
        <v>2701</v>
      </c>
      <c r="D52" s="8" t="str">
        <f>+VLOOKUP(C52,Sector[[Id_sector]:[Codigo]],3,0)</f>
        <v>Violencia</v>
      </c>
      <c r="E52" s="10">
        <f t="shared" si="1"/>
        <v>270108</v>
      </c>
      <c r="F52" s="8" t="str">
        <f>+VLOOKUP(E52,Productos[[Id_producto]:[Codigo]],3,0)</f>
        <v>Centros de la Mujer</v>
      </c>
      <c r="G52" s="11">
        <f t="shared" si="2"/>
        <v>270108004</v>
      </c>
      <c r="H52" s="7">
        <v>4</v>
      </c>
      <c r="I52" s="8" t="s">
        <v>70</v>
      </c>
      <c r="J52" s="8" t="str">
        <f>+Categorias[[#This Row],[Categoría]]&amp;"-"&amp;Categorias[[#This Row],[Id_categoría]]</f>
        <v>Egreso -270108004</v>
      </c>
      <c r="K52" s="9" t="str">
        <f>+Categorias[[#This Row],[Descripcion]]&amp;" | "&amp;VLOOKUP(Categorias[[#This Row],[Id_producto]],Productos[[Id_producto]:[Auxiliar]],5,0)</f>
        <v>Egreso -270108004 | Prod: Salud-270108 | Sector: Mujer-2701 | Industria: MUJER-27</v>
      </c>
      <c r="L52" s="9" t="str">
        <f t="shared" si="3"/>
        <v>270108004egreso_</v>
      </c>
      <c r="M52" s="21" t="str">
        <f t="shared" si="0"/>
        <v>INSERT INTO categoria VALUES (270108004,'Egreso ','Egreso -270108004','Egreso -270108004 | Prod: Salud-270108 | Sector: Mujer-2701 | Industria: MUJER-27',270108);</v>
      </c>
    </row>
    <row r="53" spans="1:13" ht="30.6" x14ac:dyDescent="0.3">
      <c r="A53" s="10">
        <f t="shared" si="4"/>
        <v>27</v>
      </c>
      <c r="B53" s="8" t="str">
        <f>+VLOOKUP(A53,Industria[],2,0)</f>
        <v>Mujeres</v>
      </c>
      <c r="C53" s="10">
        <f t="shared" si="5"/>
        <v>2701</v>
      </c>
      <c r="D53" s="8" t="str">
        <f>+VLOOKUP(C53,Sector[[Id_sector]:[Codigo]],3,0)</f>
        <v>Violencia</v>
      </c>
      <c r="E53" s="10">
        <f t="shared" si="1"/>
        <v>270108</v>
      </c>
      <c r="F53" s="8" t="str">
        <f>+VLOOKUP(E53,Productos[[Id_producto]:[Codigo]],3,0)</f>
        <v>Centros de la Mujer</v>
      </c>
      <c r="G53" s="11">
        <f t="shared" si="2"/>
        <v>270108005</v>
      </c>
      <c r="H53" s="7">
        <v>5</v>
      </c>
      <c r="I53" s="8" t="s">
        <v>71</v>
      </c>
      <c r="J53" s="8" t="str">
        <f>+Categorias[[#This Row],[Categoría]]&amp;"-"&amp;Categorias[[#This Row],[Id_categoría]]</f>
        <v>Deserción-270108005</v>
      </c>
      <c r="K53" s="9" t="str">
        <f>+Categorias[[#This Row],[Descripcion]]&amp;" | "&amp;VLOOKUP(Categorias[[#This Row],[Id_producto]],Productos[[Id_producto]:[Auxiliar]],5,0)</f>
        <v>Deserción-270108005 | Prod: Salud-270108 | Sector: Mujer-2701 | Industria: MUJER-27</v>
      </c>
      <c r="L53" s="9" t="str">
        <f t="shared" si="3"/>
        <v>270108005desercion</v>
      </c>
      <c r="M53" s="21" t="str">
        <f t="shared" si="0"/>
        <v>INSERT INTO categoria VALUES (270108005,'Deserción','Deserción-270108005','Deserción-270108005 | Prod: Salud-270108 | Sector: Mujer-2701 | Industria: MUJER-27',270108);</v>
      </c>
    </row>
    <row r="54" spans="1:13" ht="30.6" x14ac:dyDescent="0.3">
      <c r="A54" s="10">
        <f t="shared" si="4"/>
        <v>27</v>
      </c>
      <c r="B54" s="8" t="str">
        <f>+VLOOKUP(A54,Industria[],2,0)</f>
        <v>Mujeres</v>
      </c>
      <c r="C54" s="10">
        <f t="shared" si="5"/>
        <v>2701</v>
      </c>
      <c r="D54" s="8" t="str">
        <f>+VLOOKUP(C54,Sector[[Id_sector]:[Codigo]],3,0)</f>
        <v>Violencia</v>
      </c>
      <c r="E54" s="10">
        <f t="shared" si="1"/>
        <v>270108</v>
      </c>
      <c r="F54" s="8" t="str">
        <f>+VLOOKUP(E54,Productos[[Id_producto]:[Codigo]],3,0)</f>
        <v>Centros de la Mujer</v>
      </c>
      <c r="G54" s="11">
        <f t="shared" si="2"/>
        <v>270108006</v>
      </c>
      <c r="H54" s="7">
        <v>6</v>
      </c>
      <c r="I54" s="8" t="s">
        <v>72</v>
      </c>
      <c r="J54" s="8" t="str">
        <f>+Categorias[[#This Row],[Categoría]]&amp;"-"&amp;Categorias[[#This Row],[Id_categoría]]</f>
        <v>Interrupción-270108006</v>
      </c>
      <c r="K54" s="9" t="str">
        <f>+Categorias[[#This Row],[Descripcion]]&amp;" | "&amp;VLOOKUP(Categorias[[#This Row],[Id_producto]],Productos[[Id_producto]:[Auxiliar]],5,0)</f>
        <v>Interrupción-270108006 | Prod: Salud-270108 | Sector: Mujer-2701 | Industria: MUJER-27</v>
      </c>
      <c r="L54" s="9" t="str">
        <f t="shared" si="3"/>
        <v>270108006interrupcion</v>
      </c>
      <c r="M54" s="21" t="str">
        <f t="shared" si="0"/>
        <v>INSERT INTO categoria VALUES (270108006,'Interrupción','Interrupción-270108006','Interrupción-270108006 | Prod: Salud-270108 | Sector: Mujer-2701 | Industria: MUJER-27',270108);</v>
      </c>
    </row>
    <row r="55" spans="1:13" ht="30.6" x14ac:dyDescent="0.3">
      <c r="A55" s="10">
        <f t="shared" si="4"/>
        <v>27</v>
      </c>
      <c r="B55" s="8" t="str">
        <f>+VLOOKUP(A55,Industria[],2,0)</f>
        <v>Mujeres</v>
      </c>
      <c r="C55" s="10">
        <f t="shared" si="5"/>
        <v>2701</v>
      </c>
      <c r="D55" s="8" t="str">
        <f>+VLOOKUP(C55,Sector[[Id_sector]:[Codigo]],3,0)</f>
        <v>Violencia</v>
      </c>
      <c r="E55" s="10">
        <f t="shared" si="1"/>
        <v>270108</v>
      </c>
      <c r="F55" s="8" t="str">
        <f>+VLOOKUP(E55,Productos[[Id_producto]:[Codigo]],3,0)</f>
        <v>Centros de la Mujer</v>
      </c>
      <c r="G55" s="11">
        <f t="shared" si="2"/>
        <v>270108007</v>
      </c>
      <c r="H55" s="7">
        <v>7</v>
      </c>
      <c r="I55" s="8" t="s">
        <v>73</v>
      </c>
      <c r="J55" s="8" t="str">
        <f>+Categorias[[#This Row],[Categoría]]&amp;"-"&amp;Categorias[[#This Row],[Id_categoría]]</f>
        <v>Derivacion-270108007</v>
      </c>
      <c r="K55" s="9" t="str">
        <f>+Categorias[[#This Row],[Descripcion]]&amp;" | "&amp;VLOOKUP(Categorias[[#This Row],[Id_producto]],Productos[[Id_producto]:[Auxiliar]],5,0)</f>
        <v>Derivacion-270108007 | Prod: Salud-270108 | Sector: Mujer-2701 | Industria: MUJER-27</v>
      </c>
      <c r="L55" s="9" t="str">
        <f t="shared" si="3"/>
        <v>270108007derivacion</v>
      </c>
      <c r="M55" s="21" t="str">
        <f t="shared" si="0"/>
        <v>INSERT INTO categoria VALUES (270108007,'Derivacion','Derivacion-270108007','Derivacion-270108007 | Prod: Salud-270108 | Sector: Mujer-2701 | Industria: MUJER-27',270108);</v>
      </c>
    </row>
    <row r="56" spans="1:13" ht="30.6" x14ac:dyDescent="0.3">
      <c r="A56" s="10">
        <f t="shared" si="4"/>
        <v>27</v>
      </c>
      <c r="B56" s="8" t="str">
        <f>+VLOOKUP(A56,Industria[],2,0)</f>
        <v>Mujeres</v>
      </c>
      <c r="C56" s="10">
        <f t="shared" si="5"/>
        <v>2701</v>
      </c>
      <c r="D56" s="8" t="str">
        <f>+VLOOKUP(C56,Sector[[Id_sector]:[Codigo]],3,0)</f>
        <v>Violencia</v>
      </c>
      <c r="E56" s="10">
        <f t="shared" si="1"/>
        <v>270108</v>
      </c>
      <c r="F56" s="8" t="str">
        <f>+VLOOKUP(E56,Productos[[Id_producto]:[Codigo]],3,0)</f>
        <v>Centros de la Mujer</v>
      </c>
      <c r="G56" s="11">
        <f>+E56*1000+H56</f>
        <v>270108008</v>
      </c>
      <c r="H56" s="7">
        <v>8</v>
      </c>
      <c r="I56" s="8" t="s">
        <v>74</v>
      </c>
      <c r="J56" s="26" t="str">
        <f>+Categorias[[#This Row],[Categoría]]&amp;"-"&amp;Categorias[[#This Row],[Id_categoría]]</f>
        <v>Traslado-270108008</v>
      </c>
      <c r="K56" s="27" t="str">
        <f>+Categorias[[#This Row],[Descripcion]]&amp;" | "&amp;VLOOKUP(Categorias[[#This Row],[Id_producto]],Productos[[Id_producto]:[Auxiliar]],5,0)</f>
        <v>Traslado-270108008 | Prod: Salud-270108 | Sector: Mujer-2701 | Industria: MUJER-27</v>
      </c>
      <c r="L56" s="9" t="str">
        <f>+SUBSTITUTE(G56&amp;LOWER(SUBSTITUTE( SUBSTITUTE( SUBSTITUTE( SUBSTITUTE( SUBSTITUTE( SUBSTITUTE( SUBSTITUTE( SUBSTITUTE( SUBSTITUTE( SUBSTITUTE(I56, "á", "a"), "é", "e"), "í", "i"), "ó", "o"), "ú", "u"), "Á", "A"), "É", "E"), "Í", "I"), "Ó", "O"), "Ú", "U"))," ","_")</f>
        <v>270108008traslado</v>
      </c>
      <c r="M56" s="28" t="str">
        <f>+"INSERT INTO categoria VALUES ("&amp;G56&amp;",'"&amp;I56&amp;"','"&amp;J56&amp;"','"&amp;K56&amp;"',"&amp;E56&amp;");"</f>
        <v>INSERT INTO categoria VALUES (270108008,'Traslado','Traslado-270108008','Traslado-270108008 | Prod: Salud-270108 | Sector: Mujer-2701 | Industria: MUJER-27',270108);</v>
      </c>
    </row>
    <row r="57" spans="1:13" ht="30.6" x14ac:dyDescent="0.3">
      <c r="A57" s="10">
        <f t="shared" si="4"/>
        <v>27</v>
      </c>
      <c r="B57" s="8" t="str">
        <f>+VLOOKUP(A57,Industria[],2,0)</f>
        <v>Mujeres</v>
      </c>
      <c r="C57" s="10">
        <f t="shared" si="5"/>
        <v>2701</v>
      </c>
      <c r="D57" s="8" t="str">
        <f>+VLOOKUP(C57,Sector[[Id_sector]:[Codigo]],3,0)</f>
        <v>Violencia</v>
      </c>
      <c r="E57" s="10">
        <f t="shared" si="1"/>
        <v>270108</v>
      </c>
      <c r="F57" s="8" t="str">
        <f>+VLOOKUP(E57,Productos[[Id_producto]:[Codigo]],3,0)</f>
        <v>Centros de la Mujer</v>
      </c>
      <c r="G57" s="11">
        <f t="shared" si="2"/>
        <v>270108009</v>
      </c>
      <c r="H57" s="7">
        <v>9</v>
      </c>
      <c r="I57" s="8" t="s">
        <v>75</v>
      </c>
      <c r="J57" s="8" t="str">
        <f>+Categorias[[#This Row],[Categoría]]&amp;"-"&amp;Categorias[[#This Row],[Id_categoría]]</f>
        <v>Fallecimiento-270108009</v>
      </c>
      <c r="K57" s="9" t="str">
        <f>+Categorias[[#This Row],[Descripcion]]&amp;" | "&amp;VLOOKUP(Categorias[[#This Row],[Id_producto]],Productos[[Id_producto]:[Auxiliar]],5,0)</f>
        <v>Fallecimiento-270108009 | Prod: Salud-270108 | Sector: Mujer-2701 | Industria: MUJER-27</v>
      </c>
      <c r="L57" s="9" t="str">
        <f t="shared" si="3"/>
        <v>270108009fallecimiento</v>
      </c>
      <c r="M57" s="21" t="str">
        <f t="shared" si="0"/>
        <v>INSERT INTO categoria VALUES (270108009,'Fallecimiento','Fallecimiento-270108009','Fallecimiento-270108009 | Prod: Salud-270108 | Sector: Mujer-2701 | Industria: MUJER-27',270108);</v>
      </c>
    </row>
    <row r="58" spans="1:13" ht="40.799999999999997" x14ac:dyDescent="0.3">
      <c r="A58" s="10">
        <f t="shared" si="4"/>
        <v>27</v>
      </c>
      <c r="B58" s="8" t="str">
        <f>+VLOOKUP(A58,Industria[],2,0)</f>
        <v>Mujeres</v>
      </c>
      <c r="C58" s="10">
        <f t="shared" si="5"/>
        <v>2701</v>
      </c>
      <c r="D58" s="8" t="str">
        <f>+VLOOKUP(C58,Sector[[Id_sector]:[Codigo]],3,0)</f>
        <v>Violencia</v>
      </c>
      <c r="E58" s="10">
        <f t="shared" si="1"/>
        <v>270109</v>
      </c>
      <c r="F58" s="8" t="str">
        <f>+VLOOKUP(E58,Productos[[Id_producto]:[Codigo]],3,0)</f>
        <v>Casas de Acogida</v>
      </c>
      <c r="G58" s="11">
        <f t="shared" si="2"/>
        <v>270109001</v>
      </c>
      <c r="H58" s="7">
        <v>1</v>
      </c>
      <c r="I58" s="8" t="s">
        <v>68</v>
      </c>
      <c r="J58" s="8" t="str">
        <f>+Categorias[[#This Row],[Categoría]]&amp;"-"&amp;Categorias[[#This Row],[Id_categoría]]</f>
        <v>Ingresos de años anteriores (por arrastre)-270109001</v>
      </c>
      <c r="K58" s="9" t="str">
        <f>+Categorias[[#This Row],[Descripcion]]&amp;" | "&amp;VLOOKUP(Categorias[[#This Row],[Id_producto]],Productos[[Id_producto]:[Auxiliar]],5,0)</f>
        <v>Ingresos de años anteriores (por arrastre)-270109001 | Prod: Salud-270109 | Sector: Mujer-2701 | Industria: MUJER-27</v>
      </c>
      <c r="L58" s="9" t="str">
        <f t="shared" si="3"/>
        <v>270109001ingresos_de_años_anteriores_(por_arrastre)</v>
      </c>
      <c r="M58" s="21" t="str">
        <f t="shared" si="0"/>
        <v>INSERT INTO categoria VALUES (270109001,'Ingresos de años anteriores (por arrastre)','Ingresos de años anteriores (por arrastre)-270109001','Ingresos de años anteriores (por arrastre)-270109001 | Prod: Salud-270109 | Sector: Mujer-2701 | Industria: MUJER-27',270109);</v>
      </c>
    </row>
    <row r="59" spans="1:13" ht="30.6" x14ac:dyDescent="0.3">
      <c r="A59" s="10">
        <f t="shared" si="4"/>
        <v>27</v>
      </c>
      <c r="B59" s="8" t="str">
        <f>+VLOOKUP(A59,Industria[],2,0)</f>
        <v>Mujeres</v>
      </c>
      <c r="C59" s="10">
        <f t="shared" si="5"/>
        <v>2701</v>
      </c>
      <c r="D59" s="8" t="str">
        <f>+VLOOKUP(C59,Sector[[Id_sector]:[Codigo]],3,0)</f>
        <v>Violencia</v>
      </c>
      <c r="E59" s="10">
        <f t="shared" si="1"/>
        <v>270109</v>
      </c>
      <c r="F59" s="8" t="str">
        <f>+VLOOKUP(E59,Productos[[Id_producto]:[Codigo]],3,0)</f>
        <v>Casas de Acogida</v>
      </c>
      <c r="G59" s="11">
        <f t="shared" si="2"/>
        <v>270109002</v>
      </c>
      <c r="H59" s="7">
        <v>2</v>
      </c>
      <c r="I59" s="8" t="s">
        <v>76</v>
      </c>
      <c r="J59" s="8" t="str">
        <f>+Categorias[[#This Row],[Categoría]]&amp;"-"&amp;Categorias[[#This Row],[Id_categoría]]</f>
        <v>Pre ingresos de Mujeres-270109002</v>
      </c>
      <c r="K59" s="9" t="str">
        <f>+Categorias[[#This Row],[Descripcion]]&amp;" | "&amp;VLOOKUP(Categorias[[#This Row],[Id_producto]],Productos[[Id_producto]:[Auxiliar]],5,0)</f>
        <v>Pre ingresos de Mujeres-270109002 | Prod: Salud-270109 | Sector: Mujer-2701 | Industria: MUJER-27</v>
      </c>
      <c r="L59" s="9" t="str">
        <f t="shared" si="3"/>
        <v>270109002pre_ingresos_de_mujeres</v>
      </c>
      <c r="M59" s="21" t="str">
        <f t="shared" si="0"/>
        <v>INSERT INTO categoria VALUES (270109002,'Pre ingresos de Mujeres','Pre ingresos de Mujeres-270109002','Pre ingresos de Mujeres-270109002 | Prod: Salud-270109 | Sector: Mujer-2701 | Industria: MUJER-27',270109);</v>
      </c>
    </row>
    <row r="60" spans="1:13" ht="40.799999999999997" x14ac:dyDescent="0.3">
      <c r="A60" s="10">
        <f t="shared" si="4"/>
        <v>27</v>
      </c>
      <c r="B60" s="8" t="str">
        <f>+VLOOKUP(A60,Industria[],2,0)</f>
        <v>Mujeres</v>
      </c>
      <c r="C60" s="10">
        <f t="shared" si="5"/>
        <v>2701</v>
      </c>
      <c r="D60" s="8" t="str">
        <f>+VLOOKUP(C60,Sector[[Id_sector]:[Codigo]],3,0)</f>
        <v>Violencia</v>
      </c>
      <c r="E60" s="10">
        <f t="shared" si="1"/>
        <v>270109</v>
      </c>
      <c r="F60" s="8" t="str">
        <f>+VLOOKUP(E60,Productos[[Id_producto]:[Codigo]],3,0)</f>
        <v>Casas de Acogida</v>
      </c>
      <c r="G60" s="11">
        <f t="shared" si="2"/>
        <v>270109003</v>
      </c>
      <c r="H60" s="7">
        <v>3</v>
      </c>
      <c r="I60" s="8" t="s">
        <v>77</v>
      </c>
      <c r="J60" s="8" t="str">
        <f>+Categorias[[#This Row],[Categoría]]&amp;"-"&amp;Categorias[[#This Row],[Id_categoría]]</f>
        <v>Ingresos efectivos de Mujeres-270109003</v>
      </c>
      <c r="K60" s="9" t="str">
        <f>+Categorias[[#This Row],[Descripcion]]&amp;" | "&amp;VLOOKUP(Categorias[[#This Row],[Id_producto]],Productos[[Id_producto]:[Auxiliar]],5,0)</f>
        <v>Ingresos efectivos de Mujeres-270109003 | Prod: Salud-270109 | Sector: Mujer-2701 | Industria: MUJER-27</v>
      </c>
      <c r="L60" s="9" t="str">
        <f t="shared" si="3"/>
        <v>270109003ingresos_efectivos_de_mujeres</v>
      </c>
      <c r="M60" s="21" t="str">
        <f t="shared" si="0"/>
        <v>INSERT INTO categoria VALUES (270109003,'Ingresos efectivos de Mujeres','Ingresos efectivos de Mujeres-270109003','Ingresos efectivos de Mujeres-270109003 | Prod: Salud-270109 | Sector: Mujer-2701 | Industria: MUJER-27',270109);</v>
      </c>
    </row>
    <row r="61" spans="1:13" ht="40.799999999999997" x14ac:dyDescent="0.3">
      <c r="A61" s="10">
        <f t="shared" si="4"/>
        <v>27</v>
      </c>
      <c r="B61" s="8" t="str">
        <f>+VLOOKUP(A61,Industria[],2,0)</f>
        <v>Mujeres</v>
      </c>
      <c r="C61" s="10">
        <f t="shared" si="5"/>
        <v>2701</v>
      </c>
      <c r="D61" s="8" t="str">
        <f>+VLOOKUP(C61,Sector[[Id_sector]:[Codigo]],3,0)</f>
        <v>Violencia</v>
      </c>
      <c r="E61" s="10">
        <f t="shared" si="1"/>
        <v>270109</v>
      </c>
      <c r="F61" s="8" t="str">
        <f>+VLOOKUP(E61,Productos[[Id_producto]:[Codigo]],3,0)</f>
        <v>Casas de Acogida</v>
      </c>
      <c r="G61" s="11">
        <f t="shared" si="2"/>
        <v>270109004</v>
      </c>
      <c r="H61" s="7">
        <v>4</v>
      </c>
      <c r="I61" s="8" t="s">
        <v>78</v>
      </c>
      <c r="J61" s="8" t="str">
        <f>+Categorias[[#This Row],[Categoría]]&amp;"-"&amp;Categorias[[#This Row],[Id_categoría]]</f>
        <v>Ingresos de niños y niñas-270109004</v>
      </c>
      <c r="K61" s="9" t="str">
        <f>+Categorias[[#This Row],[Descripcion]]&amp;" | "&amp;VLOOKUP(Categorias[[#This Row],[Id_producto]],Productos[[Id_producto]:[Auxiliar]],5,0)</f>
        <v>Ingresos de niños y niñas-270109004 | Prod: Salud-270109 | Sector: Mujer-2701 | Industria: MUJER-27</v>
      </c>
      <c r="L61" s="9" t="str">
        <f t="shared" si="3"/>
        <v>270109004ingresos_de_niños_y_niñas</v>
      </c>
      <c r="M61" s="21" t="str">
        <f t="shared" si="0"/>
        <v>INSERT INTO categoria VALUES (270109004,'Ingresos de niños y niñas','Ingresos de niños y niñas-270109004','Ingresos de niños y niñas-270109004 | Prod: Salud-270109 | Sector: Mujer-2701 | Industria: MUJER-27',270109);</v>
      </c>
    </row>
    <row r="62" spans="1:13" ht="30.6" x14ac:dyDescent="0.3">
      <c r="A62" s="10">
        <f t="shared" si="4"/>
        <v>27</v>
      </c>
      <c r="B62" s="8" t="str">
        <f>+VLOOKUP(A62,Industria[],2,0)</f>
        <v>Mujeres</v>
      </c>
      <c r="C62" s="10">
        <f t="shared" si="5"/>
        <v>2701</v>
      </c>
      <c r="D62" s="8" t="str">
        <f>+VLOOKUP(C62,Sector[[Id_sector]:[Codigo]],3,0)</f>
        <v>Violencia</v>
      </c>
      <c r="E62" s="10">
        <f t="shared" si="1"/>
        <v>270109</v>
      </c>
      <c r="F62" s="8" t="str">
        <f>+VLOOKUP(E62,Productos[[Id_producto]:[Codigo]],3,0)</f>
        <v>Casas de Acogida</v>
      </c>
      <c r="G62" s="11">
        <f>+E62*1000+H62</f>
        <v>270109005</v>
      </c>
      <c r="H62" s="7">
        <v>5</v>
      </c>
      <c r="I62" s="8" t="s">
        <v>79</v>
      </c>
      <c r="J62" s="26" t="str">
        <f>+Categorias[[#This Row],[Categoría]]&amp;"-"&amp;Categorias[[#This Row],[Id_categoría]]</f>
        <v>Egreso-270109005</v>
      </c>
      <c r="K62" s="27" t="str">
        <f>+Categorias[[#This Row],[Descripcion]]&amp;" | "&amp;VLOOKUP(Categorias[[#This Row],[Id_producto]],Productos[[Id_producto]:[Auxiliar]],5,0)</f>
        <v>Egreso-270109005 | Prod: Salud-270109 | Sector: Mujer-2701 | Industria: MUJER-27</v>
      </c>
      <c r="L62" s="9" t="str">
        <f>+SUBSTITUTE(G62&amp;LOWER(SUBSTITUTE( SUBSTITUTE( SUBSTITUTE( SUBSTITUTE( SUBSTITUTE( SUBSTITUTE( SUBSTITUTE( SUBSTITUTE( SUBSTITUTE( SUBSTITUTE(I62, "á", "a"), "é", "e"), "í", "i"), "ó", "o"), "ú", "u"), "Á", "A"), "É", "E"), "Í", "I"), "Ó", "O"), "Ú", "U"))," ","_")</f>
        <v>270109005egreso</v>
      </c>
      <c r="M62" s="28" t="str">
        <f>+"INSERT INTO categoria VALUES ("&amp;G62&amp;",'"&amp;I62&amp;"','"&amp;J62&amp;"','"&amp;K62&amp;"',"&amp;E62&amp;");"</f>
        <v>INSERT INTO categoria VALUES (270109005,'Egreso','Egreso-270109005','Egreso-270109005 | Prod: Salud-270109 | Sector: Mujer-2701 | Industria: MUJER-27',270109);</v>
      </c>
    </row>
    <row r="63" spans="1:13" ht="30.6" x14ac:dyDescent="0.3">
      <c r="A63" s="10">
        <f t="shared" si="4"/>
        <v>27</v>
      </c>
      <c r="B63" s="8" t="str">
        <f>+VLOOKUP(A63,Industria[],2,0)</f>
        <v>Mujeres</v>
      </c>
      <c r="C63" s="10">
        <f t="shared" si="5"/>
        <v>2701</v>
      </c>
      <c r="D63" s="8" t="str">
        <f>+VLOOKUP(C63,Sector[[Id_sector]:[Codigo]],3,0)</f>
        <v>Violencia</v>
      </c>
      <c r="E63" s="10">
        <f t="shared" si="1"/>
        <v>270109</v>
      </c>
      <c r="F63" s="8" t="str">
        <f>+VLOOKUP(E63,Productos[[Id_producto]:[Codigo]],3,0)</f>
        <v>Casas de Acogida</v>
      </c>
      <c r="G63" s="11">
        <f>+E63*1000+H63</f>
        <v>270109006</v>
      </c>
      <c r="H63" s="7">
        <v>6</v>
      </c>
      <c r="I63" s="8" t="s">
        <v>71</v>
      </c>
      <c r="J63" s="26" t="str">
        <f>+Categorias[[#This Row],[Categoría]]&amp;"-"&amp;Categorias[[#This Row],[Id_categoría]]</f>
        <v>Deserción-270109006</v>
      </c>
      <c r="K63" s="27" t="str">
        <f>+Categorias[[#This Row],[Descripcion]]&amp;" | "&amp;VLOOKUP(Categorias[[#This Row],[Id_producto]],Productos[[Id_producto]:[Auxiliar]],5,0)</f>
        <v>Deserción-270109006 | Prod: Salud-270109 | Sector: Mujer-2701 | Industria: MUJER-27</v>
      </c>
      <c r="L63" s="9" t="str">
        <f>+SUBSTITUTE(G63&amp;LOWER(SUBSTITUTE( SUBSTITUTE( SUBSTITUTE( SUBSTITUTE( SUBSTITUTE( SUBSTITUTE( SUBSTITUTE( SUBSTITUTE( SUBSTITUTE( SUBSTITUTE(I63, "á", "a"), "é", "e"), "í", "i"), "ó", "o"), "ú", "u"), "Á", "A"), "É", "E"), "Í", "I"), "Ó", "O"), "Ú", "U"))," ","_")</f>
        <v>270109006desercion</v>
      </c>
      <c r="M63" s="28" t="str">
        <f>+"INSERT INTO categoria VALUES ("&amp;G63&amp;",'"&amp;I63&amp;"','"&amp;J63&amp;"','"&amp;K63&amp;"',"&amp;E63&amp;");"</f>
        <v>INSERT INTO categoria VALUES (270109006,'Deserción','Deserción-270109006','Deserción-270109006 | Prod: Salud-270109 | Sector: Mujer-2701 | Industria: MUJER-27',270109);</v>
      </c>
    </row>
    <row r="64" spans="1:13" ht="30.6" x14ac:dyDescent="0.3">
      <c r="A64" s="10">
        <f t="shared" si="4"/>
        <v>27</v>
      </c>
      <c r="B64" s="8" t="str">
        <f>+VLOOKUP(A64,Industria[],2,0)</f>
        <v>Mujeres</v>
      </c>
      <c r="C64" s="10">
        <f t="shared" si="5"/>
        <v>2701</v>
      </c>
      <c r="D64" s="8" t="str">
        <f>+VLOOKUP(C64,Sector[[Id_sector]:[Codigo]],3,0)</f>
        <v>Violencia</v>
      </c>
      <c r="E64" s="10">
        <f t="shared" si="1"/>
        <v>270109</v>
      </c>
      <c r="F64" s="8" t="str">
        <f>+VLOOKUP(E64,Productos[[Id_producto]:[Codigo]],3,0)</f>
        <v>Casas de Acogida</v>
      </c>
      <c r="G64" s="11">
        <f t="shared" si="2"/>
        <v>270109007</v>
      </c>
      <c r="H64" s="7">
        <v>7</v>
      </c>
      <c r="I64" s="8" t="s">
        <v>74</v>
      </c>
      <c r="J64" s="8" t="str">
        <f>+Categorias[[#This Row],[Categoría]]&amp;"-"&amp;Categorias[[#This Row],[Id_categoría]]</f>
        <v>Traslado-270109007</v>
      </c>
      <c r="K64" s="9" t="str">
        <f>+Categorias[[#This Row],[Descripcion]]&amp;" | "&amp;VLOOKUP(Categorias[[#This Row],[Id_producto]],Productos[[Id_producto]:[Auxiliar]],5,0)</f>
        <v>Traslado-270109007 | Prod: Salud-270109 | Sector: Mujer-2701 | Industria: MUJER-27</v>
      </c>
      <c r="L64" s="9" t="str">
        <f t="shared" si="3"/>
        <v>270109007traslado</v>
      </c>
      <c r="M64" s="21" t="str">
        <f t="shared" si="0"/>
        <v>INSERT INTO categoria VALUES (270109007,'Traslado','Traslado-270109007','Traslado-270109007 | Prod: Salud-270109 | Sector: Mujer-2701 | Industria: MUJER-27',270109);</v>
      </c>
    </row>
    <row r="65" spans="1:13" ht="30.6" x14ac:dyDescent="0.3">
      <c r="A65" s="10">
        <f t="shared" si="4"/>
        <v>27</v>
      </c>
      <c r="B65" s="8" t="str">
        <f>+VLOOKUP(A65,Industria[],2,0)</f>
        <v>Mujeres</v>
      </c>
      <c r="C65" s="10">
        <f t="shared" si="5"/>
        <v>2701</v>
      </c>
      <c r="D65" s="8" t="str">
        <f>+VLOOKUP(C65,Sector[[Id_sector]:[Codigo]],3,0)</f>
        <v>Violencia</v>
      </c>
      <c r="E65" s="10">
        <f t="shared" si="1"/>
        <v>270109</v>
      </c>
      <c r="F65" s="8" t="str">
        <f>+VLOOKUP(E65,Productos[[Id_producto]:[Codigo]],3,0)</f>
        <v>Casas de Acogida</v>
      </c>
      <c r="G65" s="11">
        <f t="shared" si="2"/>
        <v>270109008</v>
      </c>
      <c r="H65" s="7">
        <v>8</v>
      </c>
      <c r="I65" s="8" t="s">
        <v>80</v>
      </c>
      <c r="J65" s="8" t="str">
        <f>+Categorias[[#This Row],[Categoría]]&amp;"-"&amp;Categorias[[#This Row],[Id_categoría]]</f>
        <v>Retiro-270109008</v>
      </c>
      <c r="K65" s="9" t="str">
        <f>+Categorias[[#This Row],[Descripcion]]&amp;" | "&amp;VLOOKUP(Categorias[[#This Row],[Id_producto]],Productos[[Id_producto]:[Auxiliar]],5,0)</f>
        <v>Retiro-270109008 | Prod: Salud-270109 | Sector: Mujer-2701 | Industria: MUJER-27</v>
      </c>
      <c r="L65" s="9" t="str">
        <f t="shared" si="3"/>
        <v>270109008retiro</v>
      </c>
      <c r="M65" s="21" t="str">
        <f t="shared" si="0"/>
        <v>INSERT INTO categoria VALUES (270109008,'Retiro','Retiro-270109008','Retiro-270109008 | Prod: Salud-270109 | Sector: Mujer-2701 | Industria: MUJER-27',270109);</v>
      </c>
    </row>
    <row r="66" spans="1:13" ht="30.6" x14ac:dyDescent="0.3">
      <c r="A66" s="10">
        <f t="shared" si="4"/>
        <v>27</v>
      </c>
      <c r="B66" s="8" t="str">
        <f>+VLOOKUP(A66,Industria[],2,0)</f>
        <v>Mujeres</v>
      </c>
      <c r="C66" s="10">
        <f t="shared" si="5"/>
        <v>2701</v>
      </c>
      <c r="D66" s="8" t="str">
        <f>+VLOOKUP(C66,Sector[[Id_sector]:[Codigo]],3,0)</f>
        <v>Violencia</v>
      </c>
      <c r="E66" s="10">
        <f t="shared" si="1"/>
        <v>270109</v>
      </c>
      <c r="F66" s="8" t="str">
        <f>+VLOOKUP(E66,Productos[[Id_producto]:[Codigo]],3,0)</f>
        <v>Casas de Acogida</v>
      </c>
      <c r="G66" s="11">
        <f>+E66*1000+H66</f>
        <v>270109009</v>
      </c>
      <c r="H66" s="7">
        <v>9</v>
      </c>
      <c r="I66" s="8" t="s">
        <v>81</v>
      </c>
      <c r="J66" s="26" t="str">
        <f>+Categorias[[#This Row],[Categoría]]&amp;"-"&amp;Categorias[[#This Row],[Id_categoría]]</f>
        <v>Fallecimiento -270109009</v>
      </c>
      <c r="K66" s="27" t="str">
        <f>+Categorias[[#This Row],[Descripcion]]&amp;" | "&amp;VLOOKUP(Categorias[[#This Row],[Id_producto]],Productos[[Id_producto]:[Auxiliar]],5,0)</f>
        <v>Fallecimiento -270109009 | Prod: Salud-270109 | Sector: Mujer-2701 | Industria: MUJER-27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270109009fallecimiento_</v>
      </c>
      <c r="M66" s="28" t="str">
        <f>+"INSERT INTO categoria VALUES ("&amp;G66&amp;",'"&amp;I66&amp;"','"&amp;J66&amp;"','"&amp;K66&amp;"',"&amp;E66&amp;");"</f>
        <v>INSERT INTO categoria VALUES (270109009,'Fallecimiento ','Fallecimiento -270109009','Fallecimiento -270109009 | Prod: Salud-270109 | Sector: Mujer-2701 | Industria: MUJER-27',270109);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2021-03-18T16:00:24Z</dcterms:created>
  <dcterms:modified xsi:type="dcterms:W3CDTF">2021-06-09T20:31:57Z</dcterms:modified>
  <cp:category/>
  <cp:contentStatus/>
</cp:coreProperties>
</file>