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COMUN\000 TABLAS GENERALES\"/>
    </mc:Choice>
  </mc:AlternateContent>
  <xr:revisionPtr revIDLastSave="0" documentId="13_ncr:1_{9C2BBA57-E31D-4FD7-859B-4C5CA4D73DA8}" xr6:coauthVersionLast="47" xr6:coauthVersionMax="47" xr10:uidLastSave="{00000000-0000-0000-0000-000000000000}"/>
  <bookViews>
    <workbookView xWindow="28680" yWindow="-120" windowWidth="29040" windowHeight="15990" activeTab="3" xr2:uid="{BADCD3CB-093B-41F5-A336-01B5D97B01B5}"/>
  </bookViews>
  <sheets>
    <sheet name="Industria" sheetId="2" r:id="rId1"/>
    <sheet name="Sector" sheetId="3" r:id="rId2"/>
    <sheet name="Producto" sheetId="4" r:id="rId3"/>
    <sheet name="Categoría" sheetId="5" r:id="rId4"/>
  </sheets>
  <definedNames>
    <definedName name="SegmentaciónDeDatos_Categoría">#N/A</definedName>
    <definedName name="SegmentaciónDeDatos_Industria">#N/A</definedName>
    <definedName name="SegmentaciónDeDatos_Industria1">#N/A</definedName>
    <definedName name="SegmentaciónDeDatos_Industria2">#N/A</definedName>
    <definedName name="SegmentaciónDeDatos_Producto">#N/A</definedName>
    <definedName name="SegmentaciónDeDatos_Producto1">#N/A</definedName>
    <definedName name="SegmentaciónDeDatos_Sector">#N/A</definedName>
    <definedName name="SegmentaciónDeDatos_Sector1">#N/A</definedName>
    <definedName name="SegmentaciónDeDatos_Sector2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1" i="5" l="1"/>
  <c r="B71" i="5" s="1"/>
  <c r="C71" i="5"/>
  <c r="D71" i="5"/>
  <c r="E71" i="5"/>
  <c r="F71" i="5" s="1"/>
  <c r="A62" i="5"/>
  <c r="C62" i="5"/>
  <c r="E62" i="5"/>
  <c r="E11" i="5"/>
  <c r="G71" i="5" l="1"/>
  <c r="L71" i="5" l="1"/>
  <c r="J71" i="5"/>
  <c r="K71" i="5" s="1"/>
  <c r="M71" i="5" l="1"/>
  <c r="E12" i="5" l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F35" i="5" l="1"/>
  <c r="G35" i="5"/>
  <c r="E38" i="5"/>
  <c r="E39" i="5" s="1"/>
  <c r="E40" i="5" s="1"/>
  <c r="E41" i="5" s="1"/>
  <c r="D5" i="2"/>
  <c r="E5" i="2" s="1"/>
  <c r="H9" i="3"/>
  <c r="J9" i="4"/>
  <c r="B11" i="4"/>
  <c r="B11" i="3"/>
  <c r="B10" i="5"/>
  <c r="C12" i="4"/>
  <c r="C13" i="4" s="1"/>
  <c r="C14" i="4" s="1"/>
  <c r="C15" i="4" s="1"/>
  <c r="C16" i="4" s="1"/>
  <c r="C17" i="4" s="1"/>
  <c r="C18" i="4" s="1"/>
  <c r="C19" i="4" s="1"/>
  <c r="E42" i="5" l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J35" i="5"/>
  <c r="K35" i="5" s="1"/>
  <c r="M35" i="5" s="1"/>
  <c r="L35" i="5"/>
  <c r="F36" i="5"/>
  <c r="G36" i="5"/>
  <c r="G11" i="3"/>
  <c r="G10" i="5"/>
  <c r="J10" i="5" s="1"/>
  <c r="E11" i="4"/>
  <c r="C11" i="3"/>
  <c r="G42" i="5" l="1"/>
  <c r="F42" i="5"/>
  <c r="L36" i="5"/>
  <c r="J36" i="5"/>
  <c r="K36" i="5" s="1"/>
  <c r="E54" i="5"/>
  <c r="E55" i="5" s="1"/>
  <c r="E56" i="5" s="1"/>
  <c r="E57" i="5" s="1"/>
  <c r="E58" i="5" s="1"/>
  <c r="E59" i="5" s="1"/>
  <c r="E60" i="5" s="1"/>
  <c r="L11" i="4"/>
  <c r="H11" i="3"/>
  <c r="L10" i="5"/>
  <c r="C11" i="5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12" i="4"/>
  <c r="E63" i="5" l="1"/>
  <c r="E64" i="5" s="1"/>
  <c r="E65" i="5" s="1"/>
  <c r="E66" i="5" s="1"/>
  <c r="E67" i="5" s="1"/>
  <c r="E68" i="5" s="1"/>
  <c r="E69" i="5" s="1"/>
  <c r="E70" i="5" s="1"/>
  <c r="E61" i="5"/>
  <c r="D35" i="5"/>
  <c r="C36" i="5"/>
  <c r="C37" i="5" s="1"/>
  <c r="B35" i="5"/>
  <c r="A36" i="5"/>
  <c r="A37" i="5" s="1"/>
  <c r="J42" i="5"/>
  <c r="K42" i="5" s="1"/>
  <c r="L42" i="5"/>
  <c r="A38" i="5"/>
  <c r="A39" i="5" s="1"/>
  <c r="A40" i="5" s="1"/>
  <c r="A41" i="5" s="1"/>
  <c r="M36" i="5"/>
  <c r="C38" i="5"/>
  <c r="C39" i="5" s="1"/>
  <c r="C40" i="5" s="1"/>
  <c r="C41" i="5" s="1"/>
  <c r="D36" i="5"/>
  <c r="A13" i="4"/>
  <c r="B12" i="4"/>
  <c r="G11" i="5"/>
  <c r="J11" i="5" s="1"/>
  <c r="B11" i="5"/>
  <c r="F61" i="5" l="1"/>
  <c r="G61" i="5"/>
  <c r="M42" i="5"/>
  <c r="A42" i="5"/>
  <c r="C42" i="5"/>
  <c r="B36" i="5"/>
  <c r="L11" i="5"/>
  <c r="A14" i="4"/>
  <c r="B13" i="4"/>
  <c r="G12" i="5"/>
  <c r="B12" i="5"/>
  <c r="D42" i="5" l="1"/>
  <c r="C43" i="5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L61" i="5"/>
  <c r="J61" i="5"/>
  <c r="K61" i="5" s="1"/>
  <c r="B42" i="5"/>
  <c r="A43" i="5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D15" i="4"/>
  <c r="D12" i="4"/>
  <c r="L12" i="5"/>
  <c r="J12" i="5"/>
  <c r="A15" i="4"/>
  <c r="B14" i="4"/>
  <c r="G13" i="5"/>
  <c r="J13" i="5" s="1"/>
  <c r="B13" i="5"/>
  <c r="D14" i="5"/>
  <c r="A63" i="5" l="1"/>
  <c r="A64" i="5" s="1"/>
  <c r="A65" i="5" s="1"/>
  <c r="A66" i="5" s="1"/>
  <c r="A67" i="5" s="1"/>
  <c r="A68" i="5" s="1"/>
  <c r="A69" i="5" s="1"/>
  <c r="A70" i="5" s="1"/>
  <c r="A61" i="5"/>
  <c r="B61" i="5" s="1"/>
  <c r="C63" i="5"/>
  <c r="C64" i="5" s="1"/>
  <c r="C65" i="5" s="1"/>
  <c r="C66" i="5" s="1"/>
  <c r="C67" i="5" s="1"/>
  <c r="C68" i="5" s="1"/>
  <c r="C69" i="5" s="1"/>
  <c r="C70" i="5" s="1"/>
  <c r="C61" i="5"/>
  <c r="D61" i="5" s="1"/>
  <c r="M61" i="5"/>
  <c r="D13" i="4"/>
  <c r="D11" i="4"/>
  <c r="D11" i="5"/>
  <c r="D17" i="4"/>
  <c r="D10" i="5"/>
  <c r="I11" i="4"/>
  <c r="D16" i="4"/>
  <c r="D13" i="5"/>
  <c r="D14" i="4"/>
  <c r="D18" i="4"/>
  <c r="D12" i="5"/>
  <c r="D19" i="4"/>
  <c r="L13" i="5"/>
  <c r="B15" i="4"/>
  <c r="A16" i="4"/>
  <c r="B14" i="5"/>
  <c r="G14" i="5"/>
  <c r="D15" i="5"/>
  <c r="J11" i="4" l="1"/>
  <c r="L14" i="5"/>
  <c r="J14" i="5"/>
  <c r="A17" i="4"/>
  <c r="B16" i="4"/>
  <c r="B15" i="5"/>
  <c r="G15" i="5"/>
  <c r="D16" i="5"/>
  <c r="L15" i="5" l="1"/>
  <c r="J15" i="5"/>
  <c r="A18" i="4"/>
  <c r="B17" i="4"/>
  <c r="G16" i="5"/>
  <c r="B16" i="5"/>
  <c r="D17" i="5"/>
  <c r="L16" i="5" l="1"/>
  <c r="J16" i="5"/>
  <c r="A19" i="4"/>
  <c r="B18" i="4"/>
  <c r="G17" i="5"/>
  <c r="B17" i="5"/>
  <c r="D18" i="5"/>
  <c r="L17" i="5" l="1"/>
  <c r="J17" i="5"/>
  <c r="B19" i="4"/>
  <c r="G18" i="5"/>
  <c r="B18" i="5"/>
  <c r="G21" i="5" l="1"/>
  <c r="B20" i="5"/>
  <c r="G20" i="5"/>
  <c r="D19" i="5"/>
  <c r="L18" i="5"/>
  <c r="J18" i="5"/>
  <c r="B19" i="5"/>
  <c r="G19" i="5"/>
  <c r="G24" i="5" l="1"/>
  <c r="G23" i="5"/>
  <c r="L23" i="5" s="1"/>
  <c r="B24" i="5"/>
  <c r="B22" i="5"/>
  <c r="G22" i="5"/>
  <c r="B21" i="5"/>
  <c r="B26" i="5"/>
  <c r="L21" i="5"/>
  <c r="J21" i="5"/>
  <c r="D20" i="5"/>
  <c r="L20" i="5"/>
  <c r="J20" i="5"/>
  <c r="L19" i="5"/>
  <c r="J19" i="5"/>
  <c r="G26" i="5"/>
  <c r="J23" i="5" l="1"/>
  <c r="J24" i="5"/>
  <c r="L24" i="5"/>
  <c r="B23" i="5"/>
  <c r="B25" i="5"/>
  <c r="G25" i="5"/>
  <c r="D24" i="5"/>
  <c r="D22" i="5"/>
  <c r="L22" i="5"/>
  <c r="J22" i="5"/>
  <c r="D21" i="5"/>
  <c r="L26" i="5"/>
  <c r="J26" i="5"/>
  <c r="G27" i="5"/>
  <c r="L25" i="5" l="1"/>
  <c r="J25" i="5"/>
  <c r="D23" i="5"/>
  <c r="D25" i="5"/>
  <c r="B27" i="5"/>
  <c r="D26" i="5"/>
  <c r="L27" i="5"/>
  <c r="J27" i="5"/>
  <c r="B28" i="5"/>
  <c r="G28" i="5"/>
  <c r="E12" i="4"/>
  <c r="D27" i="5" l="1"/>
  <c r="L12" i="4"/>
  <c r="I12" i="4"/>
  <c r="L28" i="5"/>
  <c r="J28" i="5"/>
  <c r="B29" i="5"/>
  <c r="G29" i="5"/>
  <c r="E13" i="4"/>
  <c r="D28" i="5" l="1"/>
  <c r="L13" i="4"/>
  <c r="I13" i="4"/>
  <c r="J13" i="4" s="1"/>
  <c r="J12" i="4"/>
  <c r="L29" i="5"/>
  <c r="J29" i="5"/>
  <c r="B30" i="5"/>
  <c r="G30" i="5"/>
  <c r="E14" i="4"/>
  <c r="D29" i="5" l="1"/>
  <c r="L14" i="4"/>
  <c r="I14" i="4"/>
  <c r="J14" i="4" s="1"/>
  <c r="L30" i="5"/>
  <c r="J30" i="5"/>
  <c r="B34" i="5"/>
  <c r="B31" i="5"/>
  <c r="G31" i="5"/>
  <c r="E15" i="4"/>
  <c r="B33" i="5" l="1"/>
  <c r="B37" i="5"/>
  <c r="D30" i="5"/>
  <c r="L15" i="4"/>
  <c r="I15" i="4"/>
  <c r="J15" i="4" s="1"/>
  <c r="L31" i="5"/>
  <c r="J31" i="5"/>
  <c r="B32" i="5"/>
  <c r="G32" i="5"/>
  <c r="E16" i="4"/>
  <c r="D31" i="5" l="1"/>
  <c r="L16" i="4"/>
  <c r="G33" i="5"/>
  <c r="I16" i="4"/>
  <c r="J16" i="4" s="1"/>
  <c r="L32" i="5"/>
  <c r="J32" i="5"/>
  <c r="B38" i="5"/>
  <c r="G38" i="5"/>
  <c r="E17" i="4"/>
  <c r="G37" i="5" l="1"/>
  <c r="L37" i="5" s="1"/>
  <c r="G34" i="5"/>
  <c r="D32" i="5"/>
  <c r="D34" i="5"/>
  <c r="L17" i="4"/>
  <c r="L33" i="5"/>
  <c r="J33" i="5"/>
  <c r="I17" i="4"/>
  <c r="J17" i="4" s="1"/>
  <c r="L38" i="5"/>
  <c r="J38" i="5"/>
  <c r="B39" i="5"/>
  <c r="G39" i="5"/>
  <c r="E18" i="4"/>
  <c r="J37" i="5" l="1"/>
  <c r="L34" i="5"/>
  <c r="J34" i="5"/>
  <c r="D33" i="5"/>
  <c r="D37" i="5"/>
  <c r="D38" i="5"/>
  <c r="L18" i="4"/>
  <c r="I18" i="4"/>
  <c r="J18" i="4" s="1"/>
  <c r="L39" i="5"/>
  <c r="J39" i="5"/>
  <c r="B40" i="5"/>
  <c r="G40" i="5"/>
  <c r="E19" i="4"/>
  <c r="L19" i="4" l="1"/>
  <c r="D39" i="5"/>
  <c r="I19" i="4"/>
  <c r="J19" i="4" s="1"/>
  <c r="L40" i="5"/>
  <c r="J40" i="5"/>
  <c r="B41" i="5"/>
  <c r="G41" i="5"/>
  <c r="D40" i="5" l="1"/>
  <c r="L41" i="5"/>
  <c r="J41" i="5"/>
  <c r="B43" i="5"/>
  <c r="G43" i="5"/>
  <c r="D41" i="5" l="1"/>
  <c r="L43" i="5"/>
  <c r="J43" i="5"/>
  <c r="B44" i="5"/>
  <c r="G44" i="5"/>
  <c r="B46" i="5" l="1"/>
  <c r="G46" i="5"/>
  <c r="D43" i="5"/>
  <c r="L44" i="5"/>
  <c r="J44" i="5"/>
  <c r="B45" i="5"/>
  <c r="G45" i="5"/>
  <c r="G48" i="5" l="1"/>
  <c r="B49" i="5"/>
  <c r="B48" i="5"/>
  <c r="B51" i="5"/>
  <c r="B50" i="5"/>
  <c r="B47" i="5"/>
  <c r="B52" i="5"/>
  <c r="L46" i="5"/>
  <c r="J46" i="5"/>
  <c r="G47" i="5"/>
  <c r="D44" i="5"/>
  <c r="L45" i="5"/>
  <c r="J45" i="5"/>
  <c r="B53" i="5"/>
  <c r="G53" i="5"/>
  <c r="J48" i="5" l="1"/>
  <c r="L48" i="5"/>
  <c r="G50" i="5"/>
  <c r="L50" i="5" s="1"/>
  <c r="G49" i="5"/>
  <c r="G52" i="5"/>
  <c r="L52" i="5" s="1"/>
  <c r="G51" i="5"/>
  <c r="D46" i="5"/>
  <c r="L47" i="5"/>
  <c r="J47" i="5"/>
  <c r="D45" i="5"/>
  <c r="L53" i="5"/>
  <c r="J53" i="5"/>
  <c r="B54" i="5"/>
  <c r="G54" i="5"/>
  <c r="J50" i="5" l="1"/>
  <c r="J52" i="5"/>
  <c r="D49" i="5"/>
  <c r="D48" i="5"/>
  <c r="L49" i="5"/>
  <c r="J49" i="5"/>
  <c r="D51" i="5"/>
  <c r="D50" i="5"/>
  <c r="L51" i="5"/>
  <c r="J51" i="5"/>
  <c r="D47" i="5"/>
  <c r="D52" i="5"/>
  <c r="D53" i="5"/>
  <c r="L54" i="5"/>
  <c r="J54" i="5"/>
  <c r="B55" i="5"/>
  <c r="G55" i="5"/>
  <c r="D54" i="5" l="1"/>
  <c r="L55" i="5"/>
  <c r="J55" i="5"/>
  <c r="B56" i="5"/>
  <c r="G56" i="5"/>
  <c r="D55" i="5" l="1"/>
  <c r="L56" i="5"/>
  <c r="J56" i="5"/>
  <c r="B59" i="5"/>
  <c r="B57" i="5"/>
  <c r="G57" i="5"/>
  <c r="D56" i="5" l="1"/>
  <c r="L57" i="5"/>
  <c r="J57" i="5"/>
  <c r="B58" i="5"/>
  <c r="G58" i="5"/>
  <c r="G59" i="5" l="1"/>
  <c r="D57" i="5"/>
  <c r="D59" i="5"/>
  <c r="L58" i="5"/>
  <c r="J58" i="5"/>
  <c r="B60" i="5"/>
  <c r="G60" i="5"/>
  <c r="L59" i="5" l="1"/>
  <c r="J59" i="5"/>
  <c r="D58" i="5"/>
  <c r="L60" i="5"/>
  <c r="J60" i="5"/>
  <c r="B62" i="5"/>
  <c r="G62" i="5"/>
  <c r="D60" i="5" l="1"/>
  <c r="L62" i="5"/>
  <c r="J62" i="5"/>
  <c r="B63" i="5"/>
  <c r="G63" i="5"/>
  <c r="D62" i="5" l="1"/>
  <c r="L63" i="5"/>
  <c r="J63" i="5"/>
  <c r="B64" i="5"/>
  <c r="G64" i="5"/>
  <c r="B66" i="5" l="1"/>
  <c r="B67" i="5"/>
  <c r="D63" i="5"/>
  <c r="L64" i="5"/>
  <c r="J64" i="5"/>
  <c r="B65" i="5"/>
  <c r="G65" i="5"/>
  <c r="G67" i="5" l="1"/>
  <c r="D64" i="5"/>
  <c r="G66" i="5"/>
  <c r="L65" i="5"/>
  <c r="J65" i="5"/>
  <c r="B70" i="5"/>
  <c r="B68" i="5"/>
  <c r="G68" i="5"/>
  <c r="L67" i="5" l="1"/>
  <c r="J67" i="5"/>
  <c r="D65" i="5"/>
  <c r="L66" i="5"/>
  <c r="J66" i="5"/>
  <c r="L68" i="5"/>
  <c r="J68" i="5"/>
  <c r="B69" i="5"/>
  <c r="G69" i="5"/>
  <c r="D66" i="5" l="1"/>
  <c r="D67" i="5"/>
  <c r="G70" i="5"/>
  <c r="D68" i="5"/>
  <c r="D70" i="5"/>
  <c r="L69" i="5"/>
  <c r="J69" i="5"/>
  <c r="L70" i="5" l="1"/>
  <c r="J70" i="5"/>
  <c r="D69" i="5"/>
  <c r="K24" i="5" l="1"/>
  <c r="M24" i="5" s="1"/>
  <c r="K22" i="5"/>
  <c r="M22" i="5" s="1"/>
  <c r="K12" i="5"/>
  <c r="M12" i="5" s="1"/>
  <c r="K15" i="5"/>
  <c r="M15" i="5" s="1"/>
  <c r="K11" i="5"/>
  <c r="M11" i="5" s="1"/>
  <c r="K17" i="5"/>
  <c r="M17" i="5" s="1"/>
  <c r="K18" i="5"/>
  <c r="M18" i="5" s="1"/>
  <c r="K21" i="5"/>
  <c r="M21" i="5" s="1"/>
  <c r="K19" i="5"/>
  <c r="M19" i="5" s="1"/>
  <c r="K13" i="5"/>
  <c r="M13" i="5" s="1"/>
  <c r="K20" i="5"/>
  <c r="M20" i="5" s="1"/>
  <c r="K16" i="5"/>
  <c r="M16" i="5" s="1"/>
  <c r="K14" i="5"/>
  <c r="M14" i="5" s="1"/>
  <c r="K23" i="5"/>
  <c r="M23" i="5" s="1"/>
  <c r="K10" i="5"/>
  <c r="M10" i="5" s="1"/>
  <c r="K25" i="5"/>
  <c r="M25" i="5" s="1"/>
  <c r="K27" i="5"/>
  <c r="M27" i="5" s="1"/>
  <c r="K28" i="5"/>
  <c r="M28" i="5" s="1"/>
  <c r="K26" i="5"/>
  <c r="M26" i="5" s="1"/>
  <c r="K29" i="5"/>
  <c r="M29" i="5" s="1"/>
  <c r="K30" i="5"/>
  <c r="M30" i="5" s="1"/>
  <c r="K31" i="5"/>
  <c r="M31" i="5" s="1"/>
  <c r="K32" i="5"/>
  <c r="M32" i="5" s="1"/>
  <c r="K38" i="5"/>
  <c r="M38" i="5" s="1"/>
  <c r="K34" i="5"/>
  <c r="M34" i="5" s="1"/>
  <c r="K33" i="5"/>
  <c r="M33" i="5" s="1"/>
  <c r="K40" i="5"/>
  <c r="M40" i="5" s="1"/>
  <c r="K37" i="5"/>
  <c r="M37" i="5" s="1"/>
  <c r="K39" i="5"/>
  <c r="M39" i="5" s="1"/>
  <c r="K41" i="5"/>
  <c r="M41" i="5" s="1"/>
  <c r="K43" i="5"/>
  <c r="M43" i="5" s="1"/>
  <c r="K45" i="5"/>
  <c r="M45" i="5" s="1"/>
  <c r="K52" i="5"/>
  <c r="M52" i="5" s="1"/>
  <c r="K46" i="5"/>
  <c r="M46" i="5" s="1"/>
  <c r="K44" i="5"/>
  <c r="M44" i="5" s="1"/>
  <c r="K53" i="5"/>
  <c r="M53" i="5" s="1"/>
  <c r="K49" i="5"/>
  <c r="M49" i="5" s="1"/>
  <c r="K47" i="5"/>
  <c r="M47" i="5" s="1"/>
  <c r="K54" i="5"/>
  <c r="M54" i="5" s="1"/>
  <c r="K48" i="5"/>
  <c r="M48" i="5" s="1"/>
  <c r="K50" i="5"/>
  <c r="M50" i="5" s="1"/>
  <c r="K51" i="5"/>
  <c r="M51" i="5" s="1"/>
  <c r="K56" i="5"/>
  <c r="M56" i="5" s="1"/>
  <c r="K55" i="5"/>
  <c r="M55" i="5" s="1"/>
  <c r="K57" i="5"/>
  <c r="M57" i="5" s="1"/>
  <c r="K58" i="5"/>
  <c r="M58" i="5" s="1"/>
  <c r="K59" i="5"/>
  <c r="M59" i="5" s="1"/>
  <c r="K60" i="5"/>
  <c r="M60" i="5" s="1"/>
  <c r="K64" i="5"/>
  <c r="M64" i="5" s="1"/>
  <c r="K63" i="5"/>
  <c r="M63" i="5" s="1"/>
  <c r="K65" i="5"/>
  <c r="M65" i="5" s="1"/>
  <c r="K66" i="5"/>
  <c r="M66" i="5" s="1"/>
  <c r="K62" i="5"/>
  <c r="M62" i="5" s="1"/>
  <c r="K68" i="5"/>
  <c r="M68" i="5" s="1"/>
  <c r="K69" i="5"/>
  <c r="M69" i="5" s="1"/>
  <c r="K70" i="5"/>
  <c r="M70" i="5" s="1"/>
  <c r="K67" i="5"/>
  <c r="M67" i="5" s="1"/>
  <c r="F10" i="5" l="1"/>
  <c r="F24" i="5"/>
  <c r="F14" i="5"/>
  <c r="F12" i="5"/>
  <c r="F13" i="5"/>
  <c r="F23" i="5"/>
  <c r="F31" i="5"/>
  <c r="F11" i="5"/>
  <c r="F19" i="5"/>
  <c r="F20" i="5"/>
  <c r="F15" i="5"/>
  <c r="F16" i="5"/>
  <c r="F18" i="5"/>
  <c r="F25" i="5"/>
  <c r="F21" i="5"/>
  <c r="F17" i="5"/>
  <c r="F22" i="5"/>
  <c r="F30" i="5"/>
  <c r="F26" i="5"/>
  <c r="F29" i="5"/>
  <c r="F28" i="5"/>
  <c r="F27" i="5"/>
  <c r="F32" i="5"/>
  <c r="F38" i="5"/>
  <c r="F37" i="5"/>
  <c r="F40" i="5"/>
  <c r="F33" i="5"/>
  <c r="F39" i="5"/>
  <c r="F41" i="5"/>
  <c r="F34" i="5"/>
  <c r="F52" i="5"/>
  <c r="F44" i="5"/>
  <c r="F43" i="5"/>
  <c r="F48" i="5"/>
  <c r="F50" i="5"/>
  <c r="F53" i="5"/>
  <c r="F54" i="5"/>
  <c r="F46" i="5"/>
  <c r="F49" i="5"/>
  <c r="F51" i="5"/>
  <c r="F47" i="5"/>
  <c r="F55" i="5"/>
  <c r="F45" i="5"/>
  <c r="F57" i="5"/>
  <c r="F56" i="5"/>
  <c r="F58" i="5"/>
  <c r="F60" i="5"/>
  <c r="F63" i="5"/>
  <c r="F62" i="5"/>
  <c r="F59" i="5"/>
  <c r="F64" i="5"/>
  <c r="F68" i="5"/>
  <c r="F65" i="5"/>
  <c r="F67" i="5"/>
  <c r="F66" i="5"/>
  <c r="F69" i="5"/>
  <c r="F70" i="5"/>
  <c r="G8" i="5" l="1"/>
</calcChain>
</file>

<file path=xl/sharedStrings.xml><?xml version="1.0" encoding="utf-8"?>
<sst xmlns="http://schemas.openxmlformats.org/spreadsheetml/2006/main" count="120" uniqueCount="85">
  <si>
    <t>Id_industria</t>
  </si>
  <si>
    <t>Industria</t>
  </si>
  <si>
    <t>Descripcion</t>
  </si>
  <si>
    <t>Auxiliar</t>
  </si>
  <si>
    <t>Codigo</t>
  </si>
  <si>
    <t>Id_sector</t>
  </si>
  <si>
    <t>corr</t>
  </si>
  <si>
    <t>Sector</t>
  </si>
  <si>
    <t>Id_producto</t>
  </si>
  <si>
    <t>Corr</t>
  </si>
  <si>
    <t>Producto</t>
  </si>
  <si>
    <t>Delitos</t>
  </si>
  <si>
    <t>Delitos Contra la Vida, Integridad o Dignidad Personal</t>
  </si>
  <si>
    <t>Delitos Cometidos por Empleados y Funcionarios Públicos</t>
  </si>
  <si>
    <t>Delitos Contra la Intimidad y la Libertad</t>
  </si>
  <si>
    <t>Delitos Contra el Estado Civil y la Familia</t>
  </si>
  <si>
    <t>Id_categoría</t>
  </si>
  <si>
    <t>Categoría</t>
  </si>
  <si>
    <t>Carpeta GITHUB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</si>
  <si>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</si>
  <si>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</si>
  <si>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</si>
  <si>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</si>
  <si>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</si>
  <si>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</si>
  <si>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</si>
  <si>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</si>
  <si>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</si>
  <si>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</si>
  <si>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</si>
  <si>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</si>
  <si>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</si>
  <si>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</si>
  <si>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</si>
  <si>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</si>
  <si>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</si>
  <si>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</si>
  <si>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</si>
  <si>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</si>
  <si>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</si>
  <si>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</si>
  <si>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</si>
  <si>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</si>
  <si>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</si>
  <si>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</si>
  <si>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</si>
  <si>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</si>
  <si>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Infracciones A La Ley De Identidad De Género</t>
  </si>
  <si>
    <t>Maltrato Habitual (Violencia Intrafamiliar)</t>
  </si>
  <si>
    <t>Mujeres</t>
  </si>
  <si>
    <t>MUJER-27</t>
  </si>
  <si>
    <t>Violencia</t>
  </si>
  <si>
    <t>Mujer-2701</t>
  </si>
  <si>
    <t>Delitos sexuales</t>
  </si>
  <si>
    <t>Delitos violentos</t>
  </si>
  <si>
    <t>Atenciones médicas</t>
  </si>
  <si>
    <t>Centros de la Mujer</t>
  </si>
  <si>
    <t>Casas de Acogida</t>
  </si>
  <si>
    <t>Salud</t>
  </si>
  <si>
    <t>Apremios Ilegíticos Violación, Abuso Sexual Agravado, Otros</t>
  </si>
  <si>
    <t>Acoso Laboral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</si>
  <si>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</si>
  <si>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</si>
  <si>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</si>
  <si>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</si>
  <si>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</si>
  <si>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</si>
  <si>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</si>
  <si>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</si>
  <si>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</si>
  <si>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</si>
  <si>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</si>
  <si>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</si>
  <si>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</si>
  <si>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</si>
  <si>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</si>
  <si>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</si>
  <si>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</si>
  <si>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</si>
  <si>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</si>
  <si>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</si>
  <si>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</si>
  <si>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Violencia Económica</t>
  </si>
  <si>
    <t>Violencia Psicológica</t>
  </si>
  <si>
    <t>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</si>
</sst>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3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1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5" fillId="6" borderId="0" xfId="0" applyNumberFormat="1" applyFont="1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4" borderId="2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0" fillId="4" borderId="2" xfId="1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6" borderId="2" xfId="0" applyNumberFormat="1" applyFont="1" applyFill="1" applyBorder="1" applyAlignment="1">
      <alignment horizontal="left" vertical="top" wrapText="1"/>
    </xf>
  </cellXfs>
  <cellStyles count="2">
    <cellStyle name="Millares [0]" xfId="1" builtinId="6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CCC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CCC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CCC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FFCCCC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ill>
        <patternFill>
          <fgColor indexed="64"/>
          <bgColor rgb="FFFFCCCC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CCCC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FFCCCC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CCCC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FFCCCC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microsoft.com/office/2007/relationships/slicerCache" Target="slicerCaches/slicerCache9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microsoft.com/office/2007/relationships/slicerCache" Target="slicerCaches/slicerCache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tyles" Target="style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</xdr:colOff>
      <xdr:row>0</xdr:row>
      <xdr:rowOff>15240</xdr:rowOff>
    </xdr:from>
    <xdr:to>
      <xdr:col>4</xdr:col>
      <xdr:colOff>213360</xdr:colOff>
      <xdr:row>7</xdr:row>
      <xdr:rowOff>175080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2">
              <a:extLst>
                <a:ext uri="{FF2B5EF4-FFF2-40B4-BE49-F238E27FC236}">
                  <a16:creationId xmlns:a16="http://schemas.microsoft.com/office/drawing/2014/main" id="{04A33E45-F8CF-4FCD-B606-B7E353491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15240"/>
              <a:ext cx="18288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495300</xdr:colOff>
      <xdr:row>0</xdr:row>
      <xdr:rowOff>0</xdr:rowOff>
    </xdr:from>
    <xdr:to>
      <xdr:col>7</xdr:col>
      <xdr:colOff>739140</xdr:colOff>
      <xdr:row>7</xdr:row>
      <xdr:rowOff>159840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2">
              <a:extLst>
                <a:ext uri="{FF2B5EF4-FFF2-40B4-BE49-F238E27FC236}">
                  <a16:creationId xmlns:a16="http://schemas.microsoft.com/office/drawing/2014/main" id="{AECC1357-8DCE-4F57-B81B-1D28A4E6ED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" y="0"/>
              <a:ext cx="547878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2</xdr:col>
      <xdr:colOff>350520</xdr:colOff>
      <xdr:row>8</xdr:row>
      <xdr:rowOff>77341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Industria 1">
              <a:extLst>
                <a:ext uri="{FF2B5EF4-FFF2-40B4-BE49-F238E27FC236}">
                  <a16:creationId xmlns:a16="http://schemas.microsoft.com/office/drawing/2014/main" id="{0409DBCD-A834-4121-AD0E-3C4D81EFA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828800" cy="15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388620</xdr:colOff>
      <xdr:row>0</xdr:row>
      <xdr:rowOff>30480</xdr:rowOff>
    </xdr:from>
    <xdr:to>
      <xdr:col>6</xdr:col>
      <xdr:colOff>1348740</xdr:colOff>
      <xdr:row>8</xdr:row>
      <xdr:rowOff>114299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Sector 1">
              <a:extLst>
                <a:ext uri="{FF2B5EF4-FFF2-40B4-BE49-F238E27FC236}">
                  <a16:creationId xmlns:a16="http://schemas.microsoft.com/office/drawing/2014/main" id="{0F21A4D6-3D71-4D5D-BA14-44E1A04ED5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30480"/>
              <a:ext cx="3718560" cy="15925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1661160</xdr:colOff>
      <xdr:row>0</xdr:row>
      <xdr:rowOff>15240</xdr:rowOff>
    </xdr:from>
    <xdr:to>
      <xdr:col>9</xdr:col>
      <xdr:colOff>1249680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Producto 1">
              <a:extLst>
                <a:ext uri="{FF2B5EF4-FFF2-40B4-BE49-F238E27FC236}">
                  <a16:creationId xmlns:a16="http://schemas.microsoft.com/office/drawing/2014/main" id="{3048D1E2-C3B7-45B4-AE94-56EA985129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7880" y="15240"/>
              <a:ext cx="457962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30480</xdr:rowOff>
    </xdr:from>
    <xdr:to>
      <xdr:col>3</xdr:col>
      <xdr:colOff>143510</xdr:colOff>
      <xdr:row>8</xdr:row>
      <xdr:rowOff>7440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">
              <a:extLst>
                <a:ext uri="{FF2B5EF4-FFF2-40B4-BE49-F238E27FC236}">
                  <a16:creationId xmlns:a16="http://schemas.microsoft.com/office/drawing/2014/main" id="{43D1ADA9-A142-4EF9-8C64-E0324AA82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30480"/>
              <a:ext cx="18288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181610</xdr:colOff>
      <xdr:row>0</xdr:row>
      <xdr:rowOff>0</xdr:rowOff>
    </xdr:from>
    <xdr:to>
      <xdr:col>6</xdr:col>
      <xdr:colOff>161290</xdr:colOff>
      <xdr:row>7</xdr:row>
      <xdr:rowOff>159840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">
              <a:extLst>
                <a:ext uri="{FF2B5EF4-FFF2-40B4-BE49-F238E27FC236}">
                  <a16:creationId xmlns:a16="http://schemas.microsoft.com/office/drawing/2014/main" id="{2B67F0DF-E514-4D7C-9606-137E257AC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1240" y="0"/>
              <a:ext cx="374142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563880</xdr:colOff>
      <xdr:row>0</xdr:row>
      <xdr:rowOff>7620</xdr:rowOff>
    </xdr:from>
    <xdr:to>
      <xdr:col>9</xdr:col>
      <xdr:colOff>1173480</xdr:colOff>
      <xdr:row>7</xdr:row>
      <xdr:rowOff>161110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61E65F0D-B6BF-45A2-A88D-9B327F33DA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7620"/>
              <a:ext cx="318516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1210310</xdr:colOff>
      <xdr:row>0</xdr:row>
      <xdr:rowOff>7620</xdr:rowOff>
    </xdr:from>
    <xdr:to>
      <xdr:col>12</xdr:col>
      <xdr:colOff>753110</xdr:colOff>
      <xdr:row>7</xdr:row>
      <xdr:rowOff>161110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">
              <a:extLst>
                <a:ext uri="{FF2B5EF4-FFF2-40B4-BE49-F238E27FC236}">
                  <a16:creationId xmlns:a16="http://schemas.microsoft.com/office/drawing/2014/main" id="{1B558BB4-7EC5-48AA-80E3-0C9106415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4540" y="7620"/>
              <a:ext cx="463296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DE895734-C751-46E1-95E6-5C666A0426C4}" sourceName="Industria">
  <extLst>
    <x:ext xmlns:x15="http://schemas.microsoft.com/office/spreadsheetml/2010/11/main" uri="{2F2917AC-EB37-4324-AD4E-5DD8C200BD13}">
      <x15:tableSlicerCache tableId="4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41342544-5563-4B4C-8B45-37EEB3DAFE7F}" sourceName="Secto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FC42E4B2-0AB9-4357-A7FD-9B74776C090C}" sourceName="Producto">
  <extLst>
    <x:ext xmlns:x15="http://schemas.microsoft.com/office/spreadsheetml/2010/11/main" uri="{2F2917AC-EB37-4324-AD4E-5DD8C200BD13}">
      <x15:tableSlicerCache tableId="4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3BA16A9D-7209-4CAE-8507-777DA1D06332}" sourceName="Categoría">
  <extLst>
    <x:ext xmlns:x15="http://schemas.microsoft.com/office/spreadsheetml/2010/11/main" uri="{2F2917AC-EB37-4324-AD4E-5DD8C200BD13}">
      <x15:tableSlicerCache tableId="4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8E109EB8-2716-47F1-8F0C-AD06C910A228}" sourceName="Industria">
  <extLst>
    <x:ext xmlns:x15="http://schemas.microsoft.com/office/spreadsheetml/2010/11/main" uri="{2F2917AC-EB37-4324-AD4E-5DD8C200BD13}">
      <x15:tableSlicerCache tableId="3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FF6D54E5-FD26-466D-AE35-772095A17CC7}" sourceName="Sector">
  <extLst>
    <x:ext xmlns:x15="http://schemas.microsoft.com/office/spreadsheetml/2010/11/main" uri="{2F2917AC-EB37-4324-AD4E-5DD8C200BD13}">
      <x15:tableSlicerCache tableId="3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970E94BB-8BD3-4E25-B5B9-EF4EDCAA3814}" sourceName="Producto">
  <extLst>
    <x:ext xmlns:x15="http://schemas.microsoft.com/office/spreadsheetml/2010/11/main" uri="{2F2917AC-EB37-4324-AD4E-5DD8C200BD13}">
      <x15:tableSlicerCache tableId="3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2" xr10:uid="{2C6057F7-C8F4-4D05-AC3B-CDAAF9A70ED6}" sourceName="Industria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2" xr10:uid="{FBD70773-AFA3-4CAA-8768-5A0F624F0AC2}" sourceName="Secto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2" xr10:uid="{BD24CBB3-E86E-46C1-A415-BD4E0867018D}" cache="SegmentaciónDeDatos_Industria2" caption="Industria" style="SlicerStyleDark1" rowHeight="234950"/>
  <slicer name="Sector 2" xr10:uid="{32D7EB73-EB75-430F-B214-4680C98F8708}" cache="SegmentaciónDeDatos_Sector2" caption="Sector" columnCount="3" style="SlicerStyleDark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4931C23F-B228-4B77-BD34-69C45416EE53}" cache="SegmentaciónDeDatos_Industria1" caption="Industria" style="SlicerStyleDark1" rowHeight="234950"/>
  <slicer name="Sector 1" xr10:uid="{1C92EB65-1D9E-4D4A-8962-8BC9032E3F26}" cache="SegmentaciónDeDatos_Sector1" caption="Sector" columnCount="2" style="SlicerStyleDark2" rowHeight="234950"/>
  <slicer name="Producto 1" xr10:uid="{A48F872F-98C1-43D9-BC3D-26584798F1D1}" cache="SegmentaciónDeDatos_Producto1" caption="Producto" columnCount="3" style="SlicerStyleDark6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" xr10:uid="{B77F4C3B-1E6F-44BC-8D8D-E6B3EA184597}" cache="SegmentaciónDeDatos_Industria" caption="Industria" style="SlicerStyleDark1" rowHeight="234950"/>
  <slicer name="Sector" xr10:uid="{FF7AA0F4-9660-460D-B2AE-353118A2D7F9}" cache="SegmentaciónDeDatos_Sector" caption="Sector" columnCount="2" style="SlicerStyleDark2" rowHeight="234950"/>
  <slicer name="Producto" xr10:uid="{B125ED2F-B418-43BC-8483-A3E970856379}" cache="SegmentaciónDeDatos_Producto" caption="Producto" columnCount="2" style="SlicerStyleDark6" rowHeight="234950"/>
  <slicer name="Categoría" xr10:uid="{7A113C3F-48D3-4EAB-AD86-BC4F27FE844F}" cache="SegmentaciónDeDatos_Categoría" caption="Categoría" startItem="3" columnCount="3" style="SlicerStyleDark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43C500-046B-4A90-A58C-44E41516FE2D}" name="Industria" displayName="Industria" ref="A4:E5" totalsRowShown="0">
  <autoFilter ref="A4:E5" xr:uid="{D8137C8D-16D1-4A54-8B77-5CCDD2F9B1C8}"/>
  <tableColumns count="5">
    <tableColumn id="1" xr3:uid="{0C89CE2B-CD4E-4579-9CC5-C26874138F00}" name="Id_industria" dataDxfId="36"/>
    <tableColumn id="2" xr3:uid="{F1697E73-D2ED-4437-B6B7-AB4BA3765B04}" name="Industria"/>
    <tableColumn id="5" xr3:uid="{1B8F68A1-2B92-4B70-8A93-234E0C6702D9}" name="Descripcion" dataDxfId="35"/>
    <tableColumn id="4" xr3:uid="{8417E9A5-BD5F-40F2-97EC-446EB47DF419}" name="Auxiliar">
      <calculatedColumnFormula>+"Industria: "&amp;Industria[[#This Row],[Descripcion]]</calculatedColumnFormula>
    </tableColumn>
    <tableColumn id="3" xr3:uid="{86A3E2DC-9976-4D3B-A6FF-8DDBBB07C702}" name="Codigo" dataDxfId="34">
      <calculatedColumnFormula>+"INSERT INTO industria VALUES ("&amp;A5&amp;",'"&amp;B5&amp;"','"&amp;C5&amp;"','"&amp;D5&amp;"');"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C01D0-B1C9-442B-990A-57FE4F975DB7}" name="Sector" displayName="Sector" ref="A10:H11" totalsRowShown="0" headerRowDxfId="33" dataDxfId="32">
  <autoFilter ref="A10:H11" xr:uid="{61D6431C-6A49-4B30-98F4-6561BAC1FEFB}"/>
  <tableColumns count="8">
    <tableColumn id="1" xr3:uid="{DACE4741-5B8D-44D6-8716-88488AF825D4}" name="Id_industria" dataDxfId="31"/>
    <tableColumn id="6" xr3:uid="{6E9803C5-87D3-447A-8C5D-003ED0DB183E}" name="Industria" dataDxfId="30">
      <calculatedColumnFormula>+VLOOKUP(Sector[[#This Row],[Id_industria]],Industria[[Id_industria]:[Industria]],2,0)</calculatedColumnFormula>
    </tableColumn>
    <tableColumn id="2" xr3:uid="{2340981C-CCB8-4C68-AD4D-FED5DC08AFD0}" name="Id_sector" dataDxfId="29">
      <calculatedColumnFormula>+A11*100+D11</calculatedColumnFormula>
    </tableColumn>
    <tableColumn id="3" xr3:uid="{67D9D5D0-EE9D-4EA9-98E7-8209A2738E0D}" name="corr" dataDxfId="28"/>
    <tableColumn id="4" xr3:uid="{7BE92EF6-5979-4725-A1B1-A793241B0468}" name="Sector" dataDxfId="27"/>
    <tableColumn id="8" xr3:uid="{08DE45FC-63DB-4157-A15B-6CA6D1662F54}" name="Descripcion" dataDxfId="26"/>
    <tableColumn id="7" xr3:uid="{0638BF4E-BAAF-4F91-9841-FF937FD8BD14}" name="Auxiliar" dataDxfId="25">
      <calculatedColumnFormula>+"Sector: "&amp;Sector[[#This Row],[Descripcion]]&amp;" | "&amp;VLOOKUP(Sector[[#This Row],[Id_industria]],Industria[[Id_industria]:[Auxiliar]],4,0)</calculatedColumnFormula>
    </tableColumn>
    <tableColumn id="5" xr3:uid="{06AF6283-BA02-4A2E-AF4D-86536E29BDC7}" name="Codigo" dataDxfId="24">
      <calculatedColumnFormula>+"INSERT INTO sector VALUES ("&amp;C11&amp;",'"&amp;E11&amp;"','"&amp;F11&amp;"','"&amp;G11&amp;"',"&amp;A11&amp;");"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C6CD3-3E67-45FE-9811-EAD808C36B1F}" name="Productos" displayName="Productos" ref="A10:J19" totalsRowShown="0">
  <autoFilter ref="A10:J19" xr:uid="{F612DA80-03BC-4D2D-B4B6-74414FA4CBCF}"/>
  <tableColumns count="10">
    <tableColumn id="1" xr3:uid="{17BBD643-0CB5-4375-BF45-BC9750D7B143}" name="Id_industria" dataDxfId="23">
      <calculatedColumnFormula>+A10</calculatedColumnFormula>
    </tableColumn>
    <tableColumn id="9" xr3:uid="{A8FA2C0D-AC63-4F1A-AF5E-A61EA79B4F56}" name="Industria" dataDxfId="22">
      <calculatedColumnFormula>+VLOOKUP(Productos[[#This Row],[Id_industria]],Industria[[Id_industria]:[Industria]],2,0)</calculatedColumnFormula>
    </tableColumn>
    <tableColumn id="2" xr3:uid="{A7A5FC61-2EB1-4D4E-9CC1-9208387130D1}" name="Id_sector" dataDxfId="21">
      <calculatedColumnFormula>+IF(F11=1,C10+1,C10)</calculatedColumnFormula>
    </tableColumn>
    <tableColumn id="10" xr3:uid="{9A70CA32-7F96-4B2F-803F-6BECCA7C99D1}" name="Sector" dataDxfId="20">
      <calculatedColumnFormula>+VLOOKUP(Productos[[#This Row],[Id_sector]],Sector[[Id_sector]:[Sector]],3,0)</calculatedColumnFormula>
    </tableColumn>
    <tableColumn id="3" xr3:uid="{EBD0E798-C6A7-4FAD-B235-048B04D84BC6}" name="Id_producto" dataDxfId="19">
      <calculatedColumnFormula>+C11*100+F11</calculatedColumnFormula>
    </tableColumn>
    <tableColumn id="4" xr3:uid="{AD3A4F4C-2F38-4285-BAD1-AFCFDE5342DD}" name="Corr" dataDxfId="18"/>
    <tableColumn id="5" xr3:uid="{D7310159-107F-4D3B-A918-3BBC65F220DE}" name="Producto" dataDxfId="17"/>
    <tableColumn id="8" xr3:uid="{2C287E14-3176-47A4-90E0-BF3EAE9563D8}" name="Descripcion" dataDxfId="16"/>
    <tableColumn id="7" xr3:uid="{B537A808-B8E1-4A13-A8A6-8023C4F9B56D}" name="Auxiliar" dataDxfId="15">
      <calculatedColumnFormula>+"Prod: "&amp;Productos[[#This Row],[Descripcion]]&amp;"-"&amp;Productos[[#This Row],[Id_producto]]&amp;" | "&amp;VLOOKUP(Productos[[#This Row],[Id_sector]],Sector[[Id_sector]:[Auxiliar]],5,0)</calculatedColumnFormula>
    </tableColumn>
    <tableColumn id="6" xr3:uid="{A6AA3D62-21A8-4E91-B07A-FC08287B66B7}" name="Codigo" dataDxfId="14">
      <calculatedColumnFormula>+"INSERT INTO producto VALUES ("&amp;E11&amp;",'"&amp;G11&amp;"','"&amp;H11&amp;"','"&amp;I11&amp;"',"&amp;C11&amp;");"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4F2DF3-4D7E-46EF-A4E5-B8107E819F63}" name="Categorias" displayName="Categorias" ref="A9:M71" totalsRowShown="0" headerRowDxfId="13">
  <autoFilter ref="A9:M71" xr:uid="{2A0DEF65-5AE9-475C-BE4C-05864630122D}"/>
  <tableColumns count="13">
    <tableColumn id="1" xr3:uid="{2B095AA1-D6BB-4496-A43C-BB7252FA6BED}" name="Id_industria" dataDxfId="12">
      <calculatedColumnFormula>+A9</calculatedColumnFormula>
    </tableColumn>
    <tableColumn id="2" xr3:uid="{F4169CBF-0DEE-47EE-830B-656C113AD097}" name="Industria" dataDxfId="11">
      <calculatedColumnFormula>+VLOOKUP(A10,Industria[],2,0)</calculatedColumnFormula>
    </tableColumn>
    <tableColumn id="3" xr3:uid="{801AD473-2105-4DE0-B2AD-052C1D1B9BA0}" name="Id_sector" dataDxfId="10">
      <calculatedColumnFormula>+C9</calculatedColumnFormula>
    </tableColumn>
    <tableColumn id="4" xr3:uid="{46496B8E-2C48-4DC3-8DAC-07C2C37E1513}" name="Sector" dataDxfId="9">
      <calculatedColumnFormula>+VLOOKUP(C10,Sector[[Id_sector]:[Codigo]],3,0)</calculatedColumnFormula>
    </tableColumn>
    <tableColumn id="5" xr3:uid="{6824C9BA-06B2-4EBF-BFAD-A4FC0BA44F6B}" name="Id_producto" dataDxfId="8">
      <calculatedColumnFormula>+IF(H10=1,E9+1,E9)</calculatedColumnFormula>
    </tableColumn>
    <tableColumn id="6" xr3:uid="{EB4DF065-F76F-4C15-95B5-FFFF377EF7E0}" name="Producto" dataDxfId="7">
      <calculatedColumnFormula>+VLOOKUP(E10,Productos[[Id_producto]:[Codigo]],3,0)</calculatedColumnFormula>
    </tableColumn>
    <tableColumn id="7" xr3:uid="{2D2AD7E6-83BB-4144-A48F-B4B50D52DCB0}" name="Id_categoría" dataDxfId="6" dataCellStyle="Millares [0]">
      <calculatedColumnFormula>+E10*1000+H10</calculatedColumnFormula>
    </tableColumn>
    <tableColumn id="8" xr3:uid="{B97EE017-DECD-41DD-9127-A470A30D38E7}" name="Corr" dataDxfId="5"/>
    <tableColumn id="9" xr3:uid="{2858A4D8-E1FC-4BA2-9CCB-A87E957B7698}" name="Categoría" dataDxfId="4"/>
    <tableColumn id="13" xr3:uid="{F2401535-D7DB-42CA-9580-69992D635937}" name="Descripcion" dataDxfId="3">
      <calculatedColumnFormula>+Categorias[[#This Row],[Categoría]]&amp;"-"&amp;Categorias[[#This Row],[Id_categoría]]</calculatedColumnFormula>
    </tableColumn>
    <tableColumn id="12" xr3:uid="{B032EA4C-2A04-4EA2-95E3-16F5BDB6ED88}" name="Auxiliar" dataDxfId="2">
      <calculatedColumnFormula>+Categorias[[#This Row],[Descripcion]]&amp;" | "&amp;VLOOKUP(Categorias[[#This Row],[Id_producto]],Productos[[Id_producto]:[Auxiliar]],5,0)</calculatedColumnFormula>
    </tableColumn>
    <tableColumn id="10" xr3:uid="{7F260062-54A9-4D1E-94A9-A4B892284904}" name="Carpeta GITHUB" dataDxfId="1">
      <calculatedColumnFormula>+SUBSTITUTE(G10&amp;LOWER(SUBSTITUTE( SUBSTITUTE( SUBSTITUTE( SUBSTITUTE( SUBSTITUTE( SUBSTITUTE( SUBSTITUTE( SUBSTITUTE( SUBSTITUTE( SUBSTITUTE(I10, "á", "a"), "é", "e"), "í", "i"), "ó", "o"), "ú", "u"), "Á", "A"), "É", "E"), "Í", "I"), "Ó", "O"), "Ú", "U"))," ","_")</calculatedColumnFormula>
    </tableColumn>
    <tableColumn id="11" xr3:uid="{EE424144-D9A2-410E-B0B0-CD075FCFFDC5}" name="Codigo" dataDxfId="0">
      <calculatedColumnFormula>+"INSERT INTO categoria VALUES ("&amp;G10&amp;",'"&amp;I10&amp;"','"&amp;J10&amp;"','"&amp;K10&amp;"',"&amp;E10&amp;");"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4F77-22B7-4C2A-8BD3-673667633AEC}">
  <dimension ref="A4:E5"/>
  <sheetViews>
    <sheetView showGridLines="0" zoomScaleNormal="100" workbookViewId="0">
      <pane ySplit="4" topLeftCell="A5" activePane="bottomLeft" state="frozen"/>
      <selection pane="bottomLeft" activeCell="E13" sqref="E13"/>
    </sheetView>
  </sheetViews>
  <sheetFormatPr baseColWidth="10" defaultColWidth="11.453125" defaultRowHeight="14.5" x14ac:dyDescent="0.35"/>
  <cols>
    <col min="1" max="1" width="13.453125" bestFit="1" customWidth="1"/>
    <col min="2" max="2" width="31.453125" bestFit="1" customWidth="1"/>
    <col min="3" max="3" width="22.453125" customWidth="1"/>
    <col min="4" max="4" width="26.453125" bestFit="1" customWidth="1"/>
    <col min="5" max="5" width="70.453125" bestFit="1" customWidth="1"/>
  </cols>
  <sheetData>
    <row r="4" spans="1:5" x14ac:dyDescent="0.35">
      <c r="A4" s="6" t="s">
        <v>0</v>
      </c>
      <c r="B4" s="13" t="s">
        <v>1</v>
      </c>
      <c r="C4" s="13" t="s">
        <v>2</v>
      </c>
      <c r="D4" s="13" t="s">
        <v>3</v>
      </c>
      <c r="E4" s="25" t="s">
        <v>4</v>
      </c>
    </row>
    <row r="5" spans="1:5" x14ac:dyDescent="0.35">
      <c r="A5" s="31">
        <v>27</v>
      </c>
      <c r="B5" s="32" t="s">
        <v>49</v>
      </c>
      <c r="C5" s="32" t="s">
        <v>50</v>
      </c>
      <c r="D5" s="32" t="str">
        <f>+"Industria: "&amp;Industria[[#This Row],[Descripcion]]</f>
        <v>Industria: MUJER-27</v>
      </c>
      <c r="E5" s="30" t="str">
        <f>+"INSERT INTO industria VALUES ("&amp;A5&amp;",'"&amp;B5&amp;"','"&amp;C5&amp;"','"&amp;D5&amp;"');"</f>
        <v>INSERT INTO industria VALUES (27,'Mujeres','MUJER-27','Industria: MUJER-27');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9CD6-C706-44C2-9A8B-8E338432C9BE}">
  <dimension ref="A9:H11"/>
  <sheetViews>
    <sheetView showGridLines="0" zoomScaleNormal="100" workbookViewId="0">
      <pane ySplit="10" topLeftCell="A11" activePane="bottomLeft" state="frozen"/>
      <selection pane="bottomLeft" activeCell="G16" sqref="G16"/>
    </sheetView>
  </sheetViews>
  <sheetFormatPr baseColWidth="10" defaultColWidth="11.453125" defaultRowHeight="14.5" x14ac:dyDescent="0.35"/>
  <cols>
    <col min="1" max="1" width="6.6328125" customWidth="1"/>
    <col min="2" max="2" width="18.6328125" bestFit="1" customWidth="1"/>
    <col min="3" max="3" width="6.36328125" customWidth="1"/>
    <col min="4" max="4" width="5.36328125" customWidth="1"/>
    <col min="5" max="5" width="26.453125" customWidth="1"/>
    <col min="6" max="6" width="12.81640625" bestFit="1" customWidth="1"/>
    <col min="7" max="7" width="36.81640625" customWidth="1"/>
    <col min="8" max="8" width="59.08984375" customWidth="1"/>
    <col min="9" max="9" width="13.36328125" bestFit="1" customWidth="1"/>
  </cols>
  <sheetData>
    <row r="9" spans="1:8" ht="14.5" customHeight="1" x14ac:dyDescent="0.35">
      <c r="H9" s="29">
        <f>+SUBTOTAL(3,Sector[Sector])</f>
        <v>1</v>
      </c>
    </row>
    <row r="10" spans="1:8" ht="24" x14ac:dyDescent="0.35">
      <c r="A10" s="6" t="s">
        <v>0</v>
      </c>
      <c r="B10" s="13" t="s">
        <v>1</v>
      </c>
      <c r="C10" s="6" t="s">
        <v>5</v>
      </c>
      <c r="D10" s="14" t="s">
        <v>6</v>
      </c>
      <c r="E10" s="13" t="s">
        <v>7</v>
      </c>
      <c r="F10" s="13" t="s">
        <v>2</v>
      </c>
      <c r="G10" s="13" t="s">
        <v>3</v>
      </c>
      <c r="H10" s="25" t="s">
        <v>4</v>
      </c>
    </row>
    <row r="11" spans="1:8" ht="21" x14ac:dyDescent="0.35">
      <c r="A11" s="17">
        <v>27</v>
      </c>
      <c r="B11" s="3" t="str">
        <f>+VLOOKUP(Sector[[#This Row],[Id_industria]],Industria[[Id_industria]:[Industria]],2,0)</f>
        <v>Mujeres</v>
      </c>
      <c r="C11" s="17">
        <f t="shared" ref="C11" si="0">+A11*100+D11</f>
        <v>2701</v>
      </c>
      <c r="D11" s="5">
        <v>1</v>
      </c>
      <c r="E11" s="2" t="s">
        <v>51</v>
      </c>
      <c r="F11" s="3" t="s">
        <v>52</v>
      </c>
      <c r="G11" s="3" t="str">
        <f>+"Sector: "&amp;Sector[[#This Row],[Descripcion]]&amp;" | "&amp;VLOOKUP(Sector[[#This Row],[Id_industria]],Industria[[Id_industria]:[Auxiliar]],4,0)</f>
        <v>Sector: Mujer-2701 | Industria: MUJER-27</v>
      </c>
      <c r="H11" s="22" t="str">
        <f t="shared" ref="H11" si="1">+"INSERT INTO sector VALUES ("&amp;C11&amp;",'"&amp;E11&amp;"','"&amp;F11&amp;"','"&amp;G11&amp;"',"&amp;A11&amp;");"</f>
        <v>INSERT INTO sector VALUES (2701,'Violencia','Mujer-2701','Sector: Mujer-2701 | Industria: MUJER-27',27);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C713-6550-4780-B99D-F35BBEDE9786}">
  <dimension ref="A7:L19"/>
  <sheetViews>
    <sheetView showGridLines="0" workbookViewId="0">
      <pane ySplit="10" topLeftCell="A11" activePane="bottomLeft" state="frozen"/>
      <selection pane="bottomLeft" activeCell="E15" sqref="E15"/>
    </sheetView>
  </sheetViews>
  <sheetFormatPr baseColWidth="10" defaultColWidth="11.453125" defaultRowHeight="14.5" x14ac:dyDescent="0.35"/>
  <cols>
    <col min="1" max="1" width="5.6328125" customWidth="1"/>
    <col min="2" max="2" width="15.81640625" customWidth="1"/>
    <col min="3" max="3" width="5.81640625" customWidth="1"/>
    <col min="4" max="4" width="21" customWidth="1"/>
    <col min="5" max="5" width="7.6328125" customWidth="1"/>
    <col min="6" max="6" width="5.6328125" customWidth="1"/>
    <col min="7" max="7" width="25.36328125" customWidth="1"/>
    <col min="8" max="8" width="14.453125" customWidth="1"/>
    <col min="9" max="9" width="33" customWidth="1"/>
    <col min="10" max="10" width="64.81640625" customWidth="1"/>
  </cols>
  <sheetData>
    <row r="7" spans="1:12" ht="18" customHeight="1" x14ac:dyDescent="0.35"/>
    <row r="9" spans="1:12" x14ac:dyDescent="0.35">
      <c r="J9" s="29">
        <f>+SUBTOTAL(3,Productos[Producto])</f>
        <v>9</v>
      </c>
    </row>
    <row r="10" spans="1:12" ht="31.25" customHeight="1" x14ac:dyDescent="0.35">
      <c r="A10" s="6" t="s">
        <v>0</v>
      </c>
      <c r="B10" s="13" t="s">
        <v>1</v>
      </c>
      <c r="C10" s="6" t="s">
        <v>5</v>
      </c>
      <c r="D10" s="13" t="s">
        <v>7</v>
      </c>
      <c r="E10" s="6" t="s">
        <v>8</v>
      </c>
      <c r="F10" s="14" t="s">
        <v>9</v>
      </c>
      <c r="G10" s="13" t="s">
        <v>10</v>
      </c>
      <c r="H10" s="13" t="s">
        <v>2</v>
      </c>
      <c r="I10" s="13" t="s">
        <v>3</v>
      </c>
      <c r="J10" s="24" t="s">
        <v>4</v>
      </c>
    </row>
    <row r="11" spans="1:12" ht="24" x14ac:dyDescent="0.35">
      <c r="A11" s="15">
        <v>27</v>
      </c>
      <c r="B11" s="4" t="str">
        <f>+VLOOKUP(Productos[[#This Row],[Id_industria]],Industria[[Id_industria]:[Industria]],2,0)</f>
        <v>Mujeres</v>
      </c>
      <c r="C11" s="15">
        <v>2701</v>
      </c>
      <c r="D11" s="4" t="str">
        <f>+VLOOKUP(Productos[[#This Row],[Id_sector]],Sector[[Id_sector]:[Sector]],3,0)</f>
        <v>Violencia</v>
      </c>
      <c r="E11" s="15">
        <f t="shared" ref="E11:E19" si="0">+C11*100+F11</f>
        <v>270101</v>
      </c>
      <c r="F11" s="16">
        <v>1</v>
      </c>
      <c r="G11" s="3" t="s">
        <v>13</v>
      </c>
      <c r="H11" s="3" t="s">
        <v>11</v>
      </c>
      <c r="I11" s="3" t="str">
        <f>+"Prod: "&amp;Productos[[#This Row],[Descripcion]]&amp;"-"&amp;Productos[[#This Row],[Id_producto]]&amp;" | "&amp;VLOOKUP(Productos[[#This Row],[Id_sector]],Sector[[Id_sector]:[Auxiliar]],5,0)</f>
        <v>Prod: Delitos-270101 | Sector: Mujer-2701 | Industria: MUJER-27</v>
      </c>
      <c r="J11" s="23" t="str">
        <f>+"INSERT INTO producto VALUES ("&amp;E11&amp;",'"&amp;G11&amp;"','"&amp;H11&amp;"','"&amp;I11&amp;"',"&amp;C11&amp;");"</f>
        <v>INSERT INTO producto VALUES (270101,'Delitos Cometidos por Empleados y Funcionarios Públicos','Delitos','Prod: Delitos-270101 | Sector: Mujer-2701 | Industria: MUJER-27',2701);</v>
      </c>
      <c r="L11" t="str">
        <f>+Productos[[#This Row],[Id_producto]]&amp;" Producto|| "&amp;Productos[[#This Row],[Producto]]</f>
        <v>270101 Producto|| Delitos Cometidos por Empleados y Funcionarios Públicos</v>
      </c>
    </row>
    <row r="12" spans="1:12" ht="24" x14ac:dyDescent="0.35">
      <c r="A12" s="15">
        <f>+A11</f>
        <v>27</v>
      </c>
      <c r="B12" s="4" t="str">
        <f>+VLOOKUP(Productos[[#This Row],[Id_industria]],Industria[[Id_industria]:[Industria]],2,0)</f>
        <v>Mujeres</v>
      </c>
      <c r="C12" s="15">
        <f t="shared" ref="C12:C19" si="1">+IF(F12=1,C11+1,C11)</f>
        <v>2701</v>
      </c>
      <c r="D12" s="4" t="str">
        <f>+VLOOKUP(Productos[[#This Row],[Id_sector]],Sector[[Id_sector]:[Sector]],3,0)</f>
        <v>Violencia</v>
      </c>
      <c r="E12" s="15">
        <f t="shared" si="0"/>
        <v>270102</v>
      </c>
      <c r="F12" s="16">
        <v>2</v>
      </c>
      <c r="G12" s="3" t="s">
        <v>53</v>
      </c>
      <c r="H12" s="3" t="s">
        <v>11</v>
      </c>
      <c r="I12" s="3" t="str">
        <f>+"Prod: "&amp;Productos[[#This Row],[Descripcion]]&amp;"-"&amp;Productos[[#This Row],[Id_producto]]&amp;" | "&amp;VLOOKUP(Productos[[#This Row],[Id_sector]],Sector[[Id_sector]:[Auxiliar]],5,0)</f>
        <v>Prod: Delitos-270102 | Sector: Mujer-2701 | Industria: MUJER-27</v>
      </c>
      <c r="J12" s="23" t="str">
        <f t="shared" ref="J12:J19" si="2">+"INSERT INTO producto VALUES ("&amp;E12&amp;",'"&amp;G12&amp;"','"&amp;H12&amp;"','"&amp;I12&amp;"',"&amp;C12&amp;");"</f>
        <v>INSERT INTO producto VALUES (270102,'Delitos sexuales','Delitos','Prod: Delitos-270102 | Sector: Mujer-2701 | Industria: MUJER-27',2701);</v>
      </c>
      <c r="L12" t="str">
        <f>+Productos[[#This Row],[Id_producto]]&amp;" Producto|| "&amp;Productos[[#This Row],[Producto]]</f>
        <v>270102 Producto|| Delitos sexuales</v>
      </c>
    </row>
    <row r="13" spans="1:12" ht="24" x14ac:dyDescent="0.35">
      <c r="A13" s="15">
        <f t="shared" ref="A13:A19" si="3">+A12</f>
        <v>27</v>
      </c>
      <c r="B13" s="4" t="str">
        <f>+VLOOKUP(Productos[[#This Row],[Id_industria]],Industria[[Id_industria]:[Industria]],2,0)</f>
        <v>Mujeres</v>
      </c>
      <c r="C13" s="15">
        <f t="shared" si="1"/>
        <v>2701</v>
      </c>
      <c r="D13" s="4" t="str">
        <f>+VLOOKUP(Productos[[#This Row],[Id_sector]],Sector[[Id_sector]:[Sector]],3,0)</f>
        <v>Violencia</v>
      </c>
      <c r="E13" s="15">
        <f t="shared" si="0"/>
        <v>270103</v>
      </c>
      <c r="F13" s="16">
        <v>3</v>
      </c>
      <c r="G13" s="3" t="s">
        <v>54</v>
      </c>
      <c r="H13" s="3" t="s">
        <v>11</v>
      </c>
      <c r="I13" s="3" t="str">
        <f>+"Prod: "&amp;Productos[[#This Row],[Descripcion]]&amp;"-"&amp;Productos[[#This Row],[Id_producto]]&amp;" | "&amp;VLOOKUP(Productos[[#This Row],[Id_sector]],Sector[[Id_sector]:[Auxiliar]],5,0)</f>
        <v>Prod: Delitos-270103 | Sector: Mujer-2701 | Industria: MUJER-27</v>
      </c>
      <c r="J13" s="23" t="str">
        <f t="shared" si="2"/>
        <v>INSERT INTO producto VALUES (270103,'Delitos violentos','Delitos','Prod: Delitos-270103 | Sector: Mujer-2701 | Industria: MUJER-27',2701);</v>
      </c>
      <c r="L13" t="str">
        <f>+Productos[[#This Row],[Id_producto]]&amp;" Producto|| "&amp;Productos[[#This Row],[Producto]]</f>
        <v>270103 Producto|| Delitos violentos</v>
      </c>
    </row>
    <row r="14" spans="1:12" ht="24" x14ac:dyDescent="0.35">
      <c r="A14" s="15">
        <f t="shared" si="3"/>
        <v>27</v>
      </c>
      <c r="B14" s="4" t="str">
        <f>+VLOOKUP(Productos[[#This Row],[Id_industria]],Industria[[Id_industria]:[Industria]],2,0)</f>
        <v>Mujeres</v>
      </c>
      <c r="C14" s="15">
        <f t="shared" si="1"/>
        <v>2701</v>
      </c>
      <c r="D14" s="4" t="str">
        <f>+VLOOKUP(Productos[[#This Row],[Id_sector]],Sector[[Id_sector]:[Sector]],3,0)</f>
        <v>Violencia</v>
      </c>
      <c r="E14" s="15">
        <f t="shared" si="0"/>
        <v>270104</v>
      </c>
      <c r="F14" s="16">
        <v>4</v>
      </c>
      <c r="G14" s="3" t="s">
        <v>15</v>
      </c>
      <c r="H14" s="3" t="s">
        <v>11</v>
      </c>
      <c r="I14" s="3" t="str">
        <f>+"Prod: "&amp;Productos[[#This Row],[Descripcion]]&amp;"-"&amp;Productos[[#This Row],[Id_producto]]&amp;" | "&amp;VLOOKUP(Productos[[#This Row],[Id_sector]],Sector[[Id_sector]:[Auxiliar]],5,0)</f>
        <v>Prod: Delitos-270104 | Sector: Mujer-2701 | Industria: MUJER-27</v>
      </c>
      <c r="J14" s="23" t="str">
        <f t="shared" si="2"/>
        <v>INSERT INTO producto VALUES (270104,'Delitos Contra el Estado Civil y la Familia','Delitos','Prod: Delitos-270104 | Sector: Mujer-2701 | Industria: MUJER-27',2701);</v>
      </c>
      <c r="L14" t="str">
        <f>+Productos[[#This Row],[Id_producto]]&amp;" Producto|| "&amp;Productos[[#This Row],[Producto]]</f>
        <v>270104 Producto|| Delitos Contra el Estado Civil y la Familia</v>
      </c>
    </row>
    <row r="15" spans="1:12" ht="24" x14ac:dyDescent="0.35">
      <c r="A15" s="15">
        <f t="shared" si="3"/>
        <v>27</v>
      </c>
      <c r="B15" s="4" t="str">
        <f>+VLOOKUP(Productos[[#This Row],[Id_industria]],Industria[[Id_industria]:[Industria]],2,0)</f>
        <v>Mujeres</v>
      </c>
      <c r="C15" s="15">
        <f t="shared" si="1"/>
        <v>2701</v>
      </c>
      <c r="D15" s="4" t="str">
        <f>+VLOOKUP(Productos[[#This Row],[Id_sector]],Sector[[Id_sector]:[Sector]],3,0)</f>
        <v>Violencia</v>
      </c>
      <c r="E15" s="15">
        <f t="shared" si="0"/>
        <v>270105</v>
      </c>
      <c r="F15" s="16">
        <v>5</v>
      </c>
      <c r="G15" s="3" t="s">
        <v>12</v>
      </c>
      <c r="H15" s="3" t="s">
        <v>11</v>
      </c>
      <c r="I15" s="3" t="str">
        <f>+"Prod: "&amp;Productos[[#This Row],[Descripcion]]&amp;"-"&amp;Productos[[#This Row],[Id_producto]]&amp;" | "&amp;VLOOKUP(Productos[[#This Row],[Id_sector]],Sector[[Id_sector]:[Auxiliar]],5,0)</f>
        <v>Prod: Delitos-270105 | Sector: Mujer-2701 | Industria: MUJER-27</v>
      </c>
      <c r="J15" s="23" t="str">
        <f t="shared" si="2"/>
        <v>INSERT INTO producto VALUES (270105,'Delitos Contra la Vida, Integridad o Dignidad Personal','Delitos','Prod: Delitos-270105 | Sector: Mujer-2701 | Industria: MUJER-27',2701);</v>
      </c>
      <c r="L15" t="str">
        <f>+Productos[[#This Row],[Id_producto]]&amp;" Producto|| "&amp;Productos[[#This Row],[Producto]]</f>
        <v>270105 Producto|| Delitos Contra la Vida, Integridad o Dignidad Personal</v>
      </c>
    </row>
    <row r="16" spans="1:12" ht="24" x14ac:dyDescent="0.35">
      <c r="A16" s="15">
        <f t="shared" si="3"/>
        <v>27</v>
      </c>
      <c r="B16" s="4" t="str">
        <f>+VLOOKUP(Productos[[#This Row],[Id_industria]],Industria[[Id_industria]:[Industria]],2,0)</f>
        <v>Mujeres</v>
      </c>
      <c r="C16" s="15">
        <f t="shared" si="1"/>
        <v>2701</v>
      </c>
      <c r="D16" s="4" t="str">
        <f>+VLOOKUP(Productos[[#This Row],[Id_sector]],Sector[[Id_sector]:[Sector]],3,0)</f>
        <v>Violencia</v>
      </c>
      <c r="E16" s="15">
        <f t="shared" si="0"/>
        <v>270106</v>
      </c>
      <c r="F16" s="16">
        <v>6</v>
      </c>
      <c r="G16" s="3" t="s">
        <v>14</v>
      </c>
      <c r="H16" s="3" t="s">
        <v>11</v>
      </c>
      <c r="I16" s="3" t="str">
        <f>+"Prod: "&amp;Productos[[#This Row],[Descripcion]]&amp;"-"&amp;Productos[[#This Row],[Id_producto]]&amp;" | "&amp;VLOOKUP(Productos[[#This Row],[Id_sector]],Sector[[Id_sector]:[Auxiliar]],5,0)</f>
        <v>Prod: Delitos-270106 | Sector: Mujer-2701 | Industria: MUJER-27</v>
      </c>
      <c r="J16" s="23" t="str">
        <f t="shared" si="2"/>
        <v>INSERT INTO producto VALUES (270106,'Delitos Contra la Intimidad y la Libertad','Delitos','Prod: Delitos-270106 | Sector: Mujer-2701 | Industria: MUJER-27',2701);</v>
      </c>
      <c r="L16" t="str">
        <f>+Productos[[#This Row],[Id_producto]]&amp;" Producto|| "&amp;Productos[[#This Row],[Producto]]</f>
        <v>270106 Producto|| Delitos Contra la Intimidad y la Libertad</v>
      </c>
    </row>
    <row r="17" spans="1:12" ht="24" x14ac:dyDescent="0.35">
      <c r="A17" s="15">
        <f t="shared" si="3"/>
        <v>27</v>
      </c>
      <c r="B17" s="4" t="str">
        <f>+VLOOKUP(Productos[[#This Row],[Id_industria]],Industria[[Id_industria]:[Industria]],2,0)</f>
        <v>Mujeres</v>
      </c>
      <c r="C17" s="15">
        <f t="shared" si="1"/>
        <v>2701</v>
      </c>
      <c r="D17" s="4" t="str">
        <f>+VLOOKUP(Productos[[#This Row],[Id_sector]],Sector[[Id_sector]:[Sector]],3,0)</f>
        <v>Violencia</v>
      </c>
      <c r="E17" s="15">
        <f t="shared" si="0"/>
        <v>270107</v>
      </c>
      <c r="F17" s="16">
        <v>7</v>
      </c>
      <c r="G17" s="3" t="s">
        <v>55</v>
      </c>
      <c r="H17" s="3" t="s">
        <v>58</v>
      </c>
      <c r="I17" s="3" t="str">
        <f>+"Prod: "&amp;Productos[[#This Row],[Descripcion]]&amp;"-"&amp;Productos[[#This Row],[Id_producto]]&amp;" | "&amp;VLOOKUP(Productos[[#This Row],[Id_sector]],Sector[[Id_sector]:[Auxiliar]],5,0)</f>
        <v>Prod: Salud-270107 | Sector: Mujer-2701 | Industria: MUJER-27</v>
      </c>
      <c r="J17" s="23" t="str">
        <f t="shared" si="2"/>
        <v>INSERT INTO producto VALUES (270107,'Atenciones médicas','Salud','Prod: Salud-270107 | Sector: Mujer-2701 | Industria: MUJER-27',2701);</v>
      </c>
      <c r="L17" t="str">
        <f>+Productos[[#This Row],[Id_producto]]&amp;" Producto|| "&amp;Productos[[#This Row],[Producto]]</f>
        <v>270107 Producto|| Atenciones médicas</v>
      </c>
    </row>
    <row r="18" spans="1:12" ht="24" x14ac:dyDescent="0.35">
      <c r="A18" s="15">
        <f t="shared" si="3"/>
        <v>27</v>
      </c>
      <c r="B18" s="4" t="str">
        <f>+VLOOKUP(Productos[[#This Row],[Id_industria]],Industria[[Id_industria]:[Industria]],2,0)</f>
        <v>Mujeres</v>
      </c>
      <c r="C18" s="15">
        <f t="shared" si="1"/>
        <v>2701</v>
      </c>
      <c r="D18" s="4" t="str">
        <f>+VLOOKUP(Productos[[#This Row],[Id_sector]],Sector[[Id_sector]:[Sector]],3,0)</f>
        <v>Violencia</v>
      </c>
      <c r="E18" s="15">
        <f t="shared" si="0"/>
        <v>270108</v>
      </c>
      <c r="F18" s="16">
        <v>8</v>
      </c>
      <c r="G18" s="3" t="s">
        <v>56</v>
      </c>
      <c r="H18" s="3" t="s">
        <v>58</v>
      </c>
      <c r="I18" s="3" t="str">
        <f>+"Prod: "&amp;Productos[[#This Row],[Descripcion]]&amp;"-"&amp;Productos[[#This Row],[Id_producto]]&amp;" | "&amp;VLOOKUP(Productos[[#This Row],[Id_sector]],Sector[[Id_sector]:[Auxiliar]],5,0)</f>
        <v>Prod: Salud-270108 | Sector: Mujer-2701 | Industria: MUJER-27</v>
      </c>
      <c r="J18" s="23" t="str">
        <f t="shared" si="2"/>
        <v>INSERT INTO producto VALUES (270108,'Centros de la Mujer','Salud','Prod: Salud-270108 | Sector: Mujer-2701 | Industria: MUJER-27',2701);</v>
      </c>
      <c r="L18" t="str">
        <f>+Productos[[#This Row],[Id_producto]]&amp;" Producto|| "&amp;Productos[[#This Row],[Producto]]</f>
        <v>270108 Producto|| Centros de la Mujer</v>
      </c>
    </row>
    <row r="19" spans="1:12" ht="24" x14ac:dyDescent="0.35">
      <c r="A19" s="15">
        <f t="shared" si="3"/>
        <v>27</v>
      </c>
      <c r="B19" s="4" t="str">
        <f>+VLOOKUP(Productos[[#This Row],[Id_industria]],Industria[[Id_industria]:[Industria]],2,0)</f>
        <v>Mujeres</v>
      </c>
      <c r="C19" s="15">
        <f t="shared" si="1"/>
        <v>2701</v>
      </c>
      <c r="D19" s="4" t="str">
        <f>+VLOOKUP(Productos[[#This Row],[Id_sector]],Sector[[Id_sector]:[Sector]],3,0)</f>
        <v>Violencia</v>
      </c>
      <c r="E19" s="15">
        <f t="shared" si="0"/>
        <v>270109</v>
      </c>
      <c r="F19" s="16">
        <v>9</v>
      </c>
      <c r="G19" s="3" t="s">
        <v>57</v>
      </c>
      <c r="H19" s="3" t="s">
        <v>58</v>
      </c>
      <c r="I19" s="3" t="str">
        <f>+"Prod: "&amp;Productos[[#This Row],[Descripcion]]&amp;"-"&amp;Productos[[#This Row],[Id_producto]]&amp;" | "&amp;VLOOKUP(Productos[[#This Row],[Id_sector]],Sector[[Id_sector]:[Auxiliar]],5,0)</f>
        <v>Prod: Salud-270109 | Sector: Mujer-2701 | Industria: MUJER-27</v>
      </c>
      <c r="J19" s="23" t="str">
        <f t="shared" si="2"/>
        <v>INSERT INTO producto VALUES (270109,'Casas de Acogida','Salud','Prod: Salud-270109 | Sector: Mujer-2701 | Industria: MUJER-27',2701);</v>
      </c>
      <c r="L19" t="str">
        <f>+Productos[[#This Row],[Id_producto]]&amp;" Producto|| "&amp;Productos[[#This Row],[Producto]]</f>
        <v>270109 Producto|| Casas de Acogida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CA8-2BDF-4275-A0F6-B9D5CA3C15D7}">
  <dimension ref="A8:M71"/>
  <sheetViews>
    <sheetView showGridLines="0" tabSelected="1" workbookViewId="0">
      <pane ySplit="9" topLeftCell="A13" activePane="bottomLeft" state="frozen"/>
      <selection pane="bottomLeft" activeCell="F15" sqref="F15"/>
    </sheetView>
  </sheetViews>
  <sheetFormatPr baseColWidth="10" defaultColWidth="11.453125" defaultRowHeight="14.5" x14ac:dyDescent="0.35"/>
  <cols>
    <col min="1" max="1" width="6.453125" customWidth="1"/>
    <col min="2" max="2" width="16.6328125" customWidth="1"/>
    <col min="3" max="3" width="7.6328125" customWidth="1"/>
    <col min="4" max="4" width="18.81640625" customWidth="1"/>
    <col min="5" max="5" width="9.08984375" customWidth="1"/>
    <col min="6" max="6" width="26.6328125" customWidth="1"/>
    <col min="7" max="7" width="10.6328125" customWidth="1"/>
    <col min="8" max="8" width="4.81640625" customWidth="1"/>
    <col min="9" max="9" width="21.81640625" customWidth="1"/>
    <col min="10" max="10" width="24.453125" customWidth="1"/>
    <col min="11" max="11" width="29.453125" customWidth="1"/>
    <col min="12" max="12" width="20.08984375" customWidth="1"/>
    <col min="13" max="13" width="49.36328125" customWidth="1"/>
  </cols>
  <sheetData>
    <row r="8" spans="1:13" x14ac:dyDescent="0.35">
      <c r="E8" s="12"/>
      <c r="G8" s="12">
        <f>+SUBTOTAL(3,Categorias[Id_categoría])</f>
        <v>62</v>
      </c>
    </row>
    <row r="9" spans="1:13" ht="26.5" customHeight="1" x14ac:dyDescent="0.35">
      <c r="A9" s="6" t="s">
        <v>0</v>
      </c>
      <c r="B9" s="18" t="s">
        <v>1</v>
      </c>
      <c r="C9" s="6" t="s">
        <v>5</v>
      </c>
      <c r="D9" s="18" t="s">
        <v>7</v>
      </c>
      <c r="E9" s="6" t="s">
        <v>8</v>
      </c>
      <c r="F9" s="18" t="s">
        <v>10</v>
      </c>
      <c r="G9" s="6" t="s">
        <v>16</v>
      </c>
      <c r="H9" s="1" t="s">
        <v>9</v>
      </c>
      <c r="I9" s="18" t="s">
        <v>17</v>
      </c>
      <c r="J9" s="19" t="s">
        <v>2</v>
      </c>
      <c r="K9" s="19" t="s">
        <v>3</v>
      </c>
      <c r="L9" s="1" t="s">
        <v>18</v>
      </c>
      <c r="M9" s="20" t="s">
        <v>4</v>
      </c>
    </row>
    <row r="10" spans="1:13" ht="52.5" x14ac:dyDescent="0.35">
      <c r="A10" s="10">
        <v>27</v>
      </c>
      <c r="B10" s="8" t="str">
        <f>+VLOOKUP(A10,Industria[],2,0)</f>
        <v>Mujeres</v>
      </c>
      <c r="C10" s="10">
        <v>2701</v>
      </c>
      <c r="D10" s="8" t="str">
        <f>+VLOOKUP(C10,Sector[[Id_sector]:[Codigo]],3,0)</f>
        <v>Violencia</v>
      </c>
      <c r="E10" s="10">
        <v>270101</v>
      </c>
      <c r="F10" s="8" t="str">
        <f>+VLOOKUP(E10,Productos[[Id_producto]:[Codigo]],3,0)</f>
        <v>Delitos Cometidos por Empleados y Funcionarios Públicos</v>
      </c>
      <c r="G10" s="11">
        <f>+E10*1000+H10</f>
        <v>270101001</v>
      </c>
      <c r="H10" s="7">
        <v>1</v>
      </c>
      <c r="I10" s="8" t="s">
        <v>59</v>
      </c>
      <c r="J10" s="8" t="str">
        <f>+Categorias[[#This Row],[Categoría]]&amp;"-"&amp;Categorias[[#This Row],[Id_categoría]]</f>
        <v>Apremios Ilegíticos Violación, Abuso Sexual Agravado, Otros-270101001</v>
      </c>
      <c r="K10" s="9" t="str">
        <f>+Categorias[[#This Row],[Descripcion]]&amp;" | "&amp;VLOOKUP(Categorias[[#This Row],[Id_producto]],Productos[[Id_producto]:[Auxiliar]],5,0)</f>
        <v>Apremios Ilegíticos Violación, Abuso Sexual Agravado, Otros-270101001 | Prod: Delitos-270101 | Sector: Mujer-2701 | Industria: MUJER-27</v>
      </c>
      <c r="L10" s="9" t="str">
        <f>+SUBSTITUTE(G10&amp;LOWER(SUBSTITUTE( SUBSTITUTE( SUBSTITUTE( SUBSTITUTE( SUBSTITUTE( SUBSTITUTE( SUBSTITUTE( SUBSTITUTE( SUBSTITUTE( SUBSTITUTE(I10, "á", "a"), "é", "e"), "í", "i"), "ó", "o"), "ú", "u"), "Á", "A"), "É", "E"), "Í", "I"), "Ó", "O"), "Ú", "U"))," ","_")</f>
        <v>270101001apremios_ilegiticos_violacion,_abuso_sexual_agravado,_otros</v>
      </c>
      <c r="M10" s="21" t="str">
        <f t="shared" ref="M10:M69" si="0">+"INSERT INTO categoria VALUES ("&amp;G10&amp;",'"&amp;I10&amp;"','"&amp;J10&amp;"','"&amp;K10&amp;"',"&amp;E10&amp;");"</f>
        <v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v>
      </c>
    </row>
    <row r="11" spans="1:13" ht="31.5" x14ac:dyDescent="0.35">
      <c r="A11" s="10">
        <f>+A10</f>
        <v>27</v>
      </c>
      <c r="B11" s="8" t="str">
        <f>+VLOOKUP(A11,Industria[],2,0)</f>
        <v>Mujeres</v>
      </c>
      <c r="C11" s="10">
        <f>+C10</f>
        <v>2701</v>
      </c>
      <c r="D11" s="8" t="str">
        <f>+VLOOKUP(C11,Sector[[Id_sector]:[Codigo]],3,0)</f>
        <v>Violencia</v>
      </c>
      <c r="E11" s="10">
        <f>+IF(H11=1,E10+1,E10)</f>
        <v>270102</v>
      </c>
      <c r="F11" s="8" t="str">
        <f>+VLOOKUP(E11,Productos[[Id_producto]:[Codigo]],3,0)</f>
        <v>Delitos sexuales</v>
      </c>
      <c r="G11" s="11">
        <f t="shared" ref="G11:G69" si="1">+E11*1000+H11</f>
        <v>270102001</v>
      </c>
      <c r="H11" s="7">
        <v>1</v>
      </c>
      <c r="I11" s="8" t="s">
        <v>19</v>
      </c>
      <c r="J11" s="8" t="str">
        <f>+Categorias[[#This Row],[Categoría]]&amp;"-"&amp;Categorias[[#This Row],[Id_categoría]]</f>
        <v>Estupro-270102001</v>
      </c>
      <c r="K11" s="9" t="str">
        <f>+Categorias[[#This Row],[Descripcion]]&amp;" | "&amp;VLOOKUP(Categorias[[#This Row],[Id_producto]],Productos[[Id_producto]:[Auxiliar]],5,0)</f>
        <v>Estupro-270102001 | Prod: Delitos-270102 | Sector: Mujer-2701 | Industria: MUJER-27</v>
      </c>
      <c r="L11" s="9" t="str">
        <f t="shared" ref="L11:L69" si="2">+SUBSTITUTE(G11&amp;LOWER(SUBSTITUTE( SUBSTITUTE( SUBSTITUTE( SUBSTITUTE( SUBSTITUTE( SUBSTITUTE( SUBSTITUTE( SUBSTITUTE( SUBSTITUTE( SUBSTITUTE(I11, "á", "a"), "é", "e"), "í", "i"), "ó", "o"), "ú", "u"), "Á", "A"), "É", "E"), "Í", "I"), "Ó", "O"), "Ú", "U"))," ","_")</f>
        <v>270102001estupro</v>
      </c>
      <c r="M11" s="21" t="str">
        <f t="shared" si="0"/>
        <v>INSERT INTO categoria VALUES (270102001,'Estupro','Estupro-270102001','Estupro-270102001 | Prod: Delitos-270102 | Sector: Mujer-2701 | Industria: MUJER-27',270102);</v>
      </c>
    </row>
    <row r="12" spans="1:13" ht="31.5" x14ac:dyDescent="0.35">
      <c r="A12" s="10">
        <f t="shared" ref="A12:A70" si="3">+A11</f>
        <v>27</v>
      </c>
      <c r="B12" s="8" t="str">
        <f>+VLOOKUP(A12,Industria[],2,0)</f>
        <v>Mujeres</v>
      </c>
      <c r="C12" s="10">
        <f t="shared" ref="C12:C70" si="4">+C11</f>
        <v>2701</v>
      </c>
      <c r="D12" s="8" t="str">
        <f>+VLOOKUP(C12,Sector[[Id_sector]:[Codigo]],3,0)</f>
        <v>Violencia</v>
      </c>
      <c r="E12" s="10">
        <f t="shared" ref="E12:E70" si="5">+IF(H12=1,E11+1,E11)</f>
        <v>270102</v>
      </c>
      <c r="F12" s="8" t="str">
        <f>+VLOOKUP(E12,Productos[[Id_producto]:[Codigo]],3,0)</f>
        <v>Delitos sexuales</v>
      </c>
      <c r="G12" s="11">
        <f t="shared" si="1"/>
        <v>270102002</v>
      </c>
      <c r="H12" s="7">
        <v>2</v>
      </c>
      <c r="I12" s="8" t="s">
        <v>20</v>
      </c>
      <c r="J12" s="8" t="str">
        <f>+Categorias[[#This Row],[Categoría]]&amp;"-"&amp;Categorias[[#This Row],[Id_categoría]]</f>
        <v>Violación-270102002</v>
      </c>
      <c r="K12" s="9" t="str">
        <f>+Categorias[[#This Row],[Descripcion]]&amp;" | "&amp;VLOOKUP(Categorias[[#This Row],[Id_producto]],Productos[[Id_producto]:[Auxiliar]],5,0)</f>
        <v>Violación-270102002 | Prod: Delitos-270102 | Sector: Mujer-2701 | Industria: MUJER-27</v>
      </c>
      <c r="L12" s="9" t="str">
        <f t="shared" si="2"/>
        <v>270102002violacion</v>
      </c>
      <c r="M12" s="21" t="str">
        <f t="shared" si="0"/>
        <v>INSERT INTO categoria VALUES (270102002,'Violación','Violación-270102002','Violación-270102002 | Prod: Delitos-270102 | Sector: Mujer-2701 | Industria: MUJER-27',270102);</v>
      </c>
    </row>
    <row r="13" spans="1:13" ht="31.5" x14ac:dyDescent="0.35">
      <c r="A13" s="10">
        <f t="shared" si="3"/>
        <v>27</v>
      </c>
      <c r="B13" s="8" t="str">
        <f>+VLOOKUP(A13,Industria[],2,0)</f>
        <v>Mujeres</v>
      </c>
      <c r="C13" s="10">
        <f t="shared" si="4"/>
        <v>2701</v>
      </c>
      <c r="D13" s="8" t="str">
        <f>+VLOOKUP(C13,Sector[[Id_sector]:[Codigo]],3,0)</f>
        <v>Violencia</v>
      </c>
      <c r="E13" s="10">
        <f t="shared" si="5"/>
        <v>270102</v>
      </c>
      <c r="F13" s="8" t="str">
        <f>+VLOOKUP(E13,Productos[[Id_producto]:[Codigo]],3,0)</f>
        <v>Delitos sexuales</v>
      </c>
      <c r="G13" s="11">
        <f t="shared" si="1"/>
        <v>270102003</v>
      </c>
      <c r="H13" s="7">
        <v>3</v>
      </c>
      <c r="I13" s="8" t="s">
        <v>21</v>
      </c>
      <c r="J13" s="8" t="str">
        <f>+Categorias[[#This Row],[Categoría]]&amp;"-"&amp;Categorias[[#This Row],[Id_categoría]]</f>
        <v>Abuso Sexual (Sólo Crimen)-270102003</v>
      </c>
      <c r="K13" s="9" t="str">
        <f>+Categorias[[#This Row],[Descripcion]]&amp;" | "&amp;VLOOKUP(Categorias[[#This Row],[Id_producto]],Productos[[Id_producto]:[Auxiliar]],5,0)</f>
        <v>Abuso Sexual (Sólo Crimen)-270102003 | Prod: Delitos-270102 | Sector: Mujer-2701 | Industria: MUJER-27</v>
      </c>
      <c r="L13" s="9" t="str">
        <f t="shared" si="2"/>
        <v>270102003abuso_sexual_(solo_crimen)</v>
      </c>
      <c r="M13" s="21" t="str">
        <f t="shared" si="0"/>
        <v>INSERT INTO categoria VALUES (270102003,'Abuso Sexual (Sólo Crimen)','Abuso Sexual (Sólo Crimen)-270102003','Abuso Sexual (Sólo Crimen)-270102003 | Prod: Delitos-270102 | Sector: Mujer-2701 | Industria: MUJER-27',270102);</v>
      </c>
    </row>
    <row r="14" spans="1:13" ht="31.5" x14ac:dyDescent="0.35">
      <c r="A14" s="10">
        <f t="shared" si="3"/>
        <v>27</v>
      </c>
      <c r="B14" s="8" t="str">
        <f>+VLOOKUP(A14,Industria[],2,0)</f>
        <v>Mujeres</v>
      </c>
      <c r="C14" s="10">
        <f t="shared" si="4"/>
        <v>2701</v>
      </c>
      <c r="D14" s="8" t="str">
        <f>+VLOOKUP(C14,Sector[[Id_sector]:[Codigo]],3,0)</f>
        <v>Violencia</v>
      </c>
      <c r="E14" s="10">
        <f t="shared" si="5"/>
        <v>270102</v>
      </c>
      <c r="F14" s="8" t="str">
        <f>+VLOOKUP(E14,Productos[[Id_producto]:[Codigo]],3,0)</f>
        <v>Delitos sexuales</v>
      </c>
      <c r="G14" s="11">
        <f t="shared" si="1"/>
        <v>270102004</v>
      </c>
      <c r="H14" s="7">
        <v>4</v>
      </c>
      <c r="I14" s="8" t="s">
        <v>22</v>
      </c>
      <c r="J14" s="8" t="str">
        <f>+Categorias[[#This Row],[Categoría]]&amp;"-"&amp;Categorias[[#This Row],[Id_categoría]]</f>
        <v>Abuso Sexual Adulto-270102004</v>
      </c>
      <c r="K14" s="9" t="str">
        <f>+Categorias[[#This Row],[Descripcion]]&amp;" | "&amp;VLOOKUP(Categorias[[#This Row],[Id_producto]],Productos[[Id_producto]:[Auxiliar]],5,0)</f>
        <v>Abuso Sexual Adulto-270102004 | Prod: Delitos-270102 | Sector: Mujer-2701 | Industria: MUJER-27</v>
      </c>
      <c r="L14" s="9" t="str">
        <f t="shared" si="2"/>
        <v>270102004abuso_sexual_adulto</v>
      </c>
      <c r="M14" s="21" t="str">
        <f t="shared" si="0"/>
        <v>INSERT INTO categoria VALUES (270102004,'Abuso Sexual Adulto','Abuso Sexual Adulto-270102004','Abuso Sexual Adulto-270102004 | Prod: Delitos-270102 | Sector: Mujer-2701 | Industria: MUJER-27',270102);</v>
      </c>
    </row>
    <row r="15" spans="1:13" ht="52.5" x14ac:dyDescent="0.35">
      <c r="A15" s="10">
        <f t="shared" si="3"/>
        <v>27</v>
      </c>
      <c r="B15" s="8" t="str">
        <f>+VLOOKUP(A15,Industria[],2,0)</f>
        <v>Mujeres</v>
      </c>
      <c r="C15" s="10">
        <f t="shared" si="4"/>
        <v>2701</v>
      </c>
      <c r="D15" s="8" t="str">
        <f>+VLOOKUP(C15,Sector[[Id_sector]:[Codigo]],3,0)</f>
        <v>Violencia</v>
      </c>
      <c r="E15" s="10">
        <f t="shared" si="5"/>
        <v>270102</v>
      </c>
      <c r="F15" s="8" t="str">
        <f>+VLOOKUP(E15,Productos[[Id_producto]:[Codigo]],3,0)</f>
        <v>Delitos sexuales</v>
      </c>
      <c r="G15" s="11">
        <f t="shared" si="1"/>
        <v>270102005</v>
      </c>
      <c r="H15" s="7">
        <v>5</v>
      </c>
      <c r="I15" s="8" t="s">
        <v>23</v>
      </c>
      <c r="J15" s="8" t="str">
        <f>+Categorias[[#This Row],[Categoría]]&amp;"-"&amp;Categorias[[#This Row],[Id_categoría]]</f>
        <v>Abuso Sexual Calificado c/Introduccion Objetos O Uso Animal-270102005</v>
      </c>
      <c r="K15" s="9" t="str">
        <f>+Categorias[[#This Row],[Descripcion]]&amp;" | "&amp;VLOOKUP(Categorias[[#This Row],[Id_producto]],Productos[[Id_producto]:[Auxiliar]],5,0)</f>
        <v>Abuso Sexual Calificado c/Introduccion Objetos O Uso Animal-270102005 | Prod: Delitos-270102 | Sector: Mujer-2701 | Industria: MUJER-27</v>
      </c>
      <c r="L15" s="9" t="str">
        <f t="shared" si="2"/>
        <v>270102005abuso_sexual_calificado_c/introduccion_objetos_o_uso_animal</v>
      </c>
      <c r="M15" s="21" t="str">
        <f t="shared" si="0"/>
        <v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v>
      </c>
    </row>
    <row r="16" spans="1:13" ht="42" x14ac:dyDescent="0.35">
      <c r="A16" s="10">
        <f t="shared" si="3"/>
        <v>27</v>
      </c>
      <c r="B16" s="8" t="str">
        <f>+VLOOKUP(A16,Industria[],2,0)</f>
        <v>Mujeres</v>
      </c>
      <c r="C16" s="10">
        <f t="shared" si="4"/>
        <v>2701</v>
      </c>
      <c r="D16" s="8" t="str">
        <f>+VLOOKUP(C16,Sector[[Id_sector]:[Codigo]],3,0)</f>
        <v>Violencia</v>
      </c>
      <c r="E16" s="10">
        <f t="shared" si="5"/>
        <v>270102</v>
      </c>
      <c r="F16" s="8" t="str">
        <f>+VLOOKUP(E16,Productos[[Id_producto]:[Codigo]],3,0)</f>
        <v>Delitos sexuales</v>
      </c>
      <c r="G16" s="11">
        <f t="shared" si="1"/>
        <v>270102006</v>
      </c>
      <c r="H16" s="7">
        <v>6</v>
      </c>
      <c r="I16" s="8" t="s">
        <v>24</v>
      </c>
      <c r="J16" s="8" t="str">
        <f>+Categorias[[#This Row],[Categoría]]&amp;"-"&amp;Categorias[[#This Row],[Id_categoría]]</f>
        <v>Abuso Sexual Con Contacto De Menor De 14 Años-270102006</v>
      </c>
      <c r="K16" s="9" t="str">
        <f>+Categorias[[#This Row],[Descripcion]]&amp;" | "&amp;VLOOKUP(Categorias[[#This Row],[Id_producto]],Productos[[Id_producto]:[Auxiliar]],5,0)</f>
        <v>Abuso Sexual Con Contacto De Menor De 14 Años-270102006 | Prod: Delitos-270102 | Sector: Mujer-2701 | Industria: MUJER-27</v>
      </c>
      <c r="L16" s="9" t="str">
        <f t="shared" si="2"/>
        <v>270102006abuso_sexual_con_contacto_de_menor_de_14_años</v>
      </c>
      <c r="M16" s="21" t="str">
        <f t="shared" si="0"/>
        <v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v>
      </c>
    </row>
    <row r="17" spans="1:13" ht="52.5" x14ac:dyDescent="0.35">
      <c r="A17" s="10">
        <f t="shared" si="3"/>
        <v>27</v>
      </c>
      <c r="B17" s="8" t="str">
        <f>+VLOOKUP(A17,Industria[],2,0)</f>
        <v>Mujeres</v>
      </c>
      <c r="C17" s="10">
        <f t="shared" si="4"/>
        <v>2701</v>
      </c>
      <c r="D17" s="8" t="str">
        <f>+VLOOKUP(C17,Sector[[Id_sector]:[Codigo]],3,0)</f>
        <v>Violencia</v>
      </c>
      <c r="E17" s="10">
        <f t="shared" si="5"/>
        <v>270102</v>
      </c>
      <c r="F17" s="8" t="str">
        <f>+VLOOKUP(E17,Productos[[Id_producto]:[Codigo]],3,0)</f>
        <v>Delitos sexuales</v>
      </c>
      <c r="G17" s="11">
        <f t="shared" si="1"/>
        <v>270102007</v>
      </c>
      <c r="H17" s="7">
        <v>7</v>
      </c>
      <c r="I17" s="8" t="s">
        <v>25</v>
      </c>
      <c r="J17" s="8" t="str">
        <f>+Categorias[[#This Row],[Categoría]]&amp;"-"&amp;Categorias[[#This Row],[Id_categoría]]</f>
        <v>Abuso Sexual De 14 Años A Menor De 18 Años Con Circunstancia Estupro-270102007</v>
      </c>
      <c r="K17" s="9" t="str">
        <f>+Categorias[[#This Row],[Descripcion]]&amp;" | "&amp;VLOOKUP(Categorias[[#This Row],[Id_producto]],Productos[[Id_producto]:[Auxiliar]],5,0)</f>
        <v>Abuso Sexual De 14 Años A Menor De 18 Años Con Circunstancia Estupro-270102007 | Prod: Delitos-270102 | Sector: Mujer-2701 | Industria: MUJER-27</v>
      </c>
      <c r="L17" s="9" t="str">
        <f t="shared" si="2"/>
        <v>270102007abuso_sexual_de_14_años_a_menor_de_18_años_con_circunstancia_estupro</v>
      </c>
      <c r="M17" s="21" t="str">
        <f t="shared" si="0"/>
        <v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v>
      </c>
    </row>
    <row r="18" spans="1:13" ht="52.5" x14ac:dyDescent="0.35">
      <c r="A18" s="10">
        <f t="shared" si="3"/>
        <v>27</v>
      </c>
      <c r="B18" s="8" t="str">
        <f>+VLOOKUP(A18,Industria[],2,0)</f>
        <v>Mujeres</v>
      </c>
      <c r="C18" s="10">
        <f t="shared" si="4"/>
        <v>2701</v>
      </c>
      <c r="D18" s="8" t="str">
        <f>+VLOOKUP(C18,Sector[[Id_sector]:[Codigo]],3,0)</f>
        <v>Violencia</v>
      </c>
      <c r="E18" s="10">
        <f t="shared" si="5"/>
        <v>270102</v>
      </c>
      <c r="F18" s="8" t="str">
        <f>+VLOOKUP(E18,Productos[[Id_producto]:[Codigo]],3,0)</f>
        <v>Delitos sexuales</v>
      </c>
      <c r="G18" s="11">
        <f t="shared" si="1"/>
        <v>270102008</v>
      </c>
      <c r="H18" s="7">
        <v>8</v>
      </c>
      <c r="I18" s="8" t="s">
        <v>26</v>
      </c>
      <c r="J18" s="8" t="str">
        <f>+Categorias[[#This Row],[Categoría]]&amp;"-"&amp;Categorias[[#This Row],[Id_categoría]]</f>
        <v>Abuso Sexual De Mayor De 14 (Con Circunstancias De Violación)-270102008</v>
      </c>
      <c r="K18" s="9" t="str">
        <f>+Categorias[[#This Row],[Descripcion]]&amp;" | "&amp;VLOOKUP(Categorias[[#This Row],[Id_producto]],Productos[[Id_producto]:[Auxiliar]],5,0)</f>
        <v>Abuso Sexual De Mayor De 14 (Con Circunstancias De Violación)-270102008 | Prod: Delitos-270102 | Sector: Mujer-2701 | Industria: MUJER-27</v>
      </c>
      <c r="L18" s="9" t="str">
        <f t="shared" si="2"/>
        <v>270102008abuso_sexual_de_mayor_de_14_(con_circunstancias_de_violacion)</v>
      </c>
      <c r="M18" s="21" t="str">
        <f t="shared" si="0"/>
        <v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v>
      </c>
    </row>
    <row r="19" spans="1:13" ht="42" x14ac:dyDescent="0.35">
      <c r="A19" s="10">
        <f t="shared" si="3"/>
        <v>27</v>
      </c>
      <c r="B19" s="8" t="str">
        <f>+VLOOKUP(A19,Industria[],2,0)</f>
        <v>Mujeres</v>
      </c>
      <c r="C19" s="10">
        <f t="shared" si="4"/>
        <v>2701</v>
      </c>
      <c r="D19" s="8" t="str">
        <f>+VLOOKUP(C19,Sector[[Id_sector]:[Codigo]],3,0)</f>
        <v>Violencia</v>
      </c>
      <c r="E19" s="10">
        <f t="shared" si="5"/>
        <v>270102</v>
      </c>
      <c r="F19" s="8" t="str">
        <f>+VLOOKUP(E19,Productos[[Id_producto]:[Codigo]],3,0)</f>
        <v>Delitos sexuales</v>
      </c>
      <c r="G19" s="11">
        <f t="shared" si="1"/>
        <v>270102009</v>
      </c>
      <c r="H19" s="7">
        <v>9</v>
      </c>
      <c r="I19" s="8" t="s">
        <v>27</v>
      </c>
      <c r="J19" s="8" t="str">
        <f>+Categorias[[#This Row],[Categoría]]&amp;"-"&amp;Categorias[[#This Row],[Id_categoría]]</f>
        <v>Abuso Sexual Mayor 14 /Sorpresa Sin Consentimiento-270102009</v>
      </c>
      <c r="K19" s="9" t="str">
        <f>+Categorias[[#This Row],[Descripcion]]&amp;" | "&amp;VLOOKUP(Categorias[[#This Row],[Id_producto]],Productos[[Id_producto]:[Auxiliar]],5,0)</f>
        <v>Abuso Sexual Mayor 14 /Sorpresa Sin Consentimiento-270102009 | Prod: Delitos-270102 | Sector: Mujer-2701 | Industria: MUJER-27</v>
      </c>
      <c r="L19" s="9" t="str">
        <f t="shared" si="2"/>
        <v>270102009abuso_sexual_mayor_14_/sorpresa_sin_consentimiento</v>
      </c>
      <c r="M19" s="21" t="str">
        <f t="shared" si="0"/>
        <v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v>
      </c>
    </row>
    <row r="20" spans="1:13" ht="31.5" x14ac:dyDescent="0.35">
      <c r="A20" s="10">
        <f t="shared" si="3"/>
        <v>27</v>
      </c>
      <c r="B20" s="8" t="str">
        <f>+VLOOKUP(A20,Industria[],2,0)</f>
        <v>Mujeres</v>
      </c>
      <c r="C20" s="10">
        <f t="shared" si="4"/>
        <v>2701</v>
      </c>
      <c r="D20" s="8" t="str">
        <f>+VLOOKUP(C20,Sector[[Id_sector]:[Codigo]],3,0)</f>
        <v>Violencia</v>
      </c>
      <c r="E20" s="10">
        <f t="shared" si="5"/>
        <v>270102</v>
      </c>
      <c r="F20" s="8" t="str">
        <f>+VLOOKUP(E20,Productos[[Id_producto]:[Codigo]],3,0)</f>
        <v>Delitos sexuales</v>
      </c>
      <c r="G20" s="11">
        <f t="shared" ref="G20:G25" si="6">+E20*1000+H20</f>
        <v>270102010</v>
      </c>
      <c r="H20" s="7">
        <v>10</v>
      </c>
      <c r="I20" s="8" t="s">
        <v>28</v>
      </c>
      <c r="J20" s="26" t="str">
        <f>+Categorias[[#This Row],[Categoría]]&amp;"-"&amp;Categorias[[#This Row],[Id_categoría]]</f>
        <v>Abuso Sexual Sin Contacto-270102010</v>
      </c>
      <c r="K20" s="27" t="str">
        <f>+Categorias[[#This Row],[Descripcion]]&amp;" | "&amp;VLOOKUP(Categorias[[#This Row],[Id_producto]],Productos[[Id_producto]:[Auxiliar]],5,0)</f>
        <v>Abuso Sexual Sin Contacto-270102010 | Prod: Delitos-270102 | Sector: Mujer-2701 | Industria: MUJER-27</v>
      </c>
      <c r="L20" s="9" t="str">
        <f t="shared" ref="L20:L25" si="7">+SUBSTITUTE(G20&amp;LOWER(SUBSTITUTE( SUBSTITUTE( SUBSTITUTE( SUBSTITUTE( SUBSTITUTE( SUBSTITUTE( SUBSTITUTE( SUBSTITUTE( SUBSTITUTE( SUBSTITUTE(I20, "á", "a"), "é", "e"), "í", "i"), "ó", "o"), "ú", "u"), "Á", "A"), "É", "E"), "Í", "I"), "Ó", "O"), "Ú", "U"))," ","_")</f>
        <v>270102010abuso_sexual_sin_contacto</v>
      </c>
      <c r="M20" s="28" t="str">
        <f t="shared" ref="M20:M25" si="8">+"INSERT INTO categoria VALUES ("&amp;G20&amp;",'"&amp;I20&amp;"','"&amp;J20&amp;"','"&amp;K20&amp;"',"&amp;E20&amp;");"</f>
        <v>INSERT INTO categoria VALUES (270102010,'Abuso Sexual Sin Contacto','Abuso Sexual Sin Contacto-270102010','Abuso Sexual Sin Contacto-270102010 | Prod: Delitos-270102 | Sector: Mujer-2701 | Industria: MUJER-27',270102);</v>
      </c>
    </row>
    <row r="21" spans="1:13" ht="42" x14ac:dyDescent="0.35">
      <c r="A21" s="10">
        <f t="shared" si="3"/>
        <v>27</v>
      </c>
      <c r="B21" s="8" t="str">
        <f>+VLOOKUP(A21,Industria[],2,0)</f>
        <v>Mujeres</v>
      </c>
      <c r="C21" s="10">
        <f t="shared" si="4"/>
        <v>2701</v>
      </c>
      <c r="D21" s="8" t="str">
        <f>+VLOOKUP(C21,Sector[[Id_sector]:[Codigo]],3,0)</f>
        <v>Violencia</v>
      </c>
      <c r="E21" s="10">
        <f t="shared" si="5"/>
        <v>270102</v>
      </c>
      <c r="F21" s="8" t="str">
        <f>+VLOOKUP(E21,Productos[[Id_producto]:[Codigo]],3,0)</f>
        <v>Delitos sexuales</v>
      </c>
      <c r="G21" s="11">
        <f t="shared" si="6"/>
        <v>270102011</v>
      </c>
      <c r="H21" s="7">
        <v>11</v>
      </c>
      <c r="I21" s="8" t="s">
        <v>29</v>
      </c>
      <c r="J21" s="26" t="str">
        <f>+Categorias[[#This Row],[Categoría]]&amp;"-"&amp;Categorias[[#This Row],[Id_categoría]]</f>
        <v>Delitos De Signifación Sexual-270102011</v>
      </c>
      <c r="K21" s="27" t="str">
        <f>+Categorias[[#This Row],[Descripcion]]&amp;" | "&amp;VLOOKUP(Categorias[[#This Row],[Id_producto]],Productos[[Id_producto]:[Auxiliar]],5,0)</f>
        <v>Delitos De Signifación Sexual-270102011 | Prod: Delitos-270102 | Sector: Mujer-2701 | Industria: MUJER-27</v>
      </c>
      <c r="L21" s="9" t="str">
        <f t="shared" si="7"/>
        <v>270102011delitos_de_signifacion_sexual</v>
      </c>
      <c r="M21" s="28" t="str">
        <f t="shared" si="8"/>
        <v>INSERT INTO categoria VALUES (270102011,'Delitos De Signifación Sexual','Delitos De Signifación Sexual-270102011','Delitos De Signifación Sexual-270102011 | Prod: Delitos-270102 | Sector: Mujer-2701 | Industria: MUJER-27',270102);</v>
      </c>
    </row>
    <row r="22" spans="1:13" ht="52.5" x14ac:dyDescent="0.35">
      <c r="A22" s="10">
        <f t="shared" si="3"/>
        <v>27</v>
      </c>
      <c r="B22" s="8" t="str">
        <f>+VLOOKUP(A22,Industria[],2,0)</f>
        <v>Mujeres</v>
      </c>
      <c r="C22" s="10">
        <f t="shared" si="4"/>
        <v>2701</v>
      </c>
      <c r="D22" s="8" t="str">
        <f>+VLOOKUP(C22,Sector[[Id_sector]:[Codigo]],3,0)</f>
        <v>Violencia</v>
      </c>
      <c r="E22" s="10">
        <f t="shared" si="5"/>
        <v>270102</v>
      </c>
      <c r="F22" s="8" t="str">
        <f>+VLOOKUP(E22,Productos[[Id_producto]:[Codigo]],3,0)</f>
        <v>Delitos sexuales</v>
      </c>
      <c r="G22" s="11">
        <f t="shared" si="6"/>
        <v>270102012</v>
      </c>
      <c r="H22" s="7">
        <v>12</v>
      </c>
      <c r="I22" s="8" t="s">
        <v>30</v>
      </c>
      <c r="J22" s="26" t="str">
        <f>+Categorias[[#This Row],[Categoría]]&amp;"-"&amp;Categorias[[#This Row],[Id_categoría]]</f>
        <v>Producción De Material Pornógrafico Utilizando Menores 18 Años-270102012</v>
      </c>
      <c r="K22" s="27" t="str">
        <f>+Categorias[[#This Row],[Descripcion]]&amp;" | "&amp;VLOOKUP(Categorias[[#This Row],[Id_producto]],Productos[[Id_producto]:[Auxiliar]],5,0)</f>
        <v>Producción De Material Pornógrafico Utilizando Menores 18 Años-270102012 | Prod: Delitos-270102 | Sector: Mujer-2701 | Industria: MUJER-27</v>
      </c>
      <c r="L22" s="9" t="str">
        <f t="shared" si="7"/>
        <v>270102012produccion_de_material_pornografico_utilizando_menores_18_años</v>
      </c>
      <c r="M22" s="28" t="str">
        <f t="shared" si="8"/>
        <v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v>
      </c>
    </row>
    <row r="23" spans="1:13" ht="42" x14ac:dyDescent="0.35">
      <c r="A23" s="10">
        <f t="shared" si="3"/>
        <v>27</v>
      </c>
      <c r="B23" s="8" t="str">
        <f>+VLOOKUP(A23,Industria[],2,0)</f>
        <v>Mujeres</v>
      </c>
      <c r="C23" s="10">
        <f t="shared" si="4"/>
        <v>2701</v>
      </c>
      <c r="D23" s="8" t="str">
        <f>+VLOOKUP(C23,Sector[[Id_sector]:[Codigo]],3,0)</f>
        <v>Violencia</v>
      </c>
      <c r="E23" s="10">
        <f t="shared" si="5"/>
        <v>270102</v>
      </c>
      <c r="F23" s="8" t="str">
        <f>+VLOOKUP(E23,Productos[[Id_producto]:[Codigo]],3,0)</f>
        <v>Delitos sexuales</v>
      </c>
      <c r="G23" s="11">
        <f t="shared" si="6"/>
        <v>270102013</v>
      </c>
      <c r="H23" s="7">
        <v>13</v>
      </c>
      <c r="I23" s="8" t="s">
        <v>31</v>
      </c>
      <c r="J23" s="26" t="str">
        <f>+Categorias[[#This Row],[Categoría]]&amp;"-"&amp;Categorias[[#This Row],[Id_categoría]]</f>
        <v>Promover O Facilitar Prostitucion De Menores-270102013</v>
      </c>
      <c r="K23" s="27" t="str">
        <f>+Categorias[[#This Row],[Descripcion]]&amp;" | "&amp;VLOOKUP(Categorias[[#This Row],[Id_producto]],Productos[[Id_producto]:[Auxiliar]],5,0)</f>
        <v>Promover O Facilitar Prostitucion De Menores-270102013 | Prod: Delitos-270102 | Sector: Mujer-2701 | Industria: MUJER-27</v>
      </c>
      <c r="L23" s="9" t="str">
        <f t="shared" si="7"/>
        <v>270102013promover_o_facilitar_prostitucion_de_menores</v>
      </c>
      <c r="M23" s="28" t="str">
        <f t="shared" si="8"/>
        <v>INSERT INTO categoria VALUES (270102013,'Promover O Facilitar Prostitucion De Menores','Promover O Facilitar Prostitucion De Menores-270102013','Promover O Facilitar Prostitucion De Menores-270102013 | Prod: Delitos-270102 | Sector: Mujer-2701 | Industria: MUJER-27',270102);</v>
      </c>
    </row>
    <row r="24" spans="1:13" ht="42" x14ac:dyDescent="0.35">
      <c r="A24" s="10">
        <f t="shared" si="3"/>
        <v>27</v>
      </c>
      <c r="B24" s="8" t="str">
        <f>+VLOOKUP(A24,Industria[],2,0)</f>
        <v>Mujeres</v>
      </c>
      <c r="C24" s="10">
        <f t="shared" si="4"/>
        <v>2701</v>
      </c>
      <c r="D24" s="8" t="str">
        <f>+VLOOKUP(C24,Sector[[Id_sector]:[Codigo]],3,0)</f>
        <v>Violencia</v>
      </c>
      <c r="E24" s="10">
        <f t="shared" si="5"/>
        <v>270102</v>
      </c>
      <c r="F24" s="8" t="str">
        <f>+VLOOKUP(E24,Productos[[Id_producto]:[Codigo]],3,0)</f>
        <v>Delitos sexuales</v>
      </c>
      <c r="G24" s="11">
        <f t="shared" si="6"/>
        <v>270102014</v>
      </c>
      <c r="H24" s="7">
        <v>14</v>
      </c>
      <c r="I24" s="8" t="s">
        <v>32</v>
      </c>
      <c r="J24" s="26" t="str">
        <f>+Categorias[[#This Row],[Categoría]]&amp;"-"&amp;Categorias[[#This Row],[Id_categoría]]</f>
        <v>Violación De Mayor De 14 Años-270102014</v>
      </c>
      <c r="K24" s="27" t="str">
        <f>+Categorias[[#This Row],[Descripcion]]&amp;" | "&amp;VLOOKUP(Categorias[[#This Row],[Id_producto]],Productos[[Id_producto]:[Auxiliar]],5,0)</f>
        <v>Violación De Mayor De 14 Años-270102014 | Prod: Delitos-270102 | Sector: Mujer-2701 | Industria: MUJER-27</v>
      </c>
      <c r="L24" s="9" t="str">
        <f t="shared" si="7"/>
        <v>270102014violacion_de_mayor_de_14_años</v>
      </c>
      <c r="M24" s="28" t="str">
        <f t="shared" si="8"/>
        <v>INSERT INTO categoria VALUES (270102014,'Violación De Mayor De 14 Años','Violación De Mayor De 14 Años-270102014','Violación De Mayor De 14 Años-270102014 | Prod: Delitos-270102 | Sector: Mujer-2701 | Industria: MUJER-27',270102);</v>
      </c>
    </row>
    <row r="25" spans="1:13" ht="42" x14ac:dyDescent="0.35">
      <c r="A25" s="10">
        <f t="shared" si="3"/>
        <v>27</v>
      </c>
      <c r="B25" s="8" t="str">
        <f>+VLOOKUP(A25,Industria[],2,0)</f>
        <v>Mujeres</v>
      </c>
      <c r="C25" s="10">
        <f t="shared" si="4"/>
        <v>2701</v>
      </c>
      <c r="D25" s="8" t="str">
        <f>+VLOOKUP(C25,Sector[[Id_sector]:[Codigo]],3,0)</f>
        <v>Violencia</v>
      </c>
      <c r="E25" s="10">
        <f t="shared" si="5"/>
        <v>270102</v>
      </c>
      <c r="F25" s="8" t="str">
        <f>+VLOOKUP(E25,Productos[[Id_producto]:[Codigo]],3,0)</f>
        <v>Delitos sexuales</v>
      </c>
      <c r="G25" s="11">
        <f t="shared" si="6"/>
        <v>270102015</v>
      </c>
      <c r="H25" s="7">
        <v>15</v>
      </c>
      <c r="I25" s="8" t="s">
        <v>33</v>
      </c>
      <c r="J25" s="26" t="str">
        <f>+Categorias[[#This Row],[Categoría]]&amp;"-"&amp;Categorias[[#This Row],[Id_categoría]]</f>
        <v>Violación De Menor De 14 Años-270102015</v>
      </c>
      <c r="K25" s="27" t="str">
        <f>+Categorias[[#This Row],[Descripcion]]&amp;" | "&amp;VLOOKUP(Categorias[[#This Row],[Id_producto]],Productos[[Id_producto]:[Auxiliar]],5,0)</f>
        <v>Violación De Menor De 14 Años-270102015 | Prod: Delitos-270102 | Sector: Mujer-2701 | Industria: MUJER-27</v>
      </c>
      <c r="L25" s="9" t="str">
        <f t="shared" si="7"/>
        <v>270102015violacion_de_menor_de_14_años</v>
      </c>
      <c r="M25" s="28" t="str">
        <f t="shared" si="8"/>
        <v>INSERT INTO categoria VALUES (270102015,'Violación De Menor De 14 Años','Violación De Menor De 14 Años-270102015','Violación De Menor De 14 Años-270102015 | Prod: Delitos-270102 | Sector: Mujer-2701 | Industria: MUJER-27',270102);</v>
      </c>
    </row>
    <row r="26" spans="1:13" ht="42" x14ac:dyDescent="0.35">
      <c r="A26" s="10">
        <f t="shared" si="3"/>
        <v>27</v>
      </c>
      <c r="B26" s="8" t="str">
        <f>+VLOOKUP(A26,Industria[],2,0)</f>
        <v>Mujeres</v>
      </c>
      <c r="C26" s="10">
        <f t="shared" si="4"/>
        <v>2701</v>
      </c>
      <c r="D26" s="8" t="str">
        <f>+VLOOKUP(C26,Sector[[Id_sector]:[Codigo]],3,0)</f>
        <v>Violencia</v>
      </c>
      <c r="E26" s="10">
        <f t="shared" si="5"/>
        <v>270102</v>
      </c>
      <c r="F26" s="8" t="str">
        <f>+VLOOKUP(E26,Productos[[Id_producto]:[Codigo]],3,0)</f>
        <v>Delitos sexuales</v>
      </c>
      <c r="G26" s="11">
        <f t="shared" si="1"/>
        <v>270102016</v>
      </c>
      <c r="H26" s="7">
        <v>16</v>
      </c>
      <c r="I26" s="8" t="s">
        <v>34</v>
      </c>
      <c r="J26" s="8" t="str">
        <f>+Categorias[[#This Row],[Categoría]]&amp;"-"&amp;Categorias[[#This Row],[Id_categoría]]</f>
        <v>Acoso Sexual Lugares Públicos /Libre Acceso Público-270102016</v>
      </c>
      <c r="K26" s="9" t="str">
        <f>+Categorias[[#This Row],[Descripcion]]&amp;" | "&amp;VLOOKUP(Categorias[[#This Row],[Id_producto]],Productos[[Id_producto]:[Auxiliar]],5,0)</f>
        <v>Acoso Sexual Lugares Públicos /Libre Acceso Público-270102016 | Prod: Delitos-270102 | Sector: Mujer-2701 | Industria: MUJER-27</v>
      </c>
      <c r="L26" s="9" t="str">
        <f t="shared" si="2"/>
        <v>270102016acoso_sexual_lugares_publicos_/libre_acceso_publico</v>
      </c>
      <c r="M26" s="21" t="str">
        <f t="shared" si="0"/>
        <v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v>
      </c>
    </row>
    <row r="27" spans="1:13" ht="42" x14ac:dyDescent="0.35">
      <c r="A27" s="10">
        <f t="shared" si="3"/>
        <v>27</v>
      </c>
      <c r="B27" s="8" t="str">
        <f>+VLOOKUP(A27,Industria[],2,0)</f>
        <v>Mujeres</v>
      </c>
      <c r="C27" s="10">
        <f t="shared" si="4"/>
        <v>2701</v>
      </c>
      <c r="D27" s="8" t="str">
        <f>+VLOOKUP(C27,Sector[[Id_sector]:[Codigo]],3,0)</f>
        <v>Violencia</v>
      </c>
      <c r="E27" s="10">
        <f t="shared" si="5"/>
        <v>270102</v>
      </c>
      <c r="F27" s="8" t="str">
        <f>+VLOOKUP(E27,Productos[[Id_producto]:[Codigo]],3,0)</f>
        <v>Delitos sexuales</v>
      </c>
      <c r="G27" s="11">
        <f t="shared" si="1"/>
        <v>270102017</v>
      </c>
      <c r="H27" s="7">
        <v>17</v>
      </c>
      <c r="I27" s="8" t="s">
        <v>35</v>
      </c>
      <c r="J27" s="8" t="str">
        <f>+Categorias[[#This Row],[Categoría]]&amp;"-"&amp;Categorias[[#This Row],[Id_categoría]]</f>
        <v>Violación Con Homicidio O Femicidio-270102017</v>
      </c>
      <c r="K27" s="9" t="str">
        <f>+Categorias[[#This Row],[Descripcion]]&amp;" | "&amp;VLOOKUP(Categorias[[#This Row],[Id_producto]],Productos[[Id_producto]:[Auxiliar]],5,0)</f>
        <v>Violación Con Homicidio O Femicidio-270102017 | Prod: Delitos-270102 | Sector: Mujer-2701 | Industria: MUJER-27</v>
      </c>
      <c r="L27" s="9" t="str">
        <f t="shared" si="2"/>
        <v>270102017violacion_con_homicidio_o_femicidio</v>
      </c>
      <c r="M27" s="21" t="str">
        <f t="shared" si="0"/>
        <v>INSERT INTO categoria VALUES (270102017,'Violación Con Homicidio O Femicidio','Violación Con Homicidio O Femicidio-270102017','Violación Con Homicidio O Femicidio-270102017 | Prod: Delitos-270102 | Sector: Mujer-2701 | Industria: MUJER-27',270102);</v>
      </c>
    </row>
    <row r="28" spans="1:13" ht="42" x14ac:dyDescent="0.35">
      <c r="A28" s="10">
        <f t="shared" si="3"/>
        <v>27</v>
      </c>
      <c r="B28" s="8" t="str">
        <f>+VLOOKUP(A28,Industria[],2,0)</f>
        <v>Mujeres</v>
      </c>
      <c r="C28" s="10">
        <f t="shared" si="4"/>
        <v>2701</v>
      </c>
      <c r="D28" s="8" t="str">
        <f>+VLOOKUP(C28,Sector[[Id_sector]:[Codigo]],3,0)</f>
        <v>Violencia</v>
      </c>
      <c r="E28" s="10">
        <f t="shared" si="5"/>
        <v>270102</v>
      </c>
      <c r="F28" s="8" t="str">
        <f>+VLOOKUP(E28,Productos[[Id_producto]:[Codigo]],3,0)</f>
        <v>Delitos sexuales</v>
      </c>
      <c r="G28" s="11">
        <f t="shared" si="1"/>
        <v>270102018</v>
      </c>
      <c r="H28" s="7">
        <v>18</v>
      </c>
      <c r="I28" s="8" t="s">
        <v>36</v>
      </c>
      <c r="J28" s="8" t="str">
        <f>+Categorias[[#This Row],[Categoría]]&amp;"-"&amp;Categorias[[#This Row],[Id_categoría]]</f>
        <v>Difusión De Material Pornográfico-270102018</v>
      </c>
      <c r="K28" s="9" t="str">
        <f>+Categorias[[#This Row],[Descripcion]]&amp;" | "&amp;VLOOKUP(Categorias[[#This Row],[Id_producto]],Productos[[Id_producto]:[Auxiliar]],5,0)</f>
        <v>Difusión De Material Pornográfico-270102018 | Prod: Delitos-270102 | Sector: Mujer-2701 | Industria: MUJER-27</v>
      </c>
      <c r="L28" s="9" t="str">
        <f t="shared" si="2"/>
        <v>270102018difusion_de_material_pornografico</v>
      </c>
      <c r="M28" s="21" t="str">
        <f t="shared" si="0"/>
        <v>INSERT INTO categoria VALUES (270102018,'Difusión De Material Pornográfico','Difusión De Material Pornográfico-270102018','Difusión De Material Pornográfico-270102018 | Prod: Delitos-270102 | Sector: Mujer-2701 | Industria: MUJER-27',270102);</v>
      </c>
    </row>
    <row r="29" spans="1:13" ht="31.5" x14ac:dyDescent="0.35">
      <c r="A29" s="10">
        <f t="shared" si="3"/>
        <v>27</v>
      </c>
      <c r="B29" s="8" t="str">
        <f>+VLOOKUP(A29,Industria[],2,0)</f>
        <v>Mujeres</v>
      </c>
      <c r="C29" s="10">
        <f t="shared" si="4"/>
        <v>2701</v>
      </c>
      <c r="D29" s="8" t="str">
        <f>+VLOOKUP(C29,Sector[[Id_sector]:[Codigo]],3,0)</f>
        <v>Violencia</v>
      </c>
      <c r="E29" s="10">
        <f t="shared" si="5"/>
        <v>270103</v>
      </c>
      <c r="F29" s="8" t="str">
        <f>+VLOOKUP(E29,Productos[[Id_producto]:[Codigo]],3,0)</f>
        <v>Delitos violentos</v>
      </c>
      <c r="G29" s="11">
        <f t="shared" si="1"/>
        <v>270103001</v>
      </c>
      <c r="H29" s="7">
        <v>1</v>
      </c>
      <c r="I29" s="8" t="s">
        <v>37</v>
      </c>
      <c r="J29" s="8" t="str">
        <f>+Categorias[[#This Row],[Categoría]]&amp;"-"&amp;Categorias[[#This Row],[Id_categoría]]</f>
        <v>Femicidio-270103001</v>
      </c>
      <c r="K29" s="9" t="str">
        <f>+Categorias[[#This Row],[Descripcion]]&amp;" | "&amp;VLOOKUP(Categorias[[#This Row],[Id_producto]],Productos[[Id_producto]:[Auxiliar]],5,0)</f>
        <v>Femicidio-270103001 | Prod: Delitos-270103 | Sector: Mujer-2701 | Industria: MUJER-27</v>
      </c>
      <c r="L29" s="9" t="str">
        <f t="shared" si="2"/>
        <v>270103001femicidio</v>
      </c>
      <c r="M29" s="21" t="str">
        <f t="shared" si="0"/>
        <v>INSERT INTO categoria VALUES (270103001,'Femicidio','Femicidio-270103001','Femicidio-270103001 | Prod: Delitos-270103 | Sector: Mujer-2701 | Industria: MUJER-27',270103);</v>
      </c>
    </row>
    <row r="30" spans="1:13" ht="31.5" x14ac:dyDescent="0.35">
      <c r="A30" s="10">
        <f t="shared" si="3"/>
        <v>27</v>
      </c>
      <c r="B30" s="8" t="str">
        <f>+VLOOKUP(A30,Industria[],2,0)</f>
        <v>Mujeres</v>
      </c>
      <c r="C30" s="10">
        <f t="shared" si="4"/>
        <v>2701</v>
      </c>
      <c r="D30" s="8" t="str">
        <f>+VLOOKUP(C30,Sector[[Id_sector]:[Codigo]],3,0)</f>
        <v>Violencia</v>
      </c>
      <c r="E30" s="10">
        <f t="shared" si="5"/>
        <v>270103</v>
      </c>
      <c r="F30" s="8" t="str">
        <f>+VLOOKUP(E30,Productos[[Id_producto]:[Codigo]],3,0)</f>
        <v>Delitos violentos</v>
      </c>
      <c r="G30" s="11">
        <f t="shared" si="1"/>
        <v>270103002</v>
      </c>
      <c r="H30" s="7">
        <v>2</v>
      </c>
      <c r="I30" s="8" t="s">
        <v>38</v>
      </c>
      <c r="J30" s="8" t="str">
        <f>+Categorias[[#This Row],[Categoría]]&amp;"-"&amp;Categorias[[#This Row],[Id_categoría]]</f>
        <v>Femicidio Intimo-270103002</v>
      </c>
      <c r="K30" s="9" t="str">
        <f>+Categorias[[#This Row],[Descripcion]]&amp;" | "&amp;VLOOKUP(Categorias[[#This Row],[Id_producto]],Productos[[Id_producto]:[Auxiliar]],5,0)</f>
        <v>Femicidio Intimo-270103002 | Prod: Delitos-270103 | Sector: Mujer-2701 | Industria: MUJER-27</v>
      </c>
      <c r="L30" s="9" t="str">
        <f t="shared" si="2"/>
        <v>270103002femicidio_intimo</v>
      </c>
      <c r="M30" s="21" t="str">
        <f t="shared" si="0"/>
        <v>INSERT INTO categoria VALUES (270103002,'Femicidio Intimo','Femicidio Intimo-270103002','Femicidio Intimo-270103002 | Prod: Delitos-270103 | Sector: Mujer-2701 | Industria: MUJER-27',270103);</v>
      </c>
    </row>
    <row r="31" spans="1:13" ht="31.5" x14ac:dyDescent="0.35">
      <c r="A31" s="10">
        <f t="shared" si="3"/>
        <v>27</v>
      </c>
      <c r="B31" s="8" t="str">
        <f>+VLOOKUP(A31,Industria[],2,0)</f>
        <v>Mujeres</v>
      </c>
      <c r="C31" s="10">
        <f t="shared" si="4"/>
        <v>2701</v>
      </c>
      <c r="D31" s="8" t="str">
        <f>+VLOOKUP(C31,Sector[[Id_sector]:[Codigo]],3,0)</f>
        <v>Violencia</v>
      </c>
      <c r="E31" s="10">
        <f t="shared" si="5"/>
        <v>270103</v>
      </c>
      <c r="F31" s="8" t="str">
        <f>+VLOOKUP(E31,Productos[[Id_producto]:[Codigo]],3,0)</f>
        <v>Delitos violentos</v>
      </c>
      <c r="G31" s="11">
        <f t="shared" si="1"/>
        <v>270103003</v>
      </c>
      <c r="H31" s="7">
        <v>3</v>
      </c>
      <c r="I31" s="8" t="s">
        <v>39</v>
      </c>
      <c r="J31" s="8" t="str">
        <f>+Categorias[[#This Row],[Categoría]]&amp;"-"&amp;Categorias[[#This Row],[Id_categoría]]</f>
        <v>Secuestro Con Violación-270103003</v>
      </c>
      <c r="K31" s="9" t="str">
        <f>+Categorias[[#This Row],[Descripcion]]&amp;" | "&amp;VLOOKUP(Categorias[[#This Row],[Id_producto]],Productos[[Id_producto]:[Auxiliar]],5,0)</f>
        <v>Secuestro Con Violación-270103003 | Prod: Delitos-270103 | Sector: Mujer-2701 | Industria: MUJER-27</v>
      </c>
      <c r="L31" s="9" t="str">
        <f t="shared" si="2"/>
        <v>270103003secuestro_con_violacion</v>
      </c>
      <c r="M31" s="21" t="str">
        <f t="shared" si="0"/>
        <v>INSERT INTO categoria VALUES (270103003,'Secuestro Con Violación','Secuestro Con Violación-270103003','Secuestro Con Violación-270103003 | Prod: Delitos-270103 | Sector: Mujer-2701 | Industria: MUJER-27',270103);</v>
      </c>
    </row>
    <row r="32" spans="1:13" ht="42" x14ac:dyDescent="0.35">
      <c r="A32" s="10">
        <f t="shared" si="3"/>
        <v>27</v>
      </c>
      <c r="B32" s="8" t="str">
        <f>+VLOOKUP(A32,Industria[],2,0)</f>
        <v>Mujeres</v>
      </c>
      <c r="C32" s="10">
        <f t="shared" si="4"/>
        <v>2701</v>
      </c>
      <c r="D32" s="8" t="str">
        <f>+VLOOKUP(C32,Sector[[Id_sector]:[Codigo]],3,0)</f>
        <v>Violencia</v>
      </c>
      <c r="E32" s="10">
        <f t="shared" si="5"/>
        <v>270103</v>
      </c>
      <c r="F32" s="8" t="str">
        <f>+VLOOKUP(E32,Productos[[Id_producto]:[Codigo]],3,0)</f>
        <v>Delitos violentos</v>
      </c>
      <c r="G32" s="11">
        <f t="shared" si="1"/>
        <v>270103004</v>
      </c>
      <c r="H32" s="7">
        <v>4</v>
      </c>
      <c r="I32" s="8" t="s">
        <v>40</v>
      </c>
      <c r="J32" s="8" t="str">
        <f>+Categorias[[#This Row],[Categoría]]&amp;"-"&amp;Categorias[[#This Row],[Id_categoría]]</f>
        <v>Secuestro Con Homicidio, Violación O Lesiones-270103004</v>
      </c>
      <c r="K32" s="9" t="str">
        <f>+Categorias[[#This Row],[Descripcion]]&amp;" | "&amp;VLOOKUP(Categorias[[#This Row],[Id_producto]],Productos[[Id_producto]:[Auxiliar]],5,0)</f>
        <v>Secuestro Con Homicidio, Violación O Lesiones-270103004 | Prod: Delitos-270103 | Sector: Mujer-2701 | Industria: MUJER-27</v>
      </c>
      <c r="L32" s="9" t="str">
        <f t="shared" si="2"/>
        <v>270103004secuestro_con_homicidio,_violacion_o_lesiones</v>
      </c>
      <c r="M32" s="21" t="str">
        <f t="shared" si="0"/>
        <v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v>
      </c>
    </row>
    <row r="33" spans="1:13" ht="42" x14ac:dyDescent="0.35">
      <c r="A33" s="10">
        <f t="shared" si="3"/>
        <v>27</v>
      </c>
      <c r="B33" s="8" t="str">
        <f>+VLOOKUP(A33,Industria[],2,0)</f>
        <v>Mujeres</v>
      </c>
      <c r="C33" s="10">
        <f t="shared" si="4"/>
        <v>2701</v>
      </c>
      <c r="D33" s="8" t="str">
        <f>+VLOOKUP(C33,Sector[[Id_sector]:[Codigo]],3,0)</f>
        <v>Violencia</v>
      </c>
      <c r="E33" s="10">
        <f t="shared" si="5"/>
        <v>270103</v>
      </c>
      <c r="F33" s="8" t="str">
        <f>+VLOOKUP(E33,Productos[[Id_producto]:[Codigo]],3,0)</f>
        <v>Delitos violentos</v>
      </c>
      <c r="G33" s="11">
        <f>+E33*1000+H33</f>
        <v>270103005</v>
      </c>
      <c r="H33" s="7">
        <v>5</v>
      </c>
      <c r="I33" s="8" t="s">
        <v>41</v>
      </c>
      <c r="J33" s="26" t="str">
        <f>+Categorias[[#This Row],[Categoría]]&amp;"-"&amp;Categorias[[#This Row],[Id_categoría]]</f>
        <v>Tortura Con Violación, Abuso Sexual Agravado/Otros-270103005</v>
      </c>
      <c r="K33" s="27" t="str">
        <f>+Categorias[[#This Row],[Descripcion]]&amp;" | "&amp;VLOOKUP(Categorias[[#This Row],[Id_producto]],Productos[[Id_producto]:[Auxiliar]],5,0)</f>
        <v>Tortura Con Violación, Abuso Sexual Agravado/Otros-270103005 | Prod: Delitos-270103 | Sector: Mujer-2701 | Industria: MUJER-27</v>
      </c>
      <c r="L33" s="9" t="str">
        <f>+SUBSTITUTE(G33&amp;LOWER(SUBSTITUTE( SUBSTITUTE( SUBSTITUTE( SUBSTITUTE( SUBSTITUTE( SUBSTITUTE( SUBSTITUTE( SUBSTITUTE( SUBSTITUTE( SUBSTITUTE(I33, "á", "a"), "é", "e"), "í", "i"), "ó", "o"), "ú", "u"), "Á", "A"), "É", "E"), "Í", "I"), "Ó", "O"), "Ú", "U"))," ","_")</f>
        <v>270103005tortura_con_violacion,_abuso_sexual_agravado/otros</v>
      </c>
      <c r="M33" s="28" t="str">
        <f>+"INSERT INTO categoria VALUES ("&amp;G33&amp;",'"&amp;I33&amp;"','"&amp;J33&amp;"','"&amp;K33&amp;"',"&amp;E33&amp;");"</f>
        <v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v>
      </c>
    </row>
    <row r="34" spans="1:13" ht="31.5" x14ac:dyDescent="0.35">
      <c r="A34" s="10">
        <f t="shared" si="3"/>
        <v>27</v>
      </c>
      <c r="B34" s="8" t="str">
        <f>+VLOOKUP(A34,Industria[],2,0)</f>
        <v>Mujeres</v>
      </c>
      <c r="C34" s="10">
        <f t="shared" si="4"/>
        <v>2701</v>
      </c>
      <c r="D34" s="8" t="str">
        <f>+VLOOKUP(C34,Sector[[Id_sector]:[Codigo]],3,0)</f>
        <v>Violencia</v>
      </c>
      <c r="E34" s="10">
        <f t="shared" si="5"/>
        <v>270103</v>
      </c>
      <c r="F34" s="8" t="str">
        <f>+VLOOKUP(E34,Productos[[Id_producto]:[Codigo]],3,0)</f>
        <v>Delitos violentos</v>
      </c>
      <c r="G34" s="11">
        <f>+E34*1000+H34</f>
        <v>270103006</v>
      </c>
      <c r="H34" s="7">
        <v>6</v>
      </c>
      <c r="I34" s="8" t="s">
        <v>42</v>
      </c>
      <c r="J34" s="26" t="str">
        <f>+Categorias[[#This Row],[Categoría]]&amp;"-"&amp;Categorias[[#This Row],[Id_categoría]]</f>
        <v>Femicidio No Íntimo-270103006</v>
      </c>
      <c r="K34" s="27" t="str">
        <f>+Categorias[[#This Row],[Descripcion]]&amp;" | "&amp;VLOOKUP(Categorias[[#This Row],[Id_producto]],Productos[[Id_producto]:[Auxiliar]],5,0)</f>
        <v>Femicidio No Íntimo-270103006 | Prod: Delitos-270103 | Sector: Mujer-2701 | Industria: MUJER-27</v>
      </c>
      <c r="L34" s="9" t="str">
        <f>+SUBSTITUTE(G34&amp;LOWER(SUBSTITUTE( SUBSTITUTE( SUBSTITUTE( SUBSTITUTE( SUBSTITUTE( SUBSTITUTE( SUBSTITUTE( SUBSTITUTE( SUBSTITUTE( SUBSTITUTE(I34, "á", "a"), "é", "e"), "í", "i"), "ó", "o"), "ú", "u"), "Á", "A"), "É", "E"), "Í", "I"), "Ó", "O"), "Ú", "U"))," ","_")</f>
        <v>270103006femicidio_no_intimo</v>
      </c>
      <c r="M34" s="28" t="str">
        <f>+"INSERT INTO categoria VALUES ("&amp;G34&amp;",'"&amp;I34&amp;"','"&amp;J34&amp;"','"&amp;K34&amp;"',"&amp;E34&amp;");"</f>
        <v>INSERT INTO categoria VALUES (270103006,'Femicidio No Íntimo','Femicidio No Íntimo-270103006','Femicidio No Íntimo-270103006 | Prod: Delitos-270103 | Sector: Mujer-2701 | Industria: MUJER-27',270103);</v>
      </c>
    </row>
    <row r="35" spans="1:13" ht="21" x14ac:dyDescent="0.35">
      <c r="A35" s="10">
        <f>+A34</f>
        <v>27</v>
      </c>
      <c r="B35" s="8" t="str">
        <f>+VLOOKUP(A35,Industria[],2,0)</f>
        <v>Mujeres</v>
      </c>
      <c r="C35" s="10">
        <f>+C34</f>
        <v>2701</v>
      </c>
      <c r="D35" s="8" t="str">
        <f>+VLOOKUP(C35,Sector[[Id_sector]:[Codigo]],3,0)</f>
        <v>Violencia</v>
      </c>
      <c r="E35" s="10">
        <f>+IF(H35=1,E34+1,E34)</f>
        <v>270103</v>
      </c>
      <c r="F35" s="8" t="str">
        <f>+VLOOKUP(E35,Productos[[Id_producto]:[Codigo]],3,0)</f>
        <v>Delitos violentos</v>
      </c>
      <c r="G35" s="11">
        <f>+E35*1000+H35</f>
        <v>270103007</v>
      </c>
      <c r="H35" s="7">
        <v>7</v>
      </c>
      <c r="I35" s="8" t="s">
        <v>82</v>
      </c>
      <c r="J35" s="26" t="str">
        <f>+Categorias[[#This Row],[Categoría]]&amp;"-"&amp;Categorias[[#This Row],[Id_categoría]]</f>
        <v>Violencia Económica-270103007</v>
      </c>
      <c r="K35" s="27" t="str">
        <f>+Categorias[[#This Row],[Descripcion]]&amp;" | "&amp;VLOOKUP(Categorias[[#This Row],[Id_producto]],Productos[[Id_producto]:[Auxiliar]],5,0)</f>
        <v>Violencia Económica-270103007 | Prod: Delitos-270103 | Sector: Mujer-2701 | Industria: MUJER-27</v>
      </c>
      <c r="L35" s="9" t="str">
        <f>+SUBSTITUTE(G35&amp;LOWER(SUBSTITUTE( SUBSTITUTE( SUBSTITUTE( SUBSTITUTE( SUBSTITUTE( SUBSTITUTE( SUBSTITUTE( SUBSTITUTE( SUBSTITUTE( SUBSTITUTE(I35, "á", "a"), "é", "e"), "í", "i"), "ó", "o"), "ú", "u"), "Á", "A"), "É", "E"), "Í", "I"), "Ó", "O"), "Ú", "U"))," ","_")</f>
        <v>270103007violencia_economica</v>
      </c>
      <c r="M35" s="28" t="str">
        <f>+"INSERT INTO categoria VALUES ("&amp;G35&amp;",'"&amp;I35&amp;"','"&amp;J35&amp;"','"&amp;K35&amp;"',"&amp;E35&amp;");"</f>
        <v>INSERT INTO categoria VALUES (270103007,'Violencia Económica','Violencia Económica-270103007','Violencia Económica-270103007 | Prod: Delitos-270103 | Sector: Mujer-2701 | Industria: MUJER-27',270103);</v>
      </c>
    </row>
    <row r="36" spans="1:13" ht="31.5" x14ac:dyDescent="0.35">
      <c r="A36" s="10">
        <f>+A35</f>
        <v>27</v>
      </c>
      <c r="B36" s="8" t="str">
        <f>+VLOOKUP(A36,Industria[],2,0)</f>
        <v>Mujeres</v>
      </c>
      <c r="C36" s="10">
        <f>+C35</f>
        <v>2701</v>
      </c>
      <c r="D36" s="8" t="str">
        <f>+VLOOKUP(C36,Sector[[Id_sector]:[Codigo]],3,0)</f>
        <v>Violencia</v>
      </c>
      <c r="E36" s="10">
        <f>+IF(H36=1,E35+1,E35)</f>
        <v>270103</v>
      </c>
      <c r="F36" s="8" t="str">
        <f>+VLOOKUP(E36,Productos[[Id_producto]:[Codigo]],3,0)</f>
        <v>Delitos violentos</v>
      </c>
      <c r="G36" s="11">
        <f>+E36*1000+H36</f>
        <v>270103008</v>
      </c>
      <c r="H36" s="7">
        <v>8</v>
      </c>
      <c r="I36" s="8" t="s">
        <v>83</v>
      </c>
      <c r="J36" s="26" t="str">
        <f>+Categorias[[#This Row],[Categoría]]&amp;"-"&amp;Categorias[[#This Row],[Id_categoría]]</f>
        <v>Violencia Psicológica-270103008</v>
      </c>
      <c r="K36" s="27" t="str">
        <f>+Categorias[[#This Row],[Descripcion]]&amp;" | "&amp;VLOOKUP(Categorias[[#This Row],[Id_producto]],Productos[[Id_producto]:[Auxiliar]],5,0)</f>
        <v>Violencia Psicológica-270103008 | Prod: Delitos-270103 | Sector: Mujer-2701 | Industria: MUJER-27</v>
      </c>
      <c r="L36" s="9" t="str">
        <f>+SUBSTITUTE(G36&amp;LOWER(SUBSTITUTE( SUBSTITUTE( SUBSTITUTE( SUBSTITUTE( SUBSTITUTE( SUBSTITUTE( SUBSTITUTE( SUBSTITUTE( SUBSTITUTE( SUBSTITUTE(I36, "á", "a"), "é", "e"), "í", "i"), "ó", "o"), "ú", "u"), "Á", "A"), "É", "E"), "Í", "I"), "Ó", "O"), "Ú", "U"))," ","_")</f>
        <v>270103008violencia_psicologica</v>
      </c>
      <c r="M36" s="28" t="str">
        <f>+"INSERT INTO categoria VALUES ("&amp;G36&amp;",'"&amp;I36&amp;"','"&amp;J36&amp;"','"&amp;K36&amp;"',"&amp;E36&amp;");"</f>
        <v>INSERT INTO categoria VALUES (270103008,'Violencia Psicológica','Violencia Psicológica-270103008','Violencia Psicológica-270103008 | Prod: Delitos-270103 | Sector: Mujer-2701 | Industria: MUJER-27',270103);</v>
      </c>
    </row>
    <row r="37" spans="1:13" ht="42" x14ac:dyDescent="0.35">
      <c r="A37" s="10">
        <f>+A36</f>
        <v>27</v>
      </c>
      <c r="B37" s="8" t="str">
        <f>+VLOOKUP(A37,Industria[],2,0)</f>
        <v>Mujeres</v>
      </c>
      <c r="C37" s="10">
        <f>+C36</f>
        <v>2701</v>
      </c>
      <c r="D37" s="8" t="str">
        <f>+VLOOKUP(C37,Sector[[Id_sector]:[Codigo]],3,0)</f>
        <v>Violencia</v>
      </c>
      <c r="E37" s="10">
        <f>+IF(H37=1,E36+1,E36)</f>
        <v>270104</v>
      </c>
      <c r="F37" s="8" t="str">
        <f>+VLOOKUP(E37,Productos[[Id_producto]:[Codigo]],3,0)</f>
        <v>Delitos Contra el Estado Civil y la Familia</v>
      </c>
      <c r="G37" s="11">
        <f>+E37*1000+H37</f>
        <v>270104001</v>
      </c>
      <c r="H37" s="7">
        <v>1</v>
      </c>
      <c r="I37" s="8" t="s">
        <v>48</v>
      </c>
      <c r="J37" s="26" t="str">
        <f>+Categorias[[#This Row],[Categoría]]&amp;"-"&amp;Categorias[[#This Row],[Id_categoría]]</f>
        <v>Maltrato Habitual (Violencia Intrafamiliar)-270104001</v>
      </c>
      <c r="K37" s="27" t="str">
        <f>+Categorias[[#This Row],[Descripcion]]&amp;" | "&amp;VLOOKUP(Categorias[[#This Row],[Id_producto]],Productos[[Id_producto]:[Auxiliar]],5,0)</f>
        <v>Maltrato Habitual (Violencia Intrafamiliar)-270104001 | Prod: Delitos-270104 | Sector: Mujer-2701 | Industria: MUJER-27</v>
      </c>
      <c r="L37" s="9" t="str">
        <f>+SUBSTITUTE(G37&amp;LOWER(SUBSTITUTE( SUBSTITUTE( SUBSTITUTE( SUBSTITUTE( SUBSTITUTE( SUBSTITUTE( SUBSTITUTE( SUBSTITUTE( SUBSTITUTE( SUBSTITUTE(I37, "á", "a"), "é", "e"), "í", "i"), "ó", "o"), "ú", "u"), "Á", "A"), "É", "E"), "Í", "I"), "Ó", "O"), "Ú", "U"))," ","_")</f>
        <v>270104001maltrato_habitual_(violencia_intrafamiliar)</v>
      </c>
      <c r="M37" s="28" t="str">
        <f>+"INSERT INTO categoria VALUES ("&amp;G37&amp;",'"&amp;I37&amp;"','"&amp;J37&amp;"','"&amp;K37&amp;"',"&amp;E37&amp;");"</f>
        <v>INSERT INTO categoria VALUES (270104001,'Maltrato Habitual (Violencia Intrafamiliar)','Maltrato Habitual (Violencia Intrafamiliar)-270104001','Maltrato Habitual (Violencia Intrafamiliar)-270104001 | Prod: Delitos-270104 | Sector: Mujer-2701 | Industria: MUJER-27',270104);</v>
      </c>
    </row>
    <row r="38" spans="1:13" ht="52.5" x14ac:dyDescent="0.35">
      <c r="A38" s="10">
        <f t="shared" si="3"/>
        <v>27</v>
      </c>
      <c r="B38" s="8" t="str">
        <f>+VLOOKUP(A38,Industria[],2,0)</f>
        <v>Mujeres</v>
      </c>
      <c r="C38" s="10">
        <f t="shared" si="4"/>
        <v>2701</v>
      </c>
      <c r="D38" s="8" t="str">
        <f>+VLOOKUP(C38,Sector[[Id_sector]:[Codigo]],3,0)</f>
        <v>Violencia</v>
      </c>
      <c r="E38" s="10">
        <f t="shared" si="5"/>
        <v>270105</v>
      </c>
      <c r="F38" s="8" t="str">
        <f>+VLOOKUP(E38,Productos[[Id_producto]:[Codigo]],3,0)</f>
        <v>Delitos Contra la Vida, Integridad o Dignidad Personal</v>
      </c>
      <c r="G38" s="11">
        <f t="shared" si="1"/>
        <v>270105001</v>
      </c>
      <c r="H38" s="7">
        <v>1</v>
      </c>
      <c r="I38" s="8" t="s">
        <v>43</v>
      </c>
      <c r="J38" s="8" t="str">
        <f>+Categorias[[#This Row],[Categoría]]&amp;"-"&amp;Categorias[[#This Row],[Id_categoría]]</f>
        <v>Aborto Cometido Por Facultativo Por Causales No Reguladas-270105001</v>
      </c>
      <c r="K38" s="9" t="str">
        <f>+Categorias[[#This Row],[Descripcion]]&amp;" | "&amp;VLOOKUP(Categorias[[#This Row],[Id_producto]],Productos[[Id_producto]:[Auxiliar]],5,0)</f>
        <v>Aborto Cometido Por Facultativo Por Causales No Reguladas-270105001 | Prod: Delitos-270105 | Sector: Mujer-2701 | Industria: MUJER-27</v>
      </c>
      <c r="L38" s="9" t="str">
        <f t="shared" si="2"/>
        <v>270105001aborto_cometido_por_facultativo_por_causales_no_reguladas</v>
      </c>
      <c r="M38" s="21" t="str">
        <f t="shared" si="0"/>
        <v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v>
      </c>
    </row>
    <row r="39" spans="1:13" ht="42" x14ac:dyDescent="0.35">
      <c r="A39" s="10">
        <f t="shared" si="3"/>
        <v>27</v>
      </c>
      <c r="B39" s="8" t="str">
        <f>+VLOOKUP(A39,Industria[],2,0)</f>
        <v>Mujeres</v>
      </c>
      <c r="C39" s="10">
        <f t="shared" si="4"/>
        <v>2701</v>
      </c>
      <c r="D39" s="8" t="str">
        <f>+VLOOKUP(C39,Sector[[Id_sector]:[Codigo]],3,0)</f>
        <v>Violencia</v>
      </c>
      <c r="E39" s="10">
        <f t="shared" si="5"/>
        <v>270105</v>
      </c>
      <c r="F39" s="8" t="str">
        <f>+VLOOKUP(E39,Productos[[Id_producto]:[Codigo]],3,0)</f>
        <v>Delitos Contra la Vida, Integridad o Dignidad Personal</v>
      </c>
      <c r="G39" s="11">
        <f t="shared" si="1"/>
        <v>270105002</v>
      </c>
      <c r="H39" s="7">
        <v>2</v>
      </c>
      <c r="I39" s="8" t="s">
        <v>44</v>
      </c>
      <c r="J39" s="8" t="str">
        <f>+Categorias[[#This Row],[Categoría]]&amp;"-"&amp;Categorias[[#This Row],[Id_categoría]]</f>
        <v>Aborto Consentido Causales No Reguladas-270105002</v>
      </c>
      <c r="K39" s="9" t="str">
        <f>+Categorias[[#This Row],[Descripcion]]&amp;" | "&amp;VLOOKUP(Categorias[[#This Row],[Id_producto]],Productos[[Id_producto]:[Auxiliar]],5,0)</f>
        <v>Aborto Consentido Causales No Reguladas-270105002 | Prod: Delitos-270105 | Sector: Mujer-2701 | Industria: MUJER-27</v>
      </c>
      <c r="L39" s="9" t="str">
        <f t="shared" si="2"/>
        <v>270105002aborto_consentido_causales_no_reguladas</v>
      </c>
      <c r="M39" s="21" t="str">
        <f t="shared" si="0"/>
        <v>INSERT INTO categoria VALUES (270105002,'Aborto Consentido Causales No Reguladas','Aborto Consentido Causales No Reguladas-270105002','Aborto Consentido Causales No Reguladas-270105002 | Prod: Delitos-270105 | Sector: Mujer-2701 | Industria: MUJER-27',270105);</v>
      </c>
    </row>
    <row r="40" spans="1:13" ht="31.5" x14ac:dyDescent="0.35">
      <c r="A40" s="10">
        <f t="shared" si="3"/>
        <v>27</v>
      </c>
      <c r="B40" s="8" t="str">
        <f>+VLOOKUP(A40,Industria[],2,0)</f>
        <v>Mujeres</v>
      </c>
      <c r="C40" s="10">
        <f t="shared" si="4"/>
        <v>2701</v>
      </c>
      <c r="D40" s="8" t="str">
        <f>+VLOOKUP(C40,Sector[[Id_sector]:[Codigo]],3,0)</f>
        <v>Violencia</v>
      </c>
      <c r="E40" s="10">
        <f t="shared" si="5"/>
        <v>270105</v>
      </c>
      <c r="F40" s="8" t="str">
        <f>+VLOOKUP(E40,Productos[[Id_producto]:[Codigo]],3,0)</f>
        <v>Delitos Contra la Vida, Integridad o Dignidad Personal</v>
      </c>
      <c r="G40" s="11">
        <f t="shared" si="1"/>
        <v>270105003</v>
      </c>
      <c r="H40" s="7">
        <v>3</v>
      </c>
      <c r="I40" s="8" t="s">
        <v>45</v>
      </c>
      <c r="J40" s="8" t="str">
        <f>+Categorias[[#This Row],[Categoría]]&amp;"-"&amp;Categorias[[#This Row],[Id_categoría]]</f>
        <v>Aborto Sin Consentimiento-270105003</v>
      </c>
      <c r="K40" s="9" t="str">
        <f>+Categorias[[#This Row],[Descripcion]]&amp;" | "&amp;VLOOKUP(Categorias[[#This Row],[Id_producto]],Productos[[Id_producto]:[Auxiliar]],5,0)</f>
        <v>Aborto Sin Consentimiento-270105003 | Prod: Delitos-270105 | Sector: Mujer-2701 | Industria: MUJER-27</v>
      </c>
      <c r="L40" s="9" t="str">
        <f t="shared" si="2"/>
        <v>270105003aborto_sin_consentimiento</v>
      </c>
      <c r="M40" s="21" t="str">
        <f t="shared" si="0"/>
        <v>INSERT INTO categoria VALUES (270105003,'Aborto Sin Consentimiento','Aborto Sin Consentimiento-270105003','Aborto Sin Consentimiento-270105003 | Prod: Delitos-270105 | Sector: Mujer-2701 | Industria: MUJER-27',270105);</v>
      </c>
    </row>
    <row r="41" spans="1:13" ht="52.5" x14ac:dyDescent="0.35">
      <c r="A41" s="10">
        <f t="shared" si="3"/>
        <v>27</v>
      </c>
      <c r="B41" s="8" t="str">
        <f>+VLOOKUP(A41,Industria[],2,0)</f>
        <v>Mujeres</v>
      </c>
      <c r="C41" s="10">
        <f t="shared" si="4"/>
        <v>2701</v>
      </c>
      <c r="D41" s="8" t="str">
        <f>+VLOOKUP(C41,Sector[[Id_sector]:[Codigo]],3,0)</f>
        <v>Violencia</v>
      </c>
      <c r="E41" s="10">
        <f t="shared" si="5"/>
        <v>270105</v>
      </c>
      <c r="F41" s="8" t="str">
        <f>+VLOOKUP(E41,Productos[[Id_producto]:[Codigo]],3,0)</f>
        <v>Delitos Contra la Vida, Integridad o Dignidad Personal</v>
      </c>
      <c r="G41" s="11">
        <f t="shared" si="1"/>
        <v>270105004</v>
      </c>
      <c r="H41" s="7">
        <v>4</v>
      </c>
      <c r="I41" s="8" t="s">
        <v>84</v>
      </c>
      <c r="J41" s="8" t="str">
        <f>+Categorias[[#This Row],[Categoría]]&amp;"-"&amp;Categorias[[#This Row],[Id_categoría]]</f>
        <v>Aborto-270105004</v>
      </c>
      <c r="K41" s="9" t="str">
        <f>+Categorias[[#This Row],[Descripcion]]&amp;" | "&amp;VLOOKUP(Categorias[[#This Row],[Id_producto]],Productos[[Id_producto]:[Auxiliar]],5,0)</f>
        <v>Aborto-270105004 | Prod: Delitos-270105 | Sector: Mujer-2701 | Industria: MUJER-27</v>
      </c>
      <c r="L41" s="9" t="str">
        <f t="shared" si="2"/>
        <v>270105004aborto</v>
      </c>
      <c r="M41" s="21" t="str">
        <f t="shared" si="0"/>
        <v>INSERT INTO categoria VALUES (270105004,'Aborto','Aborto-270105004','Aborto-270105004 | Prod: Delitos-270105 | Sector: Mujer-2701 | Industria: MUJER-27',270105);</v>
      </c>
    </row>
    <row r="42" spans="1:13" ht="52.5" x14ac:dyDescent="0.35">
      <c r="A42" s="10">
        <f>+A41</f>
        <v>27</v>
      </c>
      <c r="B42" s="8" t="str">
        <f>+VLOOKUP(A42,Industria[],2,0)</f>
        <v>Mujeres</v>
      </c>
      <c r="C42" s="10">
        <f>+C41</f>
        <v>2701</v>
      </c>
      <c r="D42" s="8" t="str">
        <f>+VLOOKUP(C42,Sector[[Id_sector]:[Codigo]],3,0)</f>
        <v>Violencia</v>
      </c>
      <c r="E42" s="10">
        <f>+IF(H42=1,E41+1,E41)</f>
        <v>270105</v>
      </c>
      <c r="F42" s="8" t="str">
        <f>+VLOOKUP(E42,Productos[[Id_producto]:[Codigo]],3,0)</f>
        <v>Delitos Contra la Vida, Integridad o Dignidad Personal</v>
      </c>
      <c r="G42" s="11">
        <f>+E42*1000+H42</f>
        <v>270105005</v>
      </c>
      <c r="H42" s="7">
        <v>5</v>
      </c>
      <c r="I42" s="8" t="s">
        <v>46</v>
      </c>
      <c r="J42" s="26" t="str">
        <f>+Categorias[[#This Row],[Categoría]]&amp;"-"&amp;Categorias[[#This Row],[Id_categoría]]</f>
        <v>Tráfico De Órganos Incluyendo los Provenientes de Aborto-270105005</v>
      </c>
      <c r="K42" s="27" t="str">
        <f>+Categorias[[#This Row],[Descripcion]]&amp;" | "&amp;VLOOKUP(Categorias[[#This Row],[Id_producto]],Productos[[Id_producto]:[Auxiliar]],5,0)</f>
        <v>Tráfico De Órganos Incluyendo los Provenientes de Aborto-270105005 | Prod: Delitos-270105 | Sector: Mujer-2701 | Industria: MUJER-27</v>
      </c>
      <c r="L42" s="9" t="str">
        <f>+SUBSTITUTE(G42&amp;LOWER(SUBSTITUTE( SUBSTITUTE( SUBSTITUTE( SUBSTITUTE( SUBSTITUTE( SUBSTITUTE( SUBSTITUTE( SUBSTITUTE( SUBSTITUTE( SUBSTITUTE(I42, "á", "a"), "é", "e"), "í", "i"), "ó", "o"), "ú", "u"), "Á", "A"), "É", "E"), "Í", "I"), "Ó", "O"), "Ú", "U"))," ","_")</f>
        <v>270105005trafico_de_organos_incluyendo_los_provenientes_de_aborto</v>
      </c>
      <c r="M42" s="28" t="str">
        <f>+"INSERT INTO categoria VALUES ("&amp;G42&amp;",'"&amp;I42&amp;"','"&amp;J42&amp;"','"&amp;K42&amp;"',"&amp;E42&amp;");"</f>
        <v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v>
      </c>
    </row>
    <row r="43" spans="1:13" ht="42" x14ac:dyDescent="0.35">
      <c r="A43" s="10">
        <f>+A42</f>
        <v>27</v>
      </c>
      <c r="B43" s="8" t="str">
        <f>+VLOOKUP(A43,Industria[],2,0)</f>
        <v>Mujeres</v>
      </c>
      <c r="C43" s="10">
        <f>+C42</f>
        <v>2701</v>
      </c>
      <c r="D43" s="8" t="str">
        <f>+VLOOKUP(C43,Sector[[Id_sector]:[Codigo]],3,0)</f>
        <v>Violencia</v>
      </c>
      <c r="E43" s="10">
        <f>+IF(H43=1,E42+1,E42)</f>
        <v>270106</v>
      </c>
      <c r="F43" s="8" t="str">
        <f>+VLOOKUP(E43,Productos[[Id_producto]:[Codigo]],3,0)</f>
        <v>Delitos Contra la Intimidad y la Libertad</v>
      </c>
      <c r="G43" s="11">
        <f t="shared" si="1"/>
        <v>270106001</v>
      </c>
      <c r="H43" s="7">
        <v>1</v>
      </c>
      <c r="I43" s="8" t="s">
        <v>47</v>
      </c>
      <c r="J43" s="8" t="str">
        <f>+Categorias[[#This Row],[Categoría]]&amp;"-"&amp;Categorias[[#This Row],[Id_categoría]]</f>
        <v>Infracciones A La Ley De Identidad De Género-270106001</v>
      </c>
      <c r="K43" s="9" t="str">
        <f>+Categorias[[#This Row],[Descripcion]]&amp;" | "&amp;VLOOKUP(Categorias[[#This Row],[Id_producto]],Productos[[Id_producto]:[Auxiliar]],5,0)</f>
        <v>Infracciones A La Ley De Identidad De Género-270106001 | Prod: Delitos-270106 | Sector: Mujer-2701 | Industria: MUJER-27</v>
      </c>
      <c r="L43" s="9" t="str">
        <f t="shared" si="2"/>
        <v>270106001infracciones_a_la_ley_de_identidad_de_genero</v>
      </c>
      <c r="M43" s="21" t="str">
        <f t="shared" si="0"/>
        <v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v>
      </c>
    </row>
    <row r="44" spans="1:13" ht="31.5" x14ac:dyDescent="0.35">
      <c r="A44" s="10">
        <f t="shared" si="3"/>
        <v>27</v>
      </c>
      <c r="B44" s="8" t="str">
        <f>+VLOOKUP(A44,Industria[],2,0)</f>
        <v>Mujeres</v>
      </c>
      <c r="C44" s="10">
        <f t="shared" si="4"/>
        <v>2701</v>
      </c>
      <c r="D44" s="8" t="str">
        <f>+VLOOKUP(C44,Sector[[Id_sector]:[Codigo]],3,0)</f>
        <v>Violencia</v>
      </c>
      <c r="E44" s="10">
        <f t="shared" si="5"/>
        <v>270106</v>
      </c>
      <c r="F44" s="8" t="str">
        <f>+VLOOKUP(E44,Productos[[Id_producto]:[Codigo]],3,0)</f>
        <v>Delitos Contra la Intimidad y la Libertad</v>
      </c>
      <c r="G44" s="11">
        <f t="shared" si="1"/>
        <v>270106002</v>
      </c>
      <c r="H44" s="7">
        <v>2</v>
      </c>
      <c r="I44" s="8" t="s">
        <v>60</v>
      </c>
      <c r="J44" s="8" t="str">
        <f>+Categorias[[#This Row],[Categoría]]&amp;"-"&amp;Categorias[[#This Row],[Id_categoría]]</f>
        <v>Acoso Laboral-270106002</v>
      </c>
      <c r="K44" s="9" t="str">
        <f>+Categorias[[#This Row],[Descripcion]]&amp;" | "&amp;VLOOKUP(Categorias[[#This Row],[Id_producto]],Productos[[Id_producto]:[Auxiliar]],5,0)</f>
        <v>Acoso Laboral-270106002 | Prod: Delitos-270106 | Sector: Mujer-2701 | Industria: MUJER-27</v>
      </c>
      <c r="L44" s="9" t="str">
        <f t="shared" si="2"/>
        <v>270106002acoso_laboral</v>
      </c>
      <c r="M44" s="21" t="str">
        <f t="shared" si="0"/>
        <v>INSERT INTO categoria VALUES (270106002,'Acoso Laboral','Acoso Laboral-270106002','Acoso Laboral-270106002 | Prod: Delitos-270106 | Sector: Mujer-2701 | Industria: MUJER-27',270106);</v>
      </c>
    </row>
    <row r="45" spans="1:13" ht="63" x14ac:dyDescent="0.35">
      <c r="A45" s="10">
        <f t="shared" si="3"/>
        <v>27</v>
      </c>
      <c r="B45" s="8" t="str">
        <f>+VLOOKUP(A45,Industria[],2,0)</f>
        <v>Mujeres</v>
      </c>
      <c r="C45" s="10">
        <f t="shared" si="4"/>
        <v>2701</v>
      </c>
      <c r="D45" s="8" t="str">
        <f>+VLOOKUP(C45,Sector[[Id_sector]:[Codigo]],3,0)</f>
        <v>Violencia</v>
      </c>
      <c r="E45" s="10">
        <f t="shared" si="5"/>
        <v>270107</v>
      </c>
      <c r="F45" s="8" t="str">
        <f>+VLOOKUP(E45,Productos[[Id_producto]:[Codigo]],3,0)</f>
        <v>Atenciones médicas</v>
      </c>
      <c r="G45" s="11">
        <f t="shared" si="1"/>
        <v>270107001</v>
      </c>
      <c r="H45" s="7">
        <v>1</v>
      </c>
      <c r="I45" s="8" t="s">
        <v>61</v>
      </c>
      <c r="J45" s="8" t="str">
        <f>+Categorias[[#This Row],[Categoría]]&amp;"-"&amp;Categorias[[#This Row],[Id_categoría]]</f>
        <v>Atención por violación (con entrega de anticoncepción de emergencia)-270107001</v>
      </c>
      <c r="K45" s="9" t="str">
        <f>+Categorias[[#This Row],[Descripcion]]&amp;" | "&amp;VLOOKUP(Categorias[[#This Row],[Id_producto]],Productos[[Id_producto]:[Auxiliar]],5,0)</f>
        <v>Atención por violación (con entrega de anticoncepción de emergencia)-270107001 | Prod: Salud-270107 | Sector: Mujer-2701 | Industria: MUJER-27</v>
      </c>
      <c r="L45" s="9" t="str">
        <f t="shared" si="2"/>
        <v>270107001atencion por violacion (con entrega de anticoncepcion de emergencia)</v>
      </c>
      <c r="M45" s="21" t="str">
        <f t="shared" si="0"/>
        <v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v>
      </c>
    </row>
    <row r="46" spans="1:13" ht="63" x14ac:dyDescent="0.35">
      <c r="A46" s="10">
        <f t="shared" si="3"/>
        <v>27</v>
      </c>
      <c r="B46" s="8" t="str">
        <f>+VLOOKUP(A46,Industria[],2,0)</f>
        <v>Mujeres</v>
      </c>
      <c r="C46" s="10">
        <f t="shared" si="4"/>
        <v>2701</v>
      </c>
      <c r="D46" s="8" t="str">
        <f>+VLOOKUP(C46,Sector[[Id_sector]:[Codigo]],3,0)</f>
        <v>Violencia</v>
      </c>
      <c r="E46" s="10">
        <f t="shared" si="5"/>
        <v>270107</v>
      </c>
      <c r="F46" s="8" t="str">
        <f>+VLOOKUP(E46,Productos[[Id_producto]:[Codigo]],3,0)</f>
        <v>Atenciones médicas</v>
      </c>
      <c r="G46" s="11">
        <f t="shared" ref="G46:G52" si="9">+E46*1000+H46</f>
        <v>270107002</v>
      </c>
      <c r="H46" s="7">
        <v>2</v>
      </c>
      <c r="I46" s="8" t="s">
        <v>62</v>
      </c>
      <c r="J46" s="26" t="str">
        <f>+Categorias[[#This Row],[Categoría]]&amp;"-"&amp;Categorias[[#This Row],[Id_categoría]]</f>
        <v>Atención por violación (sin entrega de anticoncepción de emergencia )-270107002</v>
      </c>
      <c r="K46" s="27" t="str">
        <f>+Categorias[[#This Row],[Descripcion]]&amp;" | "&amp;VLOOKUP(Categorias[[#This Row],[Id_producto]],Productos[[Id_producto]:[Auxiliar]],5,0)</f>
        <v>Atención por violación (sin entrega de anticoncepción de emergencia )-270107002 | Prod: Salud-270107 | Sector: Mujer-2701 | Industria: MUJER-27</v>
      </c>
      <c r="L46" s="9" t="str">
        <f t="shared" ref="L46:L52" si="10">+SUBSTITUTE(G46&amp;LOWER(SUBSTITUTE( SUBSTITUTE( SUBSTITUTE( SUBSTITUTE( SUBSTITUTE( SUBSTITUTE( SUBSTITUTE( SUBSTITUTE( SUBSTITUTE( SUBSTITUTE(I46, "á", "a"), "é", "e"), "í", "i"), "ó", "o"), "ú", "u"), "Á", "A"), "É", "E"), "Í", "I"), "Ó", "O"), "Ú", "U"))," ","_")</f>
        <v>270107002atencion por violacion (sin entrega de anticoncepcion de emergencia )</v>
      </c>
      <c r="M46" s="28" t="str">
        <f t="shared" ref="M46:M52" si="11">+"INSERT INTO categoria VALUES ("&amp;G46&amp;",'"&amp;I46&amp;"','"&amp;J46&amp;"','"&amp;K46&amp;"',"&amp;E46&amp;");"</f>
        <v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v>
      </c>
    </row>
    <row r="47" spans="1:13" ht="31.5" x14ac:dyDescent="0.35">
      <c r="A47" s="10">
        <f t="shared" si="3"/>
        <v>27</v>
      </c>
      <c r="B47" s="8" t="str">
        <f>+VLOOKUP(A47,Industria[],2,0)</f>
        <v>Mujeres</v>
      </c>
      <c r="C47" s="10">
        <f t="shared" si="4"/>
        <v>2701</v>
      </c>
      <c r="D47" s="8" t="str">
        <f>+VLOOKUP(C47,Sector[[Id_sector]:[Codigo]],3,0)</f>
        <v>Violencia</v>
      </c>
      <c r="E47" s="10">
        <f t="shared" si="5"/>
        <v>270107</v>
      </c>
      <c r="F47" s="8" t="str">
        <f>+VLOOKUP(E47,Productos[[Id_producto]:[Codigo]],3,0)</f>
        <v>Atenciones médicas</v>
      </c>
      <c r="G47" s="11">
        <f t="shared" si="9"/>
        <v>270107003</v>
      </c>
      <c r="H47" s="7">
        <v>3</v>
      </c>
      <c r="I47" s="8" t="s">
        <v>19</v>
      </c>
      <c r="J47" s="26" t="str">
        <f>+Categorias[[#This Row],[Categoría]]&amp;"-"&amp;Categorias[[#This Row],[Id_categoría]]</f>
        <v>Estupro-270107003</v>
      </c>
      <c r="K47" s="27" t="str">
        <f>+Categorias[[#This Row],[Descripcion]]&amp;" | "&amp;VLOOKUP(Categorias[[#This Row],[Id_producto]],Productos[[Id_producto]:[Auxiliar]],5,0)</f>
        <v>Estupro-270107003 | Prod: Salud-270107 | Sector: Mujer-2701 | Industria: MUJER-27</v>
      </c>
      <c r="L47" s="9" t="str">
        <f t="shared" si="10"/>
        <v>270107003estupro</v>
      </c>
      <c r="M47" s="28" t="str">
        <f t="shared" si="11"/>
        <v>INSERT INTO categoria VALUES (270107003,'Estupro','Estupro-270107003','Estupro-270107003 | Prod: Salud-270107 | Sector: Mujer-2701 | Industria: MUJER-27',270107);</v>
      </c>
    </row>
    <row r="48" spans="1:13" ht="31.5" x14ac:dyDescent="0.35">
      <c r="A48" s="10">
        <f t="shared" si="3"/>
        <v>27</v>
      </c>
      <c r="B48" s="8" t="str">
        <f>+VLOOKUP(A48,Industria[],2,0)</f>
        <v>Mujeres</v>
      </c>
      <c r="C48" s="10">
        <f t="shared" si="4"/>
        <v>2701</v>
      </c>
      <c r="D48" s="8" t="str">
        <f>+VLOOKUP(C48,Sector[[Id_sector]:[Codigo]],3,0)</f>
        <v>Violencia</v>
      </c>
      <c r="E48" s="10">
        <f t="shared" si="5"/>
        <v>270107</v>
      </c>
      <c r="F48" s="8" t="str">
        <f>+VLOOKUP(E48,Productos[[Id_producto]:[Codigo]],3,0)</f>
        <v>Atenciones médicas</v>
      </c>
      <c r="G48" s="11">
        <f t="shared" si="9"/>
        <v>270107004</v>
      </c>
      <c r="H48" s="7">
        <v>4</v>
      </c>
      <c r="I48" s="8" t="s">
        <v>63</v>
      </c>
      <c r="J48" s="26" t="str">
        <f>+Categorias[[#This Row],[Categoría]]&amp;"-"&amp;Categorias[[#This Row],[Id_categoría]]</f>
        <v>Abuso sexual-270107004</v>
      </c>
      <c r="K48" s="27" t="str">
        <f>+Categorias[[#This Row],[Descripcion]]&amp;" | "&amp;VLOOKUP(Categorias[[#This Row],[Id_producto]],Productos[[Id_producto]:[Auxiliar]],5,0)</f>
        <v>Abuso sexual-270107004 | Prod: Salud-270107 | Sector: Mujer-2701 | Industria: MUJER-27</v>
      </c>
      <c r="L48" s="9" t="str">
        <f t="shared" si="10"/>
        <v>270107004abuso sexual</v>
      </c>
      <c r="M48" s="28" t="str">
        <f t="shared" si="11"/>
        <v>INSERT INTO categoria VALUES (270107004,'Abuso sexual','Abuso sexual-270107004','Abuso sexual-270107004 | Prod: Salud-270107 | Sector: Mujer-2701 | Industria: MUJER-27',270107);</v>
      </c>
    </row>
    <row r="49" spans="1:13" ht="31.5" x14ac:dyDescent="0.35">
      <c r="A49" s="10">
        <f t="shared" si="3"/>
        <v>27</v>
      </c>
      <c r="B49" s="8" t="str">
        <f>+VLOOKUP(A49,Industria[],2,0)</f>
        <v>Mujeres</v>
      </c>
      <c r="C49" s="10">
        <f t="shared" si="4"/>
        <v>2701</v>
      </c>
      <c r="D49" s="8" t="str">
        <f>+VLOOKUP(C49,Sector[[Id_sector]:[Codigo]],3,0)</f>
        <v>Violencia</v>
      </c>
      <c r="E49" s="10">
        <f t="shared" si="5"/>
        <v>270107</v>
      </c>
      <c r="F49" s="8" t="str">
        <f>+VLOOKUP(E49,Productos[[Id_producto]:[Codigo]],3,0)</f>
        <v>Atenciones médicas</v>
      </c>
      <c r="G49" s="11">
        <f t="shared" si="9"/>
        <v>270107005</v>
      </c>
      <c r="H49" s="7">
        <v>5</v>
      </c>
      <c r="I49" s="8" t="s">
        <v>64</v>
      </c>
      <c r="J49" s="26" t="str">
        <f>+Categorias[[#This Row],[Categoría]]&amp;"-"&amp;Categorias[[#This Row],[Id_categoría]]</f>
        <v>Otra violencia-270107005</v>
      </c>
      <c r="K49" s="27" t="str">
        <f>+Categorias[[#This Row],[Descripcion]]&amp;" | "&amp;VLOOKUP(Categorias[[#This Row],[Id_producto]],Productos[[Id_producto]:[Auxiliar]],5,0)</f>
        <v>Otra violencia-270107005 | Prod: Salud-270107 | Sector: Mujer-2701 | Industria: MUJER-27</v>
      </c>
      <c r="L49" s="9" t="str">
        <f t="shared" si="10"/>
        <v>270107005otra violencia</v>
      </c>
      <c r="M49" s="28" t="str">
        <f t="shared" si="11"/>
        <v>INSERT INTO categoria VALUES (270107005,'Otra violencia','Otra violencia-270107005','Otra violencia-270107005 | Prod: Salud-270107 | Sector: Mujer-2701 | Industria: MUJER-27',270107);</v>
      </c>
    </row>
    <row r="50" spans="1:13" ht="31.5" x14ac:dyDescent="0.35">
      <c r="A50" s="10">
        <f t="shared" si="3"/>
        <v>27</v>
      </c>
      <c r="B50" s="8" t="str">
        <f>+VLOOKUP(A50,Industria[],2,0)</f>
        <v>Mujeres</v>
      </c>
      <c r="C50" s="10">
        <f t="shared" si="4"/>
        <v>2701</v>
      </c>
      <c r="D50" s="8" t="str">
        <f>+VLOOKUP(C50,Sector[[Id_sector]:[Codigo]],3,0)</f>
        <v>Violencia</v>
      </c>
      <c r="E50" s="10">
        <f t="shared" si="5"/>
        <v>270107</v>
      </c>
      <c r="F50" s="8" t="str">
        <f>+VLOOKUP(E50,Productos[[Id_producto]:[Codigo]],3,0)</f>
        <v>Atenciones médicas</v>
      </c>
      <c r="G50" s="11">
        <f t="shared" si="9"/>
        <v>270107006</v>
      </c>
      <c r="H50" s="7">
        <v>6</v>
      </c>
      <c r="I50" s="8" t="s">
        <v>65</v>
      </c>
      <c r="J50" s="26" t="str">
        <f>+Categorias[[#This Row],[Categoría]]&amp;"-"&amp;Categorias[[#This Row],[Id_categoría]]</f>
        <v>Violencia Física-270107006</v>
      </c>
      <c r="K50" s="27" t="str">
        <f>+Categorias[[#This Row],[Descripcion]]&amp;" | "&amp;VLOOKUP(Categorias[[#This Row],[Id_producto]],Productos[[Id_producto]:[Auxiliar]],5,0)</f>
        <v>Violencia Física-270107006 | Prod: Salud-270107 | Sector: Mujer-2701 | Industria: MUJER-27</v>
      </c>
      <c r="L50" s="9" t="str">
        <f t="shared" si="10"/>
        <v>270107006violencia_fisica</v>
      </c>
      <c r="M50" s="28" t="str">
        <f t="shared" si="11"/>
        <v>INSERT INTO categoria VALUES (270107006,'Violencia Física','Violencia Física-270107006','Violencia Física-270107006 | Prod: Salud-270107 | Sector: Mujer-2701 | Industria: MUJER-27',270107);</v>
      </c>
    </row>
    <row r="51" spans="1:13" ht="31.5" x14ac:dyDescent="0.35">
      <c r="A51" s="10">
        <f t="shared" si="3"/>
        <v>27</v>
      </c>
      <c r="B51" s="8" t="str">
        <f>+VLOOKUP(A51,Industria[],2,0)</f>
        <v>Mujeres</v>
      </c>
      <c r="C51" s="10">
        <f t="shared" si="4"/>
        <v>2701</v>
      </c>
      <c r="D51" s="8" t="str">
        <f>+VLOOKUP(C51,Sector[[Id_sector]:[Codigo]],3,0)</f>
        <v>Violencia</v>
      </c>
      <c r="E51" s="10">
        <f t="shared" si="5"/>
        <v>270107</v>
      </c>
      <c r="F51" s="8" t="str">
        <f>+VLOOKUP(E51,Productos[[Id_producto]:[Codigo]],3,0)</f>
        <v>Atenciones médicas</v>
      </c>
      <c r="G51" s="11">
        <f t="shared" si="9"/>
        <v>270107007</v>
      </c>
      <c r="H51" s="7">
        <v>7</v>
      </c>
      <c r="I51" s="8" t="s">
        <v>66</v>
      </c>
      <c r="J51" s="26" t="str">
        <f>+Categorias[[#This Row],[Categoría]]&amp;"-"&amp;Categorias[[#This Row],[Id_categoría]]</f>
        <v>Violencia Intrafamiliar-270107007</v>
      </c>
      <c r="K51" s="27" t="str">
        <f>+Categorias[[#This Row],[Descripcion]]&amp;" | "&amp;VLOOKUP(Categorias[[#This Row],[Id_producto]],Productos[[Id_producto]:[Auxiliar]],5,0)</f>
        <v>Violencia Intrafamiliar-270107007 | Prod: Salud-270107 | Sector: Mujer-2701 | Industria: MUJER-27</v>
      </c>
      <c r="L51" s="9" t="str">
        <f t="shared" si="10"/>
        <v>270107007violencia_intrafamiliar</v>
      </c>
      <c r="M51" s="28" t="str">
        <f t="shared" si="11"/>
        <v>INSERT INTO categoria VALUES (270107007,'Violencia Intrafamiliar','Violencia Intrafamiliar-270107007','Violencia Intrafamiliar-270107007 | Prod: Salud-270107 | Sector: Mujer-2701 | Industria: MUJER-27',270107);</v>
      </c>
    </row>
    <row r="52" spans="1:13" ht="42" x14ac:dyDescent="0.35">
      <c r="A52" s="10">
        <f t="shared" si="3"/>
        <v>27</v>
      </c>
      <c r="B52" s="8" t="str">
        <f>+VLOOKUP(A52,Industria[],2,0)</f>
        <v>Mujeres</v>
      </c>
      <c r="C52" s="10">
        <f t="shared" si="4"/>
        <v>2701</v>
      </c>
      <c r="D52" s="8" t="str">
        <f>+VLOOKUP(C52,Sector[[Id_sector]:[Codigo]],3,0)</f>
        <v>Violencia</v>
      </c>
      <c r="E52" s="10">
        <f t="shared" si="5"/>
        <v>270108</v>
      </c>
      <c r="F52" s="8" t="str">
        <f>+VLOOKUP(E52,Productos[[Id_producto]:[Codigo]],3,0)</f>
        <v>Centros de la Mujer</v>
      </c>
      <c r="G52" s="11">
        <f t="shared" si="9"/>
        <v>270108001</v>
      </c>
      <c r="H52" s="7">
        <v>1</v>
      </c>
      <c r="I52" s="8" t="s">
        <v>67</v>
      </c>
      <c r="J52" s="26" t="str">
        <f>+Categorias[[#This Row],[Categoría]]&amp;"-"&amp;Categorias[[#This Row],[Id_categoría]]</f>
        <v>Orientación e Información-270108001</v>
      </c>
      <c r="K52" s="27" t="str">
        <f>+Categorias[[#This Row],[Descripcion]]&amp;" | "&amp;VLOOKUP(Categorias[[#This Row],[Id_producto]],Productos[[Id_producto]:[Auxiliar]],5,0)</f>
        <v>Orientación e Información-270108001 | Prod: Salud-270108 | Sector: Mujer-2701 | Industria: MUJER-27</v>
      </c>
      <c r="L52" s="9" t="str">
        <f t="shared" si="10"/>
        <v>270108001orientacion_e_informacion</v>
      </c>
      <c r="M52" s="28" t="str">
        <f t="shared" si="11"/>
        <v>INSERT INTO categoria VALUES (270108001,'Orientación e Información','Orientación e Información-270108001','Orientación e Información-270108001 | Prod: Salud-270108 | Sector: Mujer-2701 | Industria: MUJER-27',270108);</v>
      </c>
    </row>
    <row r="53" spans="1:13" ht="42" x14ac:dyDescent="0.35">
      <c r="A53" s="10">
        <f t="shared" si="3"/>
        <v>27</v>
      </c>
      <c r="B53" s="8" t="str">
        <f>+VLOOKUP(A53,Industria[],2,0)</f>
        <v>Mujeres</v>
      </c>
      <c r="C53" s="10">
        <f t="shared" si="4"/>
        <v>2701</v>
      </c>
      <c r="D53" s="8" t="str">
        <f>+VLOOKUP(C53,Sector[[Id_sector]:[Codigo]],3,0)</f>
        <v>Violencia</v>
      </c>
      <c r="E53" s="10">
        <f t="shared" si="5"/>
        <v>270108</v>
      </c>
      <c r="F53" s="8" t="str">
        <f>+VLOOKUP(E53,Productos[[Id_producto]:[Codigo]],3,0)</f>
        <v>Centros de la Mujer</v>
      </c>
      <c r="G53" s="11">
        <f t="shared" si="1"/>
        <v>270108002</v>
      </c>
      <c r="H53" s="7">
        <v>2</v>
      </c>
      <c r="I53" s="8" t="s">
        <v>68</v>
      </c>
      <c r="J53" s="8" t="str">
        <f>+Categorias[[#This Row],[Categoría]]&amp;"-"&amp;Categorias[[#This Row],[Id_categoría]]</f>
        <v>Ingresos de años anteriores (por arrastre)-270108002</v>
      </c>
      <c r="K53" s="9" t="str">
        <f>+Categorias[[#This Row],[Descripcion]]&amp;" | "&amp;VLOOKUP(Categorias[[#This Row],[Id_producto]],Productos[[Id_producto]:[Auxiliar]],5,0)</f>
        <v>Ingresos de años anteriores (por arrastre)-270108002 | Prod: Salud-270108 | Sector: Mujer-2701 | Industria: MUJER-27</v>
      </c>
      <c r="L53" s="9" t="str">
        <f t="shared" si="2"/>
        <v>270108002ingresos_de_años_anteriores_(por_arrastre)</v>
      </c>
      <c r="M53" s="21" t="str">
        <f t="shared" si="0"/>
        <v>INSERT INTO categoria VALUES (270108002,'Ingresos de años anteriores (por arrastre)','Ingresos de años anteriores (por arrastre)-270108002','Ingresos de años anteriores (por arrastre)-270108002 | Prod: Salud-270108 | Sector: Mujer-2701 | Industria: MUJER-27',270108);</v>
      </c>
    </row>
    <row r="54" spans="1:13" ht="42" x14ac:dyDescent="0.35">
      <c r="A54" s="10">
        <f t="shared" si="3"/>
        <v>27</v>
      </c>
      <c r="B54" s="8" t="str">
        <f>+VLOOKUP(A54,Industria[],2,0)</f>
        <v>Mujeres</v>
      </c>
      <c r="C54" s="10">
        <f t="shared" si="4"/>
        <v>2701</v>
      </c>
      <c r="D54" s="8" t="str">
        <f>+VLOOKUP(C54,Sector[[Id_sector]:[Codigo]],3,0)</f>
        <v>Violencia</v>
      </c>
      <c r="E54" s="10">
        <f t="shared" ref="E54" si="12">+IF(H54=1,E53+1,E53)</f>
        <v>270108</v>
      </c>
      <c r="F54" s="8" t="str">
        <f>+VLOOKUP(E54,Productos[[Id_producto]:[Codigo]],3,0)</f>
        <v>Centros de la Mujer</v>
      </c>
      <c r="G54" s="11">
        <f t="shared" si="1"/>
        <v>270108003</v>
      </c>
      <c r="H54" s="7">
        <v>3</v>
      </c>
      <c r="I54" s="8" t="s">
        <v>69</v>
      </c>
      <c r="J54" s="8" t="str">
        <f>+Categorias[[#This Row],[Categoría]]&amp;"-"&amp;Categorias[[#This Row],[Id_categoría]]</f>
        <v>Ingresos efectivos  de Mujeres-270108003</v>
      </c>
      <c r="K54" s="9" t="str">
        <f>+Categorias[[#This Row],[Descripcion]]&amp;" | "&amp;VLOOKUP(Categorias[[#This Row],[Id_producto]],Productos[[Id_producto]:[Auxiliar]],5,0)</f>
        <v>Ingresos efectivos  de Mujeres-270108003 | Prod: Salud-270108 | Sector: Mujer-2701 | Industria: MUJER-27</v>
      </c>
      <c r="L54" s="9" t="str">
        <f t="shared" si="2"/>
        <v>270108003ingresos_efectivos__de_mujeres</v>
      </c>
      <c r="M54" s="21" t="str">
        <f t="shared" si="0"/>
        <v>INSERT INTO categoria VALUES (270108003,'Ingresos efectivos  de Mujeres','Ingresos efectivos  de Mujeres-270108003','Ingresos efectivos  de Mujeres-270108003 | Prod: Salud-270108 | Sector: Mujer-2701 | Industria: MUJER-27',270108);</v>
      </c>
    </row>
    <row r="55" spans="1:13" ht="31.5" x14ac:dyDescent="0.35">
      <c r="A55" s="10">
        <f t="shared" si="3"/>
        <v>27</v>
      </c>
      <c r="B55" s="8" t="str">
        <f>+VLOOKUP(A55,Industria[],2,0)</f>
        <v>Mujeres</v>
      </c>
      <c r="C55" s="10">
        <f t="shared" si="4"/>
        <v>2701</v>
      </c>
      <c r="D55" s="8" t="str">
        <f>+VLOOKUP(C55,Sector[[Id_sector]:[Codigo]],3,0)</f>
        <v>Violencia</v>
      </c>
      <c r="E55" s="10">
        <f t="shared" si="5"/>
        <v>270108</v>
      </c>
      <c r="F55" s="8" t="str">
        <f>+VLOOKUP(E55,Productos[[Id_producto]:[Codigo]],3,0)</f>
        <v>Centros de la Mujer</v>
      </c>
      <c r="G55" s="11">
        <f t="shared" si="1"/>
        <v>270108004</v>
      </c>
      <c r="H55" s="7">
        <v>4</v>
      </c>
      <c r="I55" s="8" t="s">
        <v>70</v>
      </c>
      <c r="J55" s="8" t="str">
        <f>+Categorias[[#This Row],[Categoría]]&amp;"-"&amp;Categorias[[#This Row],[Id_categoría]]</f>
        <v>Egreso -270108004</v>
      </c>
      <c r="K55" s="9" t="str">
        <f>+Categorias[[#This Row],[Descripcion]]&amp;" | "&amp;VLOOKUP(Categorias[[#This Row],[Id_producto]],Productos[[Id_producto]:[Auxiliar]],5,0)</f>
        <v>Egreso -270108004 | Prod: Salud-270108 | Sector: Mujer-2701 | Industria: MUJER-27</v>
      </c>
      <c r="L55" s="9" t="str">
        <f t="shared" si="2"/>
        <v>270108004egreso_</v>
      </c>
      <c r="M55" s="21" t="str">
        <f t="shared" si="0"/>
        <v>INSERT INTO categoria VALUES (270108004,'Egreso ','Egreso -270108004','Egreso -270108004 | Prod: Salud-270108 | Sector: Mujer-2701 | Industria: MUJER-27',270108);</v>
      </c>
    </row>
    <row r="56" spans="1:13" ht="31.5" x14ac:dyDescent="0.35">
      <c r="A56" s="10">
        <f t="shared" si="3"/>
        <v>27</v>
      </c>
      <c r="B56" s="8" t="str">
        <f>+VLOOKUP(A56,Industria[],2,0)</f>
        <v>Mujeres</v>
      </c>
      <c r="C56" s="10">
        <f t="shared" si="4"/>
        <v>2701</v>
      </c>
      <c r="D56" s="8" t="str">
        <f>+VLOOKUP(C56,Sector[[Id_sector]:[Codigo]],3,0)</f>
        <v>Violencia</v>
      </c>
      <c r="E56" s="10">
        <f t="shared" si="5"/>
        <v>270108</v>
      </c>
      <c r="F56" s="8" t="str">
        <f>+VLOOKUP(E56,Productos[[Id_producto]:[Codigo]],3,0)</f>
        <v>Centros de la Mujer</v>
      </c>
      <c r="G56" s="11">
        <f t="shared" si="1"/>
        <v>270108005</v>
      </c>
      <c r="H56" s="7">
        <v>5</v>
      </c>
      <c r="I56" s="8" t="s">
        <v>71</v>
      </c>
      <c r="J56" s="8" t="str">
        <f>+Categorias[[#This Row],[Categoría]]&amp;"-"&amp;Categorias[[#This Row],[Id_categoría]]</f>
        <v>Deserción-270108005</v>
      </c>
      <c r="K56" s="9" t="str">
        <f>+Categorias[[#This Row],[Descripcion]]&amp;" | "&amp;VLOOKUP(Categorias[[#This Row],[Id_producto]],Productos[[Id_producto]:[Auxiliar]],5,0)</f>
        <v>Deserción-270108005 | Prod: Salud-270108 | Sector: Mujer-2701 | Industria: MUJER-27</v>
      </c>
      <c r="L56" s="9" t="str">
        <f t="shared" si="2"/>
        <v>270108005desercion</v>
      </c>
      <c r="M56" s="21" t="str">
        <f t="shared" si="0"/>
        <v>INSERT INTO categoria VALUES (270108005,'Deserción','Deserción-270108005','Deserción-270108005 | Prod: Salud-270108 | Sector: Mujer-2701 | Industria: MUJER-27',270108);</v>
      </c>
    </row>
    <row r="57" spans="1:13" ht="31.5" x14ac:dyDescent="0.35">
      <c r="A57" s="10">
        <f t="shared" si="3"/>
        <v>27</v>
      </c>
      <c r="B57" s="8" t="str">
        <f>+VLOOKUP(A57,Industria[],2,0)</f>
        <v>Mujeres</v>
      </c>
      <c r="C57" s="10">
        <f t="shared" si="4"/>
        <v>2701</v>
      </c>
      <c r="D57" s="8" t="str">
        <f>+VLOOKUP(C57,Sector[[Id_sector]:[Codigo]],3,0)</f>
        <v>Violencia</v>
      </c>
      <c r="E57" s="10">
        <f t="shared" si="5"/>
        <v>270108</v>
      </c>
      <c r="F57" s="8" t="str">
        <f>+VLOOKUP(E57,Productos[[Id_producto]:[Codigo]],3,0)</f>
        <v>Centros de la Mujer</v>
      </c>
      <c r="G57" s="11">
        <f t="shared" si="1"/>
        <v>270108006</v>
      </c>
      <c r="H57" s="7">
        <v>6</v>
      </c>
      <c r="I57" s="8" t="s">
        <v>72</v>
      </c>
      <c r="J57" s="8" t="str">
        <f>+Categorias[[#This Row],[Categoría]]&amp;"-"&amp;Categorias[[#This Row],[Id_categoría]]</f>
        <v>Interrupción-270108006</v>
      </c>
      <c r="K57" s="9" t="str">
        <f>+Categorias[[#This Row],[Descripcion]]&amp;" | "&amp;VLOOKUP(Categorias[[#This Row],[Id_producto]],Productos[[Id_producto]:[Auxiliar]],5,0)</f>
        <v>Interrupción-270108006 | Prod: Salud-270108 | Sector: Mujer-2701 | Industria: MUJER-27</v>
      </c>
      <c r="L57" s="9" t="str">
        <f t="shared" si="2"/>
        <v>270108006interrupcion</v>
      </c>
      <c r="M57" s="21" t="str">
        <f t="shared" si="0"/>
        <v>INSERT INTO categoria VALUES (270108006,'Interrupción','Interrupción-270108006','Interrupción-270108006 | Prod: Salud-270108 | Sector: Mujer-2701 | Industria: MUJER-27',270108);</v>
      </c>
    </row>
    <row r="58" spans="1:13" ht="31.5" x14ac:dyDescent="0.35">
      <c r="A58" s="10">
        <f t="shared" si="3"/>
        <v>27</v>
      </c>
      <c r="B58" s="8" t="str">
        <f>+VLOOKUP(A58,Industria[],2,0)</f>
        <v>Mujeres</v>
      </c>
      <c r="C58" s="10">
        <f t="shared" si="4"/>
        <v>2701</v>
      </c>
      <c r="D58" s="8" t="str">
        <f>+VLOOKUP(C58,Sector[[Id_sector]:[Codigo]],3,0)</f>
        <v>Violencia</v>
      </c>
      <c r="E58" s="10">
        <f t="shared" si="5"/>
        <v>270108</v>
      </c>
      <c r="F58" s="8" t="str">
        <f>+VLOOKUP(E58,Productos[[Id_producto]:[Codigo]],3,0)</f>
        <v>Centros de la Mujer</v>
      </c>
      <c r="G58" s="11">
        <f t="shared" si="1"/>
        <v>270108007</v>
      </c>
      <c r="H58" s="7">
        <v>7</v>
      </c>
      <c r="I58" s="8" t="s">
        <v>73</v>
      </c>
      <c r="J58" s="8" t="str">
        <f>+Categorias[[#This Row],[Categoría]]&amp;"-"&amp;Categorias[[#This Row],[Id_categoría]]</f>
        <v>Derivacion-270108007</v>
      </c>
      <c r="K58" s="9" t="str">
        <f>+Categorias[[#This Row],[Descripcion]]&amp;" | "&amp;VLOOKUP(Categorias[[#This Row],[Id_producto]],Productos[[Id_producto]:[Auxiliar]],5,0)</f>
        <v>Derivacion-270108007 | Prod: Salud-270108 | Sector: Mujer-2701 | Industria: MUJER-27</v>
      </c>
      <c r="L58" s="9" t="str">
        <f t="shared" si="2"/>
        <v>270108007derivacion</v>
      </c>
      <c r="M58" s="21" t="str">
        <f t="shared" si="0"/>
        <v>INSERT INTO categoria VALUES (270108007,'Derivacion','Derivacion-270108007','Derivacion-270108007 | Prod: Salud-270108 | Sector: Mujer-2701 | Industria: MUJER-27',270108);</v>
      </c>
    </row>
    <row r="59" spans="1:13" ht="31.5" x14ac:dyDescent="0.35">
      <c r="A59" s="10">
        <f t="shared" si="3"/>
        <v>27</v>
      </c>
      <c r="B59" s="8" t="str">
        <f>+VLOOKUP(A59,Industria[],2,0)</f>
        <v>Mujeres</v>
      </c>
      <c r="C59" s="10">
        <f t="shared" si="4"/>
        <v>2701</v>
      </c>
      <c r="D59" s="8" t="str">
        <f>+VLOOKUP(C59,Sector[[Id_sector]:[Codigo]],3,0)</f>
        <v>Violencia</v>
      </c>
      <c r="E59" s="10">
        <f t="shared" si="5"/>
        <v>270108</v>
      </c>
      <c r="F59" s="8" t="str">
        <f>+VLOOKUP(E59,Productos[[Id_producto]:[Codigo]],3,0)</f>
        <v>Centros de la Mujer</v>
      </c>
      <c r="G59" s="11">
        <f>+E59*1000+H59</f>
        <v>270108008</v>
      </c>
      <c r="H59" s="7">
        <v>8</v>
      </c>
      <c r="I59" s="8" t="s">
        <v>74</v>
      </c>
      <c r="J59" s="26" t="str">
        <f>+Categorias[[#This Row],[Categoría]]&amp;"-"&amp;Categorias[[#This Row],[Id_categoría]]</f>
        <v>Traslado-270108008</v>
      </c>
      <c r="K59" s="27" t="str">
        <f>+Categorias[[#This Row],[Descripcion]]&amp;" | "&amp;VLOOKUP(Categorias[[#This Row],[Id_producto]],Productos[[Id_producto]:[Auxiliar]],5,0)</f>
        <v>Traslado-270108008 | Prod: Salud-270108 | Sector: Mujer-2701 | Industria: MUJER-27</v>
      </c>
      <c r="L59" s="9" t="str">
        <f>+SUBSTITUTE(G59&amp;LOWER(SUBSTITUTE( SUBSTITUTE( SUBSTITUTE( SUBSTITUTE( SUBSTITUTE( SUBSTITUTE( SUBSTITUTE( SUBSTITUTE( SUBSTITUTE( SUBSTITUTE(I59, "á", "a"), "é", "e"), "í", "i"), "ó", "o"), "ú", "u"), "Á", "A"), "É", "E"), "Í", "I"), "Ó", "O"), "Ú", "U"))," ","_")</f>
        <v>270108008traslado</v>
      </c>
      <c r="M59" s="28" t="str">
        <f>+"INSERT INTO categoria VALUES ("&amp;G59&amp;",'"&amp;I59&amp;"','"&amp;J59&amp;"','"&amp;K59&amp;"',"&amp;E59&amp;");"</f>
        <v>INSERT INTO categoria VALUES (270108008,'Traslado','Traslado-270108008','Traslado-270108008 | Prod: Salud-270108 | Sector: Mujer-2701 | Industria: MUJER-27',270108);</v>
      </c>
    </row>
    <row r="60" spans="1:13" ht="31.5" x14ac:dyDescent="0.35">
      <c r="A60" s="10">
        <f t="shared" si="3"/>
        <v>27</v>
      </c>
      <c r="B60" s="8" t="str">
        <f>+VLOOKUP(A60,Industria[],2,0)</f>
        <v>Mujeres</v>
      </c>
      <c r="C60" s="10">
        <f t="shared" si="4"/>
        <v>2701</v>
      </c>
      <c r="D60" s="8" t="str">
        <f>+VLOOKUP(C60,Sector[[Id_sector]:[Codigo]],3,0)</f>
        <v>Violencia</v>
      </c>
      <c r="E60" s="10">
        <f t="shared" si="5"/>
        <v>270108</v>
      </c>
      <c r="F60" s="8" t="str">
        <f>+VLOOKUP(E60,Productos[[Id_producto]:[Codigo]],3,0)</f>
        <v>Centros de la Mujer</v>
      </c>
      <c r="G60" s="11">
        <f t="shared" si="1"/>
        <v>270108009</v>
      </c>
      <c r="H60" s="7">
        <v>9</v>
      </c>
      <c r="I60" s="8" t="s">
        <v>75</v>
      </c>
      <c r="J60" s="8" t="str">
        <f>+Categorias[[#This Row],[Categoría]]&amp;"-"&amp;Categorias[[#This Row],[Id_categoría]]</f>
        <v>Fallecimiento-270108009</v>
      </c>
      <c r="K60" s="9" t="str">
        <f>+Categorias[[#This Row],[Descripcion]]&amp;" | "&amp;VLOOKUP(Categorias[[#This Row],[Id_producto]],Productos[[Id_producto]:[Auxiliar]],5,0)</f>
        <v>Fallecimiento-270108009 | Prod: Salud-270108 | Sector: Mujer-2701 | Industria: MUJER-27</v>
      </c>
      <c r="L60" s="9" t="str">
        <f t="shared" si="2"/>
        <v>270108009fallecimiento</v>
      </c>
      <c r="M60" s="21" t="str">
        <f t="shared" si="0"/>
        <v>INSERT INTO categoria VALUES (270108009,'Fallecimiento','Fallecimiento-270108009','Fallecimiento-270108009 | Prod: Salud-270108 | Sector: Mujer-2701 | Industria: MUJER-27',270108);</v>
      </c>
    </row>
    <row r="61" spans="1:13" ht="21" x14ac:dyDescent="0.35">
      <c r="A61" s="10">
        <f>+A60</f>
        <v>27</v>
      </c>
      <c r="B61" s="8" t="str">
        <f>+VLOOKUP(A61,Industria[],2,0)</f>
        <v>Mujeres</v>
      </c>
      <c r="C61" s="10">
        <f>+C60</f>
        <v>2701</v>
      </c>
      <c r="D61" s="8" t="str">
        <f>+VLOOKUP(C61,Sector[[Id_sector]:[Codigo]],3,0)</f>
        <v>Violencia</v>
      </c>
      <c r="E61" s="10">
        <f>+IF(H61=1,E60+1,E60)</f>
        <v>270108</v>
      </c>
      <c r="F61" s="8" t="str">
        <f>+VLOOKUP(E61,Productos[[Id_producto]:[Codigo]],3,0)</f>
        <v>Centros de la Mujer</v>
      </c>
      <c r="G61" s="11">
        <f>+E61*1000+H61</f>
        <v>270108010</v>
      </c>
      <c r="H61" s="7">
        <v>10</v>
      </c>
      <c r="I61" s="8" t="s">
        <v>56</v>
      </c>
      <c r="J61" s="26" t="str">
        <f>+Categorias[[#This Row],[Categoría]]&amp;"-"&amp;Categorias[[#This Row],[Id_categoría]]</f>
        <v>Centros de la Mujer-270108010</v>
      </c>
      <c r="K61" s="27" t="str">
        <f>+Categorias[[#This Row],[Descripcion]]&amp;" | "&amp;VLOOKUP(Categorias[[#This Row],[Id_producto]],Productos[[Id_producto]:[Auxiliar]],5,0)</f>
        <v>Centros de la Mujer-270108010 | Prod: Salud-270108 | Sector: Mujer-2701 | Industria: MUJER-27</v>
      </c>
      <c r="L61" s="9" t="str">
        <f>+SUBSTITUTE(G61&amp;LOWER(SUBSTITUTE( SUBSTITUTE( SUBSTITUTE( SUBSTITUTE( SUBSTITUTE( SUBSTITUTE( SUBSTITUTE( SUBSTITUTE( SUBSTITUTE( SUBSTITUTE(I61, "á", "a"), "é", "e"), "í", "i"), "ó", "o"), "ú", "u"), "Á", "A"), "É", "E"), "Í", "I"), "Ó", "O"), "Ú", "U"))," ","_")</f>
        <v>270108010centros_de_la_mujer</v>
      </c>
      <c r="M61" s="28" t="str">
        <f>+"INSERT INTO categoria VALUES ("&amp;G61&amp;",'"&amp;I61&amp;"','"&amp;J61&amp;"','"&amp;K61&amp;"',"&amp;E61&amp;");"</f>
        <v>INSERT INTO categoria VALUES (270108010,'Centros de la Mujer','Centros de la Mujer-270108010','Centros de la Mujer-270108010 | Prod: Salud-270108 | Sector: Mujer-2701 | Industria: MUJER-27',270108);</v>
      </c>
    </row>
    <row r="62" spans="1:13" ht="42" x14ac:dyDescent="0.35">
      <c r="A62" s="10">
        <f>+A61</f>
        <v>27</v>
      </c>
      <c r="B62" s="8" t="str">
        <f>+VLOOKUP(A62,Industria[],2,0)</f>
        <v>Mujeres</v>
      </c>
      <c r="C62" s="10">
        <f>+C61</f>
        <v>2701</v>
      </c>
      <c r="D62" s="8" t="str">
        <f>+VLOOKUP(C62,Sector[[Id_sector]:[Codigo]],3,0)</f>
        <v>Violencia</v>
      </c>
      <c r="E62" s="10">
        <f>+IF(H62=1,E61+1,E61)</f>
        <v>270109</v>
      </c>
      <c r="F62" s="8" t="str">
        <f>+VLOOKUP(E62,Productos[[Id_producto]:[Codigo]],3,0)</f>
        <v>Casas de Acogida</v>
      </c>
      <c r="G62" s="11">
        <f t="shared" si="1"/>
        <v>270109001</v>
      </c>
      <c r="H62" s="7">
        <v>1</v>
      </c>
      <c r="I62" s="8" t="s">
        <v>68</v>
      </c>
      <c r="J62" s="8" t="str">
        <f>+Categorias[[#This Row],[Categoría]]&amp;"-"&amp;Categorias[[#This Row],[Id_categoría]]</f>
        <v>Ingresos de años anteriores (por arrastre)-270109001</v>
      </c>
      <c r="K62" s="9" t="str">
        <f>+Categorias[[#This Row],[Descripcion]]&amp;" | "&amp;VLOOKUP(Categorias[[#This Row],[Id_producto]],Productos[[Id_producto]:[Auxiliar]],5,0)</f>
        <v>Ingresos de años anteriores (por arrastre)-270109001 | Prod: Salud-270109 | Sector: Mujer-2701 | Industria: MUJER-27</v>
      </c>
      <c r="L62" s="9" t="str">
        <f t="shared" si="2"/>
        <v>270109001ingresos_de_años_anteriores_(por_arrastre)</v>
      </c>
      <c r="M62" s="21" t="str">
        <f t="shared" si="0"/>
        <v>INSERT INTO categoria VALUES (270109001,'Ingresos de años anteriores (por arrastre)','Ingresos de años anteriores (por arrastre)-270109001','Ingresos de años anteriores (por arrastre)-270109001 | Prod: Salud-270109 | Sector: Mujer-2701 | Industria: MUJER-27',270109);</v>
      </c>
    </row>
    <row r="63" spans="1:13" ht="31.5" x14ac:dyDescent="0.35">
      <c r="A63" s="10">
        <f t="shared" si="3"/>
        <v>27</v>
      </c>
      <c r="B63" s="8" t="str">
        <f>+VLOOKUP(A63,Industria[],2,0)</f>
        <v>Mujeres</v>
      </c>
      <c r="C63" s="10">
        <f t="shared" si="4"/>
        <v>2701</v>
      </c>
      <c r="D63" s="8" t="str">
        <f>+VLOOKUP(C63,Sector[[Id_sector]:[Codigo]],3,0)</f>
        <v>Violencia</v>
      </c>
      <c r="E63" s="10">
        <f t="shared" si="5"/>
        <v>270109</v>
      </c>
      <c r="F63" s="8" t="str">
        <f>+VLOOKUP(E63,Productos[[Id_producto]:[Codigo]],3,0)</f>
        <v>Casas de Acogida</v>
      </c>
      <c r="G63" s="11">
        <f t="shared" si="1"/>
        <v>270109002</v>
      </c>
      <c r="H63" s="7">
        <v>2</v>
      </c>
      <c r="I63" s="8" t="s">
        <v>76</v>
      </c>
      <c r="J63" s="8" t="str">
        <f>+Categorias[[#This Row],[Categoría]]&amp;"-"&amp;Categorias[[#This Row],[Id_categoría]]</f>
        <v>Pre ingresos de Mujeres-270109002</v>
      </c>
      <c r="K63" s="9" t="str">
        <f>+Categorias[[#This Row],[Descripcion]]&amp;" | "&amp;VLOOKUP(Categorias[[#This Row],[Id_producto]],Productos[[Id_producto]:[Auxiliar]],5,0)</f>
        <v>Pre ingresos de Mujeres-270109002 | Prod: Salud-270109 | Sector: Mujer-2701 | Industria: MUJER-27</v>
      </c>
      <c r="L63" s="9" t="str">
        <f t="shared" si="2"/>
        <v>270109002pre_ingresos_de_mujeres</v>
      </c>
      <c r="M63" s="21" t="str">
        <f t="shared" si="0"/>
        <v>INSERT INTO categoria VALUES (270109002,'Pre ingresos de Mujeres','Pre ingresos de Mujeres-270109002','Pre ingresos de Mujeres-270109002 | Prod: Salud-270109 | Sector: Mujer-2701 | Industria: MUJER-27',270109);</v>
      </c>
    </row>
    <row r="64" spans="1:13" ht="42" x14ac:dyDescent="0.35">
      <c r="A64" s="10">
        <f t="shared" si="3"/>
        <v>27</v>
      </c>
      <c r="B64" s="8" t="str">
        <f>+VLOOKUP(A64,Industria[],2,0)</f>
        <v>Mujeres</v>
      </c>
      <c r="C64" s="10">
        <f t="shared" si="4"/>
        <v>2701</v>
      </c>
      <c r="D64" s="8" t="str">
        <f>+VLOOKUP(C64,Sector[[Id_sector]:[Codigo]],3,0)</f>
        <v>Violencia</v>
      </c>
      <c r="E64" s="10">
        <f t="shared" si="5"/>
        <v>270109</v>
      </c>
      <c r="F64" s="8" t="str">
        <f>+VLOOKUP(E64,Productos[[Id_producto]:[Codigo]],3,0)</f>
        <v>Casas de Acogida</v>
      </c>
      <c r="G64" s="11">
        <f t="shared" si="1"/>
        <v>270109003</v>
      </c>
      <c r="H64" s="7">
        <v>3</v>
      </c>
      <c r="I64" s="8" t="s">
        <v>77</v>
      </c>
      <c r="J64" s="8" t="str">
        <f>+Categorias[[#This Row],[Categoría]]&amp;"-"&amp;Categorias[[#This Row],[Id_categoría]]</f>
        <v>Ingresos efectivos de Mujeres-270109003</v>
      </c>
      <c r="K64" s="9" t="str">
        <f>+Categorias[[#This Row],[Descripcion]]&amp;" | "&amp;VLOOKUP(Categorias[[#This Row],[Id_producto]],Productos[[Id_producto]:[Auxiliar]],5,0)</f>
        <v>Ingresos efectivos de Mujeres-270109003 | Prod: Salud-270109 | Sector: Mujer-2701 | Industria: MUJER-27</v>
      </c>
      <c r="L64" s="9" t="str">
        <f t="shared" si="2"/>
        <v>270109003ingresos_efectivos_de_mujeres</v>
      </c>
      <c r="M64" s="21" t="str">
        <f t="shared" si="0"/>
        <v>INSERT INTO categoria VALUES (270109003,'Ingresos efectivos de Mujeres','Ingresos efectivos de Mujeres-270109003','Ingresos efectivos de Mujeres-270109003 | Prod: Salud-270109 | Sector: Mujer-2701 | Industria: MUJER-27',270109);</v>
      </c>
    </row>
    <row r="65" spans="1:13" ht="31.5" x14ac:dyDescent="0.35">
      <c r="A65" s="10">
        <f t="shared" si="3"/>
        <v>27</v>
      </c>
      <c r="B65" s="8" t="str">
        <f>+VLOOKUP(A65,Industria[],2,0)</f>
        <v>Mujeres</v>
      </c>
      <c r="C65" s="10">
        <f t="shared" si="4"/>
        <v>2701</v>
      </c>
      <c r="D65" s="8" t="str">
        <f>+VLOOKUP(C65,Sector[[Id_sector]:[Codigo]],3,0)</f>
        <v>Violencia</v>
      </c>
      <c r="E65" s="10">
        <f t="shared" si="5"/>
        <v>270109</v>
      </c>
      <c r="F65" s="8" t="str">
        <f>+VLOOKUP(E65,Productos[[Id_producto]:[Codigo]],3,0)</f>
        <v>Casas de Acogida</v>
      </c>
      <c r="G65" s="11">
        <f t="shared" si="1"/>
        <v>270109004</v>
      </c>
      <c r="H65" s="7">
        <v>4</v>
      </c>
      <c r="I65" s="8" t="s">
        <v>78</v>
      </c>
      <c r="J65" s="8" t="str">
        <f>+Categorias[[#This Row],[Categoría]]&amp;"-"&amp;Categorias[[#This Row],[Id_categoría]]</f>
        <v>Ingresos de niños y niñas-270109004</v>
      </c>
      <c r="K65" s="9" t="str">
        <f>+Categorias[[#This Row],[Descripcion]]&amp;" | "&amp;VLOOKUP(Categorias[[#This Row],[Id_producto]],Productos[[Id_producto]:[Auxiliar]],5,0)</f>
        <v>Ingresos de niños y niñas-270109004 | Prod: Salud-270109 | Sector: Mujer-2701 | Industria: MUJER-27</v>
      </c>
      <c r="L65" s="9" t="str">
        <f t="shared" si="2"/>
        <v>270109004ingresos_de_niños_y_niñas</v>
      </c>
      <c r="M65" s="21" t="str">
        <f t="shared" si="0"/>
        <v>INSERT INTO categoria VALUES (270109004,'Ingresos de niños y niñas','Ingresos de niños y niñas-270109004','Ingresos de niños y niñas-270109004 | Prod: Salud-270109 | Sector: Mujer-2701 | Industria: MUJER-27',270109);</v>
      </c>
    </row>
    <row r="66" spans="1:13" ht="31.5" x14ac:dyDescent="0.35">
      <c r="A66" s="10">
        <f t="shared" si="3"/>
        <v>27</v>
      </c>
      <c r="B66" s="8" t="str">
        <f>+VLOOKUP(A66,Industria[],2,0)</f>
        <v>Mujeres</v>
      </c>
      <c r="C66" s="10">
        <f t="shared" si="4"/>
        <v>2701</v>
      </c>
      <c r="D66" s="8" t="str">
        <f>+VLOOKUP(C66,Sector[[Id_sector]:[Codigo]],3,0)</f>
        <v>Violencia</v>
      </c>
      <c r="E66" s="10">
        <f t="shared" si="5"/>
        <v>270109</v>
      </c>
      <c r="F66" s="8" t="str">
        <f>+VLOOKUP(E66,Productos[[Id_producto]:[Codigo]],3,0)</f>
        <v>Casas de Acogida</v>
      </c>
      <c r="G66" s="11">
        <f>+E66*1000+H66</f>
        <v>270109005</v>
      </c>
      <c r="H66" s="7">
        <v>5</v>
      </c>
      <c r="I66" s="8" t="s">
        <v>79</v>
      </c>
      <c r="J66" s="26" t="str">
        <f>+Categorias[[#This Row],[Categoría]]&amp;"-"&amp;Categorias[[#This Row],[Id_categoría]]</f>
        <v>Egreso-270109005</v>
      </c>
      <c r="K66" s="27" t="str">
        <f>+Categorias[[#This Row],[Descripcion]]&amp;" | "&amp;VLOOKUP(Categorias[[#This Row],[Id_producto]],Productos[[Id_producto]:[Auxiliar]],5,0)</f>
        <v>Egreso-270109005 | Prod: Salud-270109 | Sector: Mujer-2701 | Industria: MUJER-27</v>
      </c>
      <c r="L66" s="9" t="str">
        <f>+SUBSTITUTE(G66&amp;LOWER(SUBSTITUTE( SUBSTITUTE( SUBSTITUTE( SUBSTITUTE( SUBSTITUTE( SUBSTITUTE( SUBSTITUTE( SUBSTITUTE( SUBSTITUTE( SUBSTITUTE(I66, "á", "a"), "é", "e"), "í", "i"), "ó", "o"), "ú", "u"), "Á", "A"), "É", "E"), "Í", "I"), "Ó", "O"), "Ú", "U"))," ","_")</f>
        <v>270109005egreso</v>
      </c>
      <c r="M66" s="28" t="str">
        <f>+"INSERT INTO categoria VALUES ("&amp;G66&amp;",'"&amp;I66&amp;"','"&amp;J66&amp;"','"&amp;K66&amp;"',"&amp;E66&amp;");"</f>
        <v>INSERT INTO categoria VALUES (270109005,'Egreso','Egreso-270109005','Egreso-270109005 | Prod: Salud-270109 | Sector: Mujer-2701 | Industria: MUJER-27',270109);</v>
      </c>
    </row>
    <row r="67" spans="1:13" ht="31.5" x14ac:dyDescent="0.35">
      <c r="A67" s="10">
        <f t="shared" si="3"/>
        <v>27</v>
      </c>
      <c r="B67" s="8" t="str">
        <f>+VLOOKUP(A67,Industria[],2,0)</f>
        <v>Mujeres</v>
      </c>
      <c r="C67" s="10">
        <f t="shared" si="4"/>
        <v>2701</v>
      </c>
      <c r="D67" s="8" t="str">
        <f>+VLOOKUP(C67,Sector[[Id_sector]:[Codigo]],3,0)</f>
        <v>Violencia</v>
      </c>
      <c r="E67" s="10">
        <f t="shared" si="5"/>
        <v>270109</v>
      </c>
      <c r="F67" s="8" t="str">
        <f>+VLOOKUP(E67,Productos[[Id_producto]:[Codigo]],3,0)</f>
        <v>Casas de Acogida</v>
      </c>
      <c r="G67" s="11">
        <f>+E67*1000+H67</f>
        <v>270109006</v>
      </c>
      <c r="H67" s="7">
        <v>6</v>
      </c>
      <c r="I67" s="8" t="s">
        <v>71</v>
      </c>
      <c r="J67" s="26" t="str">
        <f>+Categorias[[#This Row],[Categoría]]&amp;"-"&amp;Categorias[[#This Row],[Id_categoría]]</f>
        <v>Deserción-270109006</v>
      </c>
      <c r="K67" s="27" t="str">
        <f>+Categorias[[#This Row],[Descripcion]]&amp;" | "&amp;VLOOKUP(Categorias[[#This Row],[Id_producto]],Productos[[Id_producto]:[Auxiliar]],5,0)</f>
        <v>Deserción-270109006 | Prod: Salud-270109 | Sector: Mujer-2701 | Industria: MUJER-27</v>
      </c>
      <c r="L67" s="9" t="str">
        <f>+SUBSTITUTE(G67&amp;LOWER(SUBSTITUTE( SUBSTITUTE( SUBSTITUTE( SUBSTITUTE( SUBSTITUTE( SUBSTITUTE( SUBSTITUTE( SUBSTITUTE( SUBSTITUTE( SUBSTITUTE(I67, "á", "a"), "é", "e"), "í", "i"), "ó", "o"), "ú", "u"), "Á", "A"), "É", "E"), "Í", "I"), "Ó", "O"), "Ú", "U"))," ","_")</f>
        <v>270109006desercion</v>
      </c>
      <c r="M67" s="28" t="str">
        <f>+"INSERT INTO categoria VALUES ("&amp;G67&amp;",'"&amp;I67&amp;"','"&amp;J67&amp;"','"&amp;K67&amp;"',"&amp;E67&amp;");"</f>
        <v>INSERT INTO categoria VALUES (270109006,'Deserción','Deserción-270109006','Deserción-270109006 | Prod: Salud-270109 | Sector: Mujer-2701 | Industria: MUJER-27',270109);</v>
      </c>
    </row>
    <row r="68" spans="1:13" ht="31.5" x14ac:dyDescent="0.35">
      <c r="A68" s="10">
        <f t="shared" si="3"/>
        <v>27</v>
      </c>
      <c r="B68" s="8" t="str">
        <f>+VLOOKUP(A68,Industria[],2,0)</f>
        <v>Mujeres</v>
      </c>
      <c r="C68" s="10">
        <f t="shared" si="4"/>
        <v>2701</v>
      </c>
      <c r="D68" s="8" t="str">
        <f>+VLOOKUP(C68,Sector[[Id_sector]:[Codigo]],3,0)</f>
        <v>Violencia</v>
      </c>
      <c r="E68" s="10">
        <f t="shared" si="5"/>
        <v>270109</v>
      </c>
      <c r="F68" s="8" t="str">
        <f>+VLOOKUP(E68,Productos[[Id_producto]:[Codigo]],3,0)</f>
        <v>Casas de Acogida</v>
      </c>
      <c r="G68" s="11">
        <f t="shared" si="1"/>
        <v>270109007</v>
      </c>
      <c r="H68" s="7">
        <v>7</v>
      </c>
      <c r="I68" s="8" t="s">
        <v>74</v>
      </c>
      <c r="J68" s="8" t="str">
        <f>+Categorias[[#This Row],[Categoría]]&amp;"-"&amp;Categorias[[#This Row],[Id_categoría]]</f>
        <v>Traslado-270109007</v>
      </c>
      <c r="K68" s="9" t="str">
        <f>+Categorias[[#This Row],[Descripcion]]&amp;" | "&amp;VLOOKUP(Categorias[[#This Row],[Id_producto]],Productos[[Id_producto]:[Auxiliar]],5,0)</f>
        <v>Traslado-270109007 | Prod: Salud-270109 | Sector: Mujer-2701 | Industria: MUJER-27</v>
      </c>
      <c r="L68" s="9" t="str">
        <f t="shared" si="2"/>
        <v>270109007traslado</v>
      </c>
      <c r="M68" s="21" t="str">
        <f t="shared" si="0"/>
        <v>INSERT INTO categoria VALUES (270109007,'Traslado','Traslado-270109007','Traslado-270109007 | Prod: Salud-270109 | Sector: Mujer-2701 | Industria: MUJER-27',270109);</v>
      </c>
    </row>
    <row r="69" spans="1:13" ht="31.5" x14ac:dyDescent="0.35">
      <c r="A69" s="10">
        <f t="shared" si="3"/>
        <v>27</v>
      </c>
      <c r="B69" s="8" t="str">
        <f>+VLOOKUP(A69,Industria[],2,0)</f>
        <v>Mujeres</v>
      </c>
      <c r="C69" s="10">
        <f t="shared" si="4"/>
        <v>2701</v>
      </c>
      <c r="D69" s="8" t="str">
        <f>+VLOOKUP(C69,Sector[[Id_sector]:[Codigo]],3,0)</f>
        <v>Violencia</v>
      </c>
      <c r="E69" s="10">
        <f t="shared" si="5"/>
        <v>270109</v>
      </c>
      <c r="F69" s="8" t="str">
        <f>+VLOOKUP(E69,Productos[[Id_producto]:[Codigo]],3,0)</f>
        <v>Casas de Acogida</v>
      </c>
      <c r="G69" s="11">
        <f t="shared" si="1"/>
        <v>270109008</v>
      </c>
      <c r="H69" s="7">
        <v>8</v>
      </c>
      <c r="I69" s="8" t="s">
        <v>80</v>
      </c>
      <c r="J69" s="8" t="str">
        <f>+Categorias[[#This Row],[Categoría]]&amp;"-"&amp;Categorias[[#This Row],[Id_categoría]]</f>
        <v>Retiro-270109008</v>
      </c>
      <c r="K69" s="9" t="str">
        <f>+Categorias[[#This Row],[Descripcion]]&amp;" | "&amp;VLOOKUP(Categorias[[#This Row],[Id_producto]],Productos[[Id_producto]:[Auxiliar]],5,0)</f>
        <v>Retiro-270109008 | Prod: Salud-270109 | Sector: Mujer-2701 | Industria: MUJER-27</v>
      </c>
      <c r="L69" s="9" t="str">
        <f t="shared" si="2"/>
        <v>270109008retiro</v>
      </c>
      <c r="M69" s="21" t="str">
        <f t="shared" si="0"/>
        <v>INSERT INTO categoria VALUES (270109008,'Retiro','Retiro-270109008','Retiro-270109008 | Prod: Salud-270109 | Sector: Mujer-2701 | Industria: MUJER-27',270109);</v>
      </c>
    </row>
    <row r="70" spans="1:13" ht="31.5" x14ac:dyDescent="0.35">
      <c r="A70" s="10">
        <f t="shared" si="3"/>
        <v>27</v>
      </c>
      <c r="B70" s="8" t="str">
        <f>+VLOOKUP(A70,Industria[],2,0)</f>
        <v>Mujeres</v>
      </c>
      <c r="C70" s="10">
        <f t="shared" si="4"/>
        <v>2701</v>
      </c>
      <c r="D70" s="8" t="str">
        <f>+VLOOKUP(C70,Sector[[Id_sector]:[Codigo]],3,0)</f>
        <v>Violencia</v>
      </c>
      <c r="E70" s="10">
        <f t="shared" si="5"/>
        <v>270109</v>
      </c>
      <c r="F70" s="8" t="str">
        <f>+VLOOKUP(E70,Productos[[Id_producto]:[Codigo]],3,0)</f>
        <v>Casas de Acogida</v>
      </c>
      <c r="G70" s="11">
        <f>+E70*1000+H70</f>
        <v>270109009</v>
      </c>
      <c r="H70" s="7">
        <v>9</v>
      </c>
      <c r="I70" s="8" t="s">
        <v>81</v>
      </c>
      <c r="J70" s="26" t="str">
        <f>+Categorias[[#This Row],[Categoría]]&amp;"-"&amp;Categorias[[#This Row],[Id_categoría]]</f>
        <v>Fallecimiento -270109009</v>
      </c>
      <c r="K70" s="27" t="str">
        <f>+Categorias[[#This Row],[Descripcion]]&amp;" | "&amp;VLOOKUP(Categorias[[#This Row],[Id_producto]],Productos[[Id_producto]:[Auxiliar]],5,0)</f>
        <v>Fallecimiento -270109009 | Prod: Salud-270109 | Sector: Mujer-2701 | Industria: MUJER-27</v>
      </c>
      <c r="L70" s="9" t="str">
        <f>+SUBSTITUTE(G70&amp;LOWER(SUBSTITUTE( SUBSTITUTE( SUBSTITUTE( SUBSTITUTE( SUBSTITUTE( SUBSTITUTE( SUBSTITUTE( SUBSTITUTE( SUBSTITUTE( SUBSTITUTE(I70, "á", "a"), "é", "e"), "í", "i"), "ó", "o"), "ú", "u"), "Á", "A"), "É", "E"), "Í", "I"), "Ó", "O"), "Ú", "U"))," ","_")</f>
        <v>270109009fallecimiento_</v>
      </c>
      <c r="M70" s="28" t="str">
        <f>+"INSERT INTO categoria VALUES ("&amp;G70&amp;",'"&amp;I70&amp;"','"&amp;J70&amp;"','"&amp;K70&amp;"',"&amp;E70&amp;");"</f>
        <v>INSERT INTO categoria VALUES (270109009,'Fallecimiento ','Fallecimiento -270109009','Fallecimiento -270109009 | Prod: Salud-270109 | Sector: Mujer-2701 | Industria: MUJER-27',270109);</v>
      </c>
    </row>
    <row r="71" spans="1:13" ht="31.5" x14ac:dyDescent="0.35">
      <c r="A71" s="33">
        <f>+A70</f>
        <v>27</v>
      </c>
      <c r="B71" s="34" t="str">
        <f>+VLOOKUP(A71,Industria[],2,0)</f>
        <v>Mujeres</v>
      </c>
      <c r="C71" s="33">
        <f>+C70</f>
        <v>2701</v>
      </c>
      <c r="D71" s="34" t="str">
        <f>+VLOOKUP(C71,Sector[[Id_sector]:[Codigo]],3,0)</f>
        <v>Violencia</v>
      </c>
      <c r="E71" s="33">
        <f>+IF(H71=1,E70+1,E70)</f>
        <v>270109</v>
      </c>
      <c r="F71" s="34" t="str">
        <f>+VLOOKUP(E71,Productos[[Id_producto]:[Codigo]],3,0)</f>
        <v>Casas de Acogida</v>
      </c>
      <c r="G71" s="35">
        <f>+E71*1000+H71</f>
        <v>270109010</v>
      </c>
      <c r="H71" s="36">
        <v>10</v>
      </c>
      <c r="I71" s="34" t="s">
        <v>57</v>
      </c>
      <c r="J71" s="37" t="str">
        <f>+Categorias[[#This Row],[Categoría]]&amp;"-"&amp;Categorias[[#This Row],[Id_categoría]]</f>
        <v>Casas de Acogida-270109010</v>
      </c>
      <c r="K71" s="38" t="str">
        <f>+Categorias[[#This Row],[Descripcion]]&amp;" | "&amp;VLOOKUP(Categorias[[#This Row],[Id_producto]],Productos[[Id_producto]:[Auxiliar]],5,0)</f>
        <v>Casas de Acogida-270109010 | Prod: Salud-270109 | Sector: Mujer-2701 | Industria: MUJER-27</v>
      </c>
      <c r="L71" s="39" t="str">
        <f>+SUBSTITUTE(G71&amp;LOWER(SUBSTITUTE( SUBSTITUTE( SUBSTITUTE( SUBSTITUTE( SUBSTITUTE( SUBSTITUTE( SUBSTITUTE( SUBSTITUTE( SUBSTITUTE( SUBSTITUTE(I71, "á", "a"), "é", "e"), "í", "i"), "ó", "o"), "ú", "u"), "Á", "A"), "É", "E"), "Í", "I"), "Ó", "O"), "Ú", "U"))," ","_")</f>
        <v>270109010casas_de_acogida</v>
      </c>
      <c r="M71" s="40" t="str">
        <f>+"INSERT INTO categoria VALUES ("&amp;G71&amp;",'"&amp;I71&amp;"','"&amp;J71&amp;"','"&amp;K71&amp;"',"&amp;E71&amp;");"</f>
        <v>INSERT INTO categoria VALUES (270109010,'Casas de Acogida','Casas de Acogida-270109010','Casas de Acogida-270109010 | Prod: Salud-270109 | Sector: Mujer-2701 | Industria: MUJER-27',270109);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Industria</vt:lpstr>
      <vt:lpstr>Sector</vt:lpstr>
      <vt:lpstr>Producto</vt:lpstr>
      <vt:lpstr>Categoría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Karen Farias</cp:lastModifiedBy>
  <cp:revision/>
  <dcterms:created xsi:type="dcterms:W3CDTF">2021-03-18T16:00:24Z</dcterms:created>
  <dcterms:modified xsi:type="dcterms:W3CDTF">2021-06-10T15:22:35Z</dcterms:modified>
  <cp:category/>
  <cp:contentStatus/>
</cp:coreProperties>
</file>