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showInkAnnotation="0" autoCompressPictures="0" defaultThemeVersion="166925"/>
  <mc:AlternateContent xmlns:mc="http://schemas.openxmlformats.org/markup-compatibility/2006">
    <mc:Choice Requires="x15">
      <x15ac:absPath xmlns:x15ac="http://schemas.microsoft.com/office/spreadsheetml/2010/11/ac" url="D:\DATA INTELLIGENCE Dropbox\Diseño DATA's\DATA-EVAL\"/>
    </mc:Choice>
  </mc:AlternateContent>
  <xr:revisionPtr revIDLastSave="0" documentId="13_ncr:1_{C22696DA-F134-4C7F-ADC4-F37EDAF6B033}" xr6:coauthVersionLast="47" xr6:coauthVersionMax="47" xr10:uidLastSave="{00000000-0000-0000-0000-000000000000}"/>
  <bookViews>
    <workbookView xWindow="-108" yWindow="-108" windowWidth="23256" windowHeight="12720" tabRatio="500" xr2:uid="{00000000-000D-0000-FFFF-FFFF00000000}"/>
  </bookViews>
  <sheets>
    <sheet name="dataeval" sheetId="1" r:id="rId1"/>
    <sheet name="Notas reunion" sheetId="5" r:id="rId2"/>
    <sheet name="fuentes" sheetId="2" r:id="rId3"/>
    <sheet name="Deflactor" sheetId="4" r:id="rId4"/>
    <sheet name="Glosario" sheetId="6" r:id="rId5"/>
  </sheets>
  <definedNames>
    <definedName name="_xlnm._FilterDatabase" localSheetId="0" hidden="1">dataeval!$A$1:$AV$622</definedName>
    <definedName name="_xlnm._FilterDatabase" localSheetId="2" hidden="1">fuentes!$E$63:$E$629</definedName>
    <definedName name="_xlnm._FilterDatabase" localSheetId="4" hidden="1">Glosario!$F$2:$F$631</definedName>
    <definedName name="_xlnm.Extract" localSheetId="2">fuentes!$F$63:$F$629</definedName>
    <definedName name="_xlnm.Extract" localSheetId="4">Glosario!$G$2:$G$631</definedName>
    <definedName name="Categorias_de_Presupuesto">Deflactor!$BP$297:$BT$307</definedName>
    <definedName name="_xlnm.Criteria" localSheetId="2">fuentes!$E$63:$E$629</definedName>
    <definedName name="_xlnm.Criteria" localSheetId="4">Glosario!$F$2:$F$631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310" i="1" l="1"/>
  <c r="AW311" i="1"/>
  <c r="AW312" i="1"/>
  <c r="AW313" i="1"/>
  <c r="AW314" i="1"/>
  <c r="AW315" i="1"/>
  <c r="AW316" i="1"/>
  <c r="AW317" i="1"/>
  <c r="AW318" i="1"/>
  <c r="AW319" i="1"/>
  <c r="AW320" i="1"/>
  <c r="AW321" i="1"/>
  <c r="AW322" i="1"/>
  <c r="AW323" i="1"/>
  <c r="AW324" i="1"/>
  <c r="AW325" i="1"/>
  <c r="AW326" i="1"/>
  <c r="AW327" i="1"/>
  <c r="AW328" i="1"/>
  <c r="AW329" i="1"/>
  <c r="AW330" i="1"/>
  <c r="AW331" i="1"/>
  <c r="AW332" i="1"/>
  <c r="AW333" i="1"/>
  <c r="AW334" i="1"/>
  <c r="AW335" i="1"/>
  <c r="AW336" i="1"/>
  <c r="AW337"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8" i="1"/>
  <c r="AW379" i="1"/>
  <c r="AW380" i="1"/>
  <c r="AW381" i="1"/>
  <c r="AW382" i="1"/>
  <c r="AW383" i="1"/>
  <c r="AW384" i="1"/>
  <c r="AW385" i="1"/>
  <c r="AW386" i="1"/>
  <c r="AW387" i="1"/>
  <c r="AW388" i="1"/>
  <c r="AW389" i="1"/>
  <c r="AW390" i="1"/>
  <c r="AW391" i="1"/>
  <c r="AW392" i="1"/>
  <c r="AW393" i="1"/>
  <c r="AW394" i="1"/>
  <c r="AW395" i="1"/>
  <c r="AW396" i="1"/>
  <c r="AW397" i="1"/>
  <c r="AW398" i="1"/>
  <c r="AW399" i="1"/>
  <c r="AW400" i="1"/>
  <c r="AW401" i="1"/>
  <c r="AW402" i="1"/>
  <c r="AW403" i="1"/>
  <c r="AW404" i="1"/>
  <c r="AW405" i="1"/>
  <c r="AW406" i="1"/>
  <c r="AW407" i="1"/>
  <c r="AW408" i="1"/>
  <c r="AW409" i="1"/>
  <c r="AW410" i="1"/>
  <c r="AW411" i="1"/>
  <c r="AW412" i="1"/>
  <c r="AW413" i="1"/>
  <c r="AW414" i="1"/>
  <c r="AW415" i="1"/>
  <c r="AW416" i="1"/>
  <c r="AW417" i="1"/>
  <c r="AW418" i="1"/>
  <c r="AW419" i="1"/>
  <c r="AW420" i="1"/>
  <c r="AW421" i="1"/>
  <c r="AW422"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7" i="1"/>
  <c r="AW458" i="1"/>
  <c r="AW459" i="1"/>
  <c r="AW460" i="1"/>
  <c r="AW461" i="1"/>
  <c r="AW462" i="1"/>
  <c r="AW463" i="1"/>
  <c r="AW464" i="1"/>
  <c r="AW465" i="1"/>
  <c r="AW466" i="1"/>
  <c r="AW467" i="1"/>
  <c r="AW468" i="1"/>
  <c r="AW469" i="1"/>
  <c r="AW470" i="1"/>
  <c r="AW471" i="1"/>
  <c r="AW472" i="1"/>
  <c r="AW473" i="1"/>
  <c r="AW474" i="1"/>
  <c r="AW475" i="1"/>
  <c r="AW476" i="1"/>
  <c r="AW477" i="1"/>
  <c r="AW478" i="1"/>
  <c r="AW479" i="1"/>
  <c r="AW480" i="1"/>
  <c r="AW481" i="1"/>
  <c r="AW482" i="1"/>
  <c r="AW483" i="1"/>
  <c r="AW484" i="1"/>
  <c r="AW485" i="1"/>
  <c r="AW486" i="1"/>
  <c r="AW487" i="1"/>
  <c r="AW488" i="1"/>
  <c r="AW489" i="1"/>
  <c r="AW490" i="1"/>
  <c r="AW491" i="1"/>
  <c r="AW492" i="1"/>
  <c r="AW493" i="1"/>
  <c r="AW494" i="1"/>
  <c r="AW495" i="1"/>
  <c r="AW496" i="1"/>
  <c r="AW497" i="1"/>
  <c r="AW498" i="1"/>
  <c r="AW499" i="1"/>
  <c r="AW500" i="1"/>
  <c r="AW501" i="1"/>
  <c r="AW502" i="1"/>
  <c r="AW503" i="1"/>
  <c r="AW504" i="1"/>
  <c r="AW505" i="1"/>
  <c r="AW506" i="1"/>
  <c r="AW507" i="1"/>
  <c r="AW508" i="1"/>
  <c r="AW509" i="1"/>
  <c r="AW510" i="1"/>
  <c r="AW511" i="1"/>
  <c r="AW512" i="1"/>
  <c r="AW513" i="1"/>
  <c r="AW514" i="1"/>
  <c r="AW515" i="1"/>
  <c r="AW516" i="1"/>
  <c r="AW517" i="1"/>
  <c r="AW518" i="1"/>
  <c r="AW519" i="1"/>
  <c r="AW520" i="1"/>
  <c r="AW521" i="1"/>
  <c r="AW522" i="1"/>
  <c r="AW523" i="1"/>
  <c r="AW524" i="1"/>
  <c r="AW525" i="1"/>
  <c r="AW526" i="1"/>
  <c r="AW527" i="1"/>
  <c r="AW528" i="1"/>
  <c r="AW529" i="1"/>
  <c r="AW530" i="1"/>
  <c r="AW531" i="1"/>
  <c r="AW532" i="1"/>
  <c r="AW533" i="1"/>
  <c r="AW534" i="1"/>
  <c r="AW535" i="1"/>
  <c r="AW536" i="1"/>
  <c r="AW537" i="1"/>
  <c r="AW538" i="1"/>
  <c r="AW539" i="1"/>
  <c r="AW540" i="1"/>
  <c r="AW541" i="1"/>
  <c r="AW542" i="1"/>
  <c r="AW543" i="1"/>
  <c r="AW544" i="1"/>
  <c r="AW545" i="1"/>
  <c r="AW546" i="1"/>
  <c r="AW547" i="1"/>
  <c r="AW548" i="1"/>
  <c r="AW549" i="1"/>
  <c r="AW550" i="1"/>
  <c r="AW551" i="1"/>
  <c r="AW552" i="1"/>
  <c r="AW553" i="1"/>
  <c r="AW554" i="1"/>
  <c r="AW555" i="1"/>
  <c r="AW556" i="1"/>
  <c r="AW557" i="1"/>
  <c r="AW558" i="1"/>
  <c r="AW559" i="1"/>
  <c r="AW560" i="1"/>
  <c r="AW561" i="1"/>
  <c r="AW562" i="1"/>
  <c r="AW563" i="1"/>
  <c r="AW564" i="1"/>
  <c r="AW565" i="1"/>
  <c r="AW566" i="1"/>
  <c r="AW567" i="1"/>
  <c r="AW568" i="1"/>
  <c r="AW569" i="1"/>
  <c r="AW570" i="1"/>
  <c r="AW571" i="1"/>
  <c r="AW572" i="1"/>
  <c r="AW573" i="1"/>
  <c r="AW574" i="1"/>
  <c r="AW575" i="1"/>
  <c r="AW576" i="1"/>
  <c r="AW577" i="1"/>
  <c r="AW578" i="1"/>
  <c r="AW579" i="1"/>
  <c r="AW580" i="1"/>
  <c r="AW581" i="1"/>
  <c r="AW582" i="1"/>
  <c r="AW583" i="1"/>
  <c r="AW584" i="1"/>
  <c r="AW585" i="1"/>
  <c r="AW586" i="1"/>
  <c r="AW587" i="1"/>
  <c r="AW588" i="1"/>
  <c r="AW589" i="1"/>
  <c r="AW590" i="1"/>
  <c r="AW591" i="1"/>
  <c r="AW592" i="1"/>
  <c r="AW593" i="1"/>
  <c r="AW594" i="1"/>
  <c r="AW595" i="1"/>
  <c r="AW596" i="1"/>
  <c r="AW597" i="1"/>
  <c r="AW598" i="1"/>
  <c r="AW599" i="1"/>
  <c r="AW600" i="1"/>
  <c r="AW601" i="1"/>
  <c r="AW602" i="1"/>
  <c r="AW603" i="1"/>
  <c r="AW604" i="1"/>
  <c r="AW605" i="1"/>
  <c r="AW606" i="1"/>
  <c r="AW607" i="1"/>
  <c r="AW608" i="1"/>
  <c r="AW609" i="1"/>
  <c r="AW610" i="1"/>
  <c r="AW611" i="1"/>
  <c r="AW612" i="1"/>
  <c r="AW613" i="1"/>
  <c r="AW614" i="1"/>
  <c r="AW615" i="1"/>
  <c r="AW616" i="1"/>
  <c r="AW617" i="1"/>
  <c r="AW618" i="1"/>
  <c r="AW619" i="1"/>
  <c r="AW620" i="1"/>
  <c r="AW621" i="1"/>
  <c r="AW622" i="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2"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124" i="1"/>
  <c r="B31" i="6"/>
  <c r="D31" i="6" l="1"/>
  <c r="D32" i="6"/>
  <c r="D33" i="6"/>
  <c r="B32" i="6"/>
  <c r="B33" i="6"/>
  <c r="D29" i="6"/>
  <c r="D30" i="6"/>
  <c r="B29" i="6"/>
  <c r="B30" i="6"/>
  <c r="D27" i="6"/>
  <c r="D28" i="6"/>
  <c r="B27" i="6"/>
  <c r="B28" i="6"/>
  <c r="BR306" i="4" l="1"/>
  <c r="BR305" i="4"/>
  <c r="BR304" i="4"/>
  <c r="BR303" i="4"/>
  <c r="BR302" i="4"/>
  <c r="BR301" i="4"/>
  <c r="BR300" i="4"/>
  <c r="BR299" i="4"/>
  <c r="BR298" i="4"/>
  <c r="BS298" i="4" l="1" a="1"/>
  <c r="BS298" i="4" s="1"/>
  <c r="BR292" i="4"/>
  <c r="BR291" i="4"/>
  <c r="BR290" i="4"/>
  <c r="BR289" i="4"/>
  <c r="BR288" i="4"/>
  <c r="BR287" i="4"/>
  <c r="BR286" i="4"/>
  <c r="BR285" i="4"/>
  <c r="BR284" i="4"/>
  <c r="BR283" i="4"/>
  <c r="BR282" i="4"/>
  <c r="BR281" i="4"/>
  <c r="BR280" i="4"/>
  <c r="BR279" i="4"/>
  <c r="BR278" i="4"/>
  <c r="BR277" i="4"/>
  <c r="BR276" i="4"/>
  <c r="BR275" i="4"/>
  <c r="BR274" i="4"/>
  <c r="BR273" i="4"/>
  <c r="BR272" i="4"/>
  <c r="BR271" i="4"/>
  <c r="BR270" i="4"/>
  <c r="BR269" i="4"/>
  <c r="BR268" i="4"/>
  <c r="BR267" i="4"/>
  <c r="BR266" i="4"/>
  <c r="BR265" i="4"/>
  <c r="BR264" i="4"/>
  <c r="BR263" i="4"/>
  <c r="BR262" i="4"/>
  <c r="BR261" i="4"/>
  <c r="BR260" i="4"/>
  <c r="BR259" i="4"/>
  <c r="BR258" i="4"/>
  <c r="BR257" i="4"/>
  <c r="BR256" i="4"/>
  <c r="BR255" i="4"/>
  <c r="BR254" i="4"/>
  <c r="BR253" i="4"/>
  <c r="BR252" i="4"/>
  <c r="BR251" i="4"/>
  <c r="BR250" i="4"/>
  <c r="BR249" i="4"/>
  <c r="BR248" i="4"/>
  <c r="BR247" i="4"/>
  <c r="BR246" i="4"/>
  <c r="BR245" i="4"/>
  <c r="BR244" i="4"/>
  <c r="BR243" i="4"/>
  <c r="BR242" i="4"/>
  <c r="BR241" i="4"/>
  <c r="BR240" i="4"/>
  <c r="BR239" i="4"/>
  <c r="BR238" i="4"/>
  <c r="BR237" i="4"/>
  <c r="BR236" i="4"/>
  <c r="BR235" i="4"/>
  <c r="BR234" i="4"/>
  <c r="BR233" i="4"/>
  <c r="BR232" i="4"/>
  <c r="BR231" i="4"/>
  <c r="BR230" i="4"/>
  <c r="BR229" i="4"/>
  <c r="BR228" i="4"/>
  <c r="BR227" i="4"/>
  <c r="BR226" i="4"/>
  <c r="BR225" i="4"/>
  <c r="BR224" i="4"/>
  <c r="BR223" i="4"/>
  <c r="BR222" i="4"/>
  <c r="BR221" i="4"/>
  <c r="BR220" i="4"/>
  <c r="BR219" i="4"/>
  <c r="BR218" i="4"/>
  <c r="BR217" i="4"/>
  <c r="BR216" i="4"/>
  <c r="BR215" i="4"/>
  <c r="BR214" i="4"/>
  <c r="BR213" i="4"/>
  <c r="BR212" i="4"/>
  <c r="BR211" i="4"/>
  <c r="BR210" i="4"/>
  <c r="BR209" i="4"/>
  <c r="BR208" i="4"/>
  <c r="BR207" i="4"/>
  <c r="BR206" i="4"/>
  <c r="BR205" i="4"/>
  <c r="BR204" i="4"/>
  <c r="BR203" i="4"/>
  <c r="BR202" i="4"/>
  <c r="BR201" i="4"/>
  <c r="BR200" i="4"/>
  <c r="BR199" i="4"/>
  <c r="BR198" i="4"/>
  <c r="BR197" i="4"/>
  <c r="BR196" i="4"/>
  <c r="BR195" i="4"/>
  <c r="BR194" i="4"/>
  <c r="BR193" i="4"/>
  <c r="BR192" i="4"/>
  <c r="BR191" i="4"/>
  <c r="BR190" i="4"/>
  <c r="BR189" i="4"/>
  <c r="BR188" i="4"/>
  <c r="BR187" i="4"/>
  <c r="BR186" i="4"/>
  <c r="BR185" i="4"/>
  <c r="BR184" i="4"/>
  <c r="BR183" i="4"/>
  <c r="BR182" i="4"/>
  <c r="BR181" i="4"/>
  <c r="BR180" i="4"/>
  <c r="BR179" i="4"/>
  <c r="BR178" i="4"/>
  <c r="BR177" i="4"/>
  <c r="BR176" i="4"/>
  <c r="BR175" i="4"/>
  <c r="BR174" i="4"/>
  <c r="BR173" i="4"/>
  <c r="BR172" i="4"/>
  <c r="BR171" i="4"/>
  <c r="BR170" i="4"/>
  <c r="BR169" i="4"/>
  <c r="BR168" i="4"/>
  <c r="BR167" i="4"/>
  <c r="BR166" i="4"/>
  <c r="BR165" i="4"/>
  <c r="BR164" i="4"/>
  <c r="BR163" i="4"/>
  <c r="BR162" i="4"/>
  <c r="BR161" i="4"/>
  <c r="BR160" i="4"/>
  <c r="BR159" i="4"/>
  <c r="BR158" i="4"/>
  <c r="BR157" i="4"/>
  <c r="BR156" i="4"/>
  <c r="BR155" i="4"/>
  <c r="BR154" i="4"/>
  <c r="BR153" i="4"/>
  <c r="BR152" i="4"/>
  <c r="BR151" i="4"/>
  <c r="BR150" i="4"/>
  <c r="BR149" i="4"/>
  <c r="BR148" i="4"/>
  <c r="BR147" i="4"/>
  <c r="BR146" i="4"/>
  <c r="BR145" i="4"/>
  <c r="BR144" i="4"/>
  <c r="BR143" i="4"/>
  <c r="BR142" i="4"/>
  <c r="BR141" i="4"/>
  <c r="BR140" i="4"/>
  <c r="BR139" i="4"/>
  <c r="BR138" i="4"/>
  <c r="BR137" i="4"/>
  <c r="BR136" i="4"/>
  <c r="BR135" i="4"/>
  <c r="BR134" i="4"/>
  <c r="BR133" i="4"/>
  <c r="BR132" i="4"/>
  <c r="BR131" i="4"/>
  <c r="BR130" i="4"/>
  <c r="BR129" i="4"/>
  <c r="BR128" i="4"/>
  <c r="BR127" i="4"/>
  <c r="BR126" i="4"/>
  <c r="BR125" i="4"/>
  <c r="BR124" i="4"/>
  <c r="BR123" i="4"/>
  <c r="BR122" i="4"/>
  <c r="BR121" i="4"/>
  <c r="BR120" i="4"/>
  <c r="BR119" i="4"/>
  <c r="BR118" i="4"/>
  <c r="BR117" i="4"/>
  <c r="BR116" i="4"/>
  <c r="BR115" i="4"/>
  <c r="BR114" i="4"/>
  <c r="BR113" i="4"/>
  <c r="BR112" i="4"/>
  <c r="BR111" i="4"/>
  <c r="BR110" i="4"/>
  <c r="BR109" i="4"/>
  <c r="BR108" i="4"/>
  <c r="BR107" i="4"/>
  <c r="BR106" i="4"/>
  <c r="BR105" i="4"/>
  <c r="BR104" i="4"/>
  <c r="BR103" i="4"/>
  <c r="BR102" i="4"/>
  <c r="BR101" i="4"/>
  <c r="BR100" i="4"/>
  <c r="BR99" i="4"/>
  <c r="BR98" i="4"/>
  <c r="BR97" i="4"/>
  <c r="BR96" i="4"/>
  <c r="BR95" i="4"/>
  <c r="BR94" i="4"/>
  <c r="BR93" i="4"/>
  <c r="BR92" i="4"/>
  <c r="BR91" i="4"/>
  <c r="BR90" i="4"/>
  <c r="BR89" i="4"/>
  <c r="BR88" i="4"/>
  <c r="BR87" i="4"/>
  <c r="BR86" i="4"/>
  <c r="BR85" i="4"/>
  <c r="BR84" i="4"/>
  <c r="BR83" i="4"/>
  <c r="BR82" i="4"/>
  <c r="BR81" i="4"/>
  <c r="BR80" i="4"/>
  <c r="BR79" i="4"/>
  <c r="BR78" i="4"/>
  <c r="BR77" i="4"/>
  <c r="BR76" i="4"/>
  <c r="BR75" i="4"/>
  <c r="BR74" i="4"/>
  <c r="BR73" i="4"/>
  <c r="BR72" i="4"/>
  <c r="BR71" i="4"/>
  <c r="BR70" i="4"/>
  <c r="BR69" i="4"/>
  <c r="BR68" i="4"/>
  <c r="BR67" i="4"/>
  <c r="BR66" i="4"/>
  <c r="BR65" i="4"/>
  <c r="BR64" i="4"/>
  <c r="BR63" i="4"/>
  <c r="BR62" i="4"/>
  <c r="BR61" i="4"/>
  <c r="BR60" i="4"/>
  <c r="BR59" i="4"/>
  <c r="BR58" i="4"/>
  <c r="BR57" i="4"/>
  <c r="BR56" i="4"/>
  <c r="BR55" i="4"/>
  <c r="BR54" i="4"/>
  <c r="BR53" i="4"/>
  <c r="BR52" i="4"/>
  <c r="BR51" i="4"/>
  <c r="BR50" i="4"/>
  <c r="BR49" i="4"/>
  <c r="BR48" i="4"/>
  <c r="BR47" i="4"/>
  <c r="BR46" i="4"/>
  <c r="BR45" i="4"/>
  <c r="BR44" i="4"/>
  <c r="BR43" i="4"/>
  <c r="BR42" i="4"/>
  <c r="BR41" i="4"/>
  <c r="BR40" i="4"/>
  <c r="BR39" i="4"/>
  <c r="BR38" i="4"/>
  <c r="BR37" i="4"/>
  <c r="BR36" i="4"/>
  <c r="BR35" i="4"/>
  <c r="BR34" i="4"/>
  <c r="BR33" i="4"/>
  <c r="BR32" i="4"/>
  <c r="BR31" i="4"/>
  <c r="BR30" i="4"/>
  <c r="BR29" i="4"/>
  <c r="BR28" i="4"/>
  <c r="BR27" i="4"/>
  <c r="BR26" i="4"/>
  <c r="BR25" i="4"/>
  <c r="BR24" i="4"/>
  <c r="BR23" i="4"/>
  <c r="BR22" i="4"/>
  <c r="BR21" i="4"/>
  <c r="BR20" i="4"/>
  <c r="BR19" i="4"/>
  <c r="BR18" i="4"/>
  <c r="BR17" i="4"/>
  <c r="BR16" i="4"/>
  <c r="BR15" i="4"/>
  <c r="BR14" i="4"/>
  <c r="BR13" i="4"/>
  <c r="BR12" i="4"/>
  <c r="BR11" i="4"/>
  <c r="BR10" i="4"/>
  <c r="BR9" i="4"/>
  <c r="BR8" i="4"/>
  <c r="BR7" i="4"/>
  <c r="BR6" i="4"/>
  <c r="BR5" i="4"/>
  <c r="BR4" i="4"/>
  <c r="BQ296" i="4"/>
  <c r="BQ295" i="4"/>
  <c r="BQ294" i="4"/>
  <c r="AT275" i="1"/>
  <c r="AU275" i="1" s="1"/>
  <c r="AV275" i="1" s="1"/>
  <c r="AT124" i="1"/>
  <c r="AU124" i="1" s="1"/>
  <c r="AV124" i="1" s="1"/>
  <c r="BT305" i="4" l="1"/>
  <c r="BT304" i="4"/>
  <c r="BT301" i="4"/>
  <c r="BT307" i="4"/>
  <c r="BT306" i="4"/>
  <c r="BT303" i="4"/>
  <c r="BT302" i="4"/>
  <c r="BT300" i="4"/>
  <c r="BT299" i="4"/>
  <c r="BT298" i="4"/>
  <c r="AV298" i="1"/>
  <c r="AV297" i="1"/>
  <c r="AV288" i="1"/>
  <c r="AV285" i="1"/>
  <c r="AV263" i="1"/>
  <c r="AV260" i="1"/>
  <c r="AT259" i="1"/>
  <c r="AU259" i="1" s="1"/>
  <c r="AV259" i="1" s="1"/>
  <c r="AV258" i="1"/>
  <c r="AV253" i="1"/>
  <c r="AT234" i="1"/>
  <c r="AU234" i="1" s="1"/>
  <c r="AV234" i="1" s="1"/>
  <c r="AV178" i="1"/>
  <c r="AT165" i="1"/>
  <c r="AU165" i="1" s="1"/>
  <c r="AV165" i="1" s="1"/>
  <c r="AV163" i="1"/>
  <c r="AV162" i="1"/>
  <c r="AV161" i="1"/>
  <c r="AV158" i="1"/>
  <c r="AT154" i="1"/>
  <c r="AU154" i="1" s="1"/>
  <c r="AV154" i="1" s="1"/>
  <c r="AT144" i="1"/>
  <c r="AU144" i="1" s="1"/>
  <c r="AV144" i="1" s="1"/>
  <c r="AT140" i="1"/>
  <c r="AU140" i="1" s="1"/>
  <c r="AV140" i="1" s="1"/>
  <c r="AV137" i="1"/>
  <c r="AT125" i="1"/>
  <c r="AU125" i="1" s="1"/>
  <c r="AV125" i="1" s="1"/>
  <c r="AT97" i="1"/>
  <c r="AU97" i="1" s="1"/>
  <c r="AV97" i="1" s="1"/>
  <c r="AV96" i="1"/>
  <c r="AT95" i="1"/>
  <c r="AU95" i="1" s="1"/>
  <c r="AV95" i="1" s="1"/>
  <c r="AT92" i="1"/>
  <c r="AU92" i="1" s="1"/>
  <c r="AV92" i="1" s="1"/>
  <c r="AT84" i="1"/>
  <c r="AU84" i="1" s="1"/>
  <c r="AV84" i="1" s="1"/>
  <c r="AV81" i="1"/>
  <c r="AT75" i="1"/>
  <c r="AU75" i="1" s="1"/>
  <c r="AV75" i="1" s="1"/>
  <c r="AT74" i="1"/>
  <c r="AU74" i="1" s="1"/>
  <c r="AV74" i="1" s="1"/>
  <c r="AT73" i="1"/>
  <c r="AU73" i="1" s="1"/>
  <c r="AV73" i="1" s="1"/>
  <c r="AT52" i="1"/>
  <c r="AU52" i="1" s="1"/>
  <c r="AV52" i="1" s="1"/>
  <c r="AV47" i="1"/>
  <c r="AT46" i="1"/>
  <c r="AU46" i="1" s="1"/>
  <c r="AV46" i="1" s="1"/>
  <c r="AT40" i="1"/>
  <c r="AU40" i="1" s="1"/>
  <c r="AV40" i="1" s="1"/>
  <c r="AT39" i="1"/>
  <c r="AU39" i="1" s="1"/>
  <c r="AV39" i="1" s="1"/>
  <c r="AT38" i="1"/>
  <c r="AU38" i="1" s="1"/>
  <c r="AV38" i="1" s="1"/>
  <c r="AT37" i="1"/>
  <c r="AU37" i="1" s="1"/>
  <c r="AV37" i="1" s="1"/>
  <c r="AT36" i="1"/>
  <c r="AU36" i="1" s="1"/>
  <c r="AV36" i="1" s="1"/>
  <c r="AV32" i="1"/>
  <c r="AT27" i="1"/>
  <c r="AU27" i="1" s="1"/>
  <c r="AV27" i="1" s="1"/>
  <c r="AT14" i="1"/>
  <c r="AU14" i="1" s="1"/>
  <c r="AV14" i="1" s="1"/>
  <c r="AV9" i="1"/>
  <c r="AT4" i="1"/>
  <c r="AU4" i="1" s="1"/>
  <c r="AV4" i="1" s="1"/>
  <c r="AT5" i="1"/>
  <c r="AU5" i="1" s="1"/>
  <c r="AV5" i="1" s="1"/>
  <c r="AT6" i="1"/>
  <c r="AU6" i="1" s="1"/>
  <c r="AV6" i="1" s="1"/>
  <c r="AT7" i="1"/>
  <c r="AU7" i="1" s="1"/>
  <c r="AV7" i="1" s="1"/>
  <c r="AT8" i="1"/>
  <c r="AU8" i="1" s="1"/>
  <c r="AV8" i="1" s="1"/>
  <c r="AT10" i="1"/>
  <c r="AU10" i="1" s="1"/>
  <c r="AV10" i="1" s="1"/>
  <c r="AT11" i="1"/>
  <c r="AU11" i="1" s="1"/>
  <c r="AV11" i="1" s="1"/>
  <c r="AT12" i="1"/>
  <c r="AU12" i="1" s="1"/>
  <c r="AV12" i="1" s="1"/>
  <c r="AT13" i="1"/>
  <c r="AU13" i="1" s="1"/>
  <c r="AV13" i="1" s="1"/>
  <c r="AT15" i="1"/>
  <c r="AU15" i="1" s="1"/>
  <c r="AV15" i="1" s="1"/>
  <c r="AT16" i="1"/>
  <c r="AU16" i="1" s="1"/>
  <c r="AV16" i="1" s="1"/>
  <c r="AT17" i="1"/>
  <c r="AU17" i="1" s="1"/>
  <c r="AV17" i="1" s="1"/>
  <c r="AT18" i="1"/>
  <c r="AU18" i="1" s="1"/>
  <c r="AV18" i="1" s="1"/>
  <c r="AT19" i="1"/>
  <c r="AU19" i="1" s="1"/>
  <c r="AV19" i="1" s="1"/>
  <c r="AT20" i="1"/>
  <c r="AU20" i="1" s="1"/>
  <c r="AV20" i="1" s="1"/>
  <c r="AT21" i="1"/>
  <c r="AU21" i="1" s="1"/>
  <c r="AV21" i="1" s="1"/>
  <c r="AT22" i="1"/>
  <c r="AU22" i="1" s="1"/>
  <c r="AV22" i="1" s="1"/>
  <c r="AT23" i="1"/>
  <c r="AU23" i="1" s="1"/>
  <c r="AV23" i="1" s="1"/>
  <c r="AT24" i="1"/>
  <c r="AU24" i="1" s="1"/>
  <c r="AV24" i="1" s="1"/>
  <c r="AT25" i="1"/>
  <c r="AU25" i="1" s="1"/>
  <c r="AV25" i="1" s="1"/>
  <c r="AT26" i="1"/>
  <c r="AU26" i="1" s="1"/>
  <c r="AV26" i="1" s="1"/>
  <c r="AT28" i="1"/>
  <c r="AU28" i="1" s="1"/>
  <c r="AV28" i="1" s="1"/>
  <c r="AT29" i="1"/>
  <c r="AU29" i="1" s="1"/>
  <c r="AV29" i="1" s="1"/>
  <c r="AT30" i="1"/>
  <c r="AU30" i="1" s="1"/>
  <c r="AV30" i="1" s="1"/>
  <c r="AT31" i="1"/>
  <c r="AU31" i="1" s="1"/>
  <c r="AV31" i="1" s="1"/>
  <c r="AT33" i="1"/>
  <c r="AU33" i="1" s="1"/>
  <c r="AV33" i="1" s="1"/>
  <c r="AT34" i="1"/>
  <c r="AU34" i="1" s="1"/>
  <c r="AV34" i="1" s="1"/>
  <c r="AT35" i="1"/>
  <c r="AU35" i="1" s="1"/>
  <c r="AV35" i="1" s="1"/>
  <c r="AT41" i="1"/>
  <c r="AU41" i="1" s="1"/>
  <c r="AV41" i="1" s="1"/>
  <c r="AT42" i="1"/>
  <c r="AU42" i="1" s="1"/>
  <c r="AV42" i="1" s="1"/>
  <c r="AT43" i="1"/>
  <c r="AU43" i="1" s="1"/>
  <c r="AV43" i="1" s="1"/>
  <c r="AT44" i="1"/>
  <c r="AU44" i="1" s="1"/>
  <c r="AV44" i="1" s="1"/>
  <c r="AT45" i="1"/>
  <c r="AU45" i="1" s="1"/>
  <c r="AV45" i="1" s="1"/>
  <c r="J21" i="1"/>
  <c r="AT309" i="1"/>
  <c r="AU309" i="1" s="1"/>
  <c r="AV309" i="1" s="1"/>
  <c r="AT308" i="1"/>
  <c r="AU308" i="1" s="1"/>
  <c r="AV308" i="1" s="1"/>
  <c r="AT307" i="1"/>
  <c r="AU307" i="1" s="1"/>
  <c r="AV307" i="1" s="1"/>
  <c r="AT306" i="1"/>
  <c r="AU306" i="1" s="1"/>
  <c r="AV306" i="1" s="1"/>
  <c r="AT305" i="1"/>
  <c r="AU305" i="1" s="1"/>
  <c r="AV305" i="1" s="1"/>
  <c r="AT304" i="1"/>
  <c r="AU304" i="1" s="1"/>
  <c r="AV304" i="1" s="1"/>
  <c r="AT303" i="1"/>
  <c r="AU303" i="1" s="1"/>
  <c r="AV303" i="1" s="1"/>
  <c r="AT302" i="1"/>
  <c r="AU302" i="1" s="1"/>
  <c r="AV302" i="1" s="1"/>
  <c r="AT301" i="1"/>
  <c r="AU301" i="1" s="1"/>
  <c r="AV301" i="1" s="1"/>
  <c r="AT300" i="1"/>
  <c r="AU300" i="1" s="1"/>
  <c r="AV300" i="1" s="1"/>
  <c r="AT299" i="1"/>
  <c r="AU299" i="1" s="1"/>
  <c r="AV299" i="1" s="1"/>
  <c r="AT296" i="1"/>
  <c r="AU296" i="1" s="1"/>
  <c r="AV296" i="1" s="1"/>
  <c r="AT295" i="1"/>
  <c r="AU295" i="1" s="1"/>
  <c r="AV295" i="1" s="1"/>
  <c r="AT294" i="1"/>
  <c r="AU294" i="1" s="1"/>
  <c r="AV294" i="1" s="1"/>
  <c r="AT293" i="1"/>
  <c r="AU293" i="1" s="1"/>
  <c r="AV293" i="1" s="1"/>
  <c r="AT292" i="1"/>
  <c r="AU292" i="1" s="1"/>
  <c r="AV292" i="1" s="1"/>
  <c r="AT291" i="1"/>
  <c r="AU291" i="1" s="1"/>
  <c r="AV291" i="1" s="1"/>
  <c r="AT290" i="1"/>
  <c r="AU290" i="1" s="1"/>
  <c r="AV290" i="1" s="1"/>
  <c r="AT289" i="1"/>
  <c r="AU289" i="1" s="1"/>
  <c r="AV289" i="1" s="1"/>
  <c r="AT287" i="1"/>
  <c r="AU287" i="1" s="1"/>
  <c r="AV287" i="1" s="1"/>
  <c r="AT286" i="1"/>
  <c r="AU286" i="1" s="1"/>
  <c r="AV286" i="1" s="1"/>
  <c r="AT284" i="1"/>
  <c r="AU284" i="1" s="1"/>
  <c r="AV284" i="1" s="1"/>
  <c r="AT283" i="1"/>
  <c r="AU283" i="1" s="1"/>
  <c r="AV283" i="1" s="1"/>
  <c r="AT282" i="1"/>
  <c r="AU282" i="1" s="1"/>
  <c r="AV282" i="1" s="1"/>
  <c r="AT281" i="1"/>
  <c r="AU281" i="1" s="1"/>
  <c r="AV281" i="1" s="1"/>
  <c r="AT280" i="1"/>
  <c r="AU280" i="1" s="1"/>
  <c r="AV280" i="1" s="1"/>
  <c r="AT279" i="1"/>
  <c r="AU279" i="1" s="1"/>
  <c r="AV279" i="1" s="1"/>
  <c r="AT278" i="1"/>
  <c r="AU278" i="1" s="1"/>
  <c r="AV278" i="1" s="1"/>
  <c r="AT277" i="1"/>
  <c r="AU277" i="1" s="1"/>
  <c r="AV277" i="1" s="1"/>
  <c r="AT276" i="1"/>
  <c r="AU276" i="1" s="1"/>
  <c r="AV276" i="1" s="1"/>
  <c r="AT274" i="1"/>
  <c r="AU274" i="1" s="1"/>
  <c r="AV274" i="1" s="1"/>
  <c r="AT273" i="1"/>
  <c r="AU273" i="1" s="1"/>
  <c r="AV273" i="1" s="1"/>
  <c r="AT272" i="1"/>
  <c r="AU272" i="1" s="1"/>
  <c r="AV272" i="1" s="1"/>
  <c r="AT271" i="1"/>
  <c r="AU271" i="1" s="1"/>
  <c r="AV271" i="1" s="1"/>
  <c r="AT270" i="1"/>
  <c r="AU270" i="1" s="1"/>
  <c r="AV270" i="1" s="1"/>
  <c r="AT269" i="1"/>
  <c r="AU269" i="1" s="1"/>
  <c r="AV269" i="1" s="1"/>
  <c r="AT268" i="1"/>
  <c r="AU268" i="1" s="1"/>
  <c r="AV268" i="1" s="1"/>
  <c r="AT267" i="1"/>
  <c r="AU267" i="1" s="1"/>
  <c r="AV267" i="1" s="1"/>
  <c r="AT266" i="1"/>
  <c r="AU266" i="1" s="1"/>
  <c r="AV266" i="1" s="1"/>
  <c r="AT265" i="1"/>
  <c r="AU265" i="1" s="1"/>
  <c r="AV265" i="1" s="1"/>
  <c r="AT264" i="1"/>
  <c r="AU264" i="1" s="1"/>
  <c r="AV264" i="1" s="1"/>
  <c r="AT262" i="1"/>
  <c r="AU262" i="1" s="1"/>
  <c r="AV262" i="1" s="1"/>
  <c r="AT261" i="1"/>
  <c r="AU261" i="1" s="1"/>
  <c r="AV261" i="1" s="1"/>
  <c r="AT257" i="1"/>
  <c r="AU257" i="1" s="1"/>
  <c r="AV257" i="1" s="1"/>
  <c r="AT256" i="1"/>
  <c r="AU256" i="1" s="1"/>
  <c r="AV256" i="1" s="1"/>
  <c r="AT255" i="1"/>
  <c r="AU255" i="1" s="1"/>
  <c r="AV255" i="1" s="1"/>
  <c r="AT254" i="1"/>
  <c r="AU254" i="1" s="1"/>
  <c r="AV254" i="1" s="1"/>
  <c r="AT252" i="1"/>
  <c r="AU252" i="1" s="1"/>
  <c r="AV252" i="1" s="1"/>
  <c r="AT251" i="1"/>
  <c r="AU251" i="1" s="1"/>
  <c r="AV251" i="1" s="1"/>
  <c r="AT250" i="1"/>
  <c r="AU250" i="1" s="1"/>
  <c r="AV250" i="1" s="1"/>
  <c r="AT249" i="1"/>
  <c r="AU249" i="1" s="1"/>
  <c r="AV249" i="1" s="1"/>
  <c r="AT248" i="1"/>
  <c r="AU248" i="1" s="1"/>
  <c r="AV248" i="1" s="1"/>
  <c r="AT247" i="1"/>
  <c r="AU247" i="1" s="1"/>
  <c r="AV247" i="1" s="1"/>
  <c r="AT246" i="1"/>
  <c r="AU246" i="1" s="1"/>
  <c r="AV246" i="1" s="1"/>
  <c r="AT245" i="1"/>
  <c r="AU245" i="1" s="1"/>
  <c r="AV245" i="1" s="1"/>
  <c r="AT244" i="1"/>
  <c r="AU244" i="1" s="1"/>
  <c r="AV244" i="1" s="1"/>
  <c r="AT243" i="1"/>
  <c r="AU243" i="1" s="1"/>
  <c r="AV243" i="1" s="1"/>
  <c r="AT242" i="1"/>
  <c r="AU242" i="1" s="1"/>
  <c r="AV242" i="1" s="1"/>
  <c r="AT241" i="1"/>
  <c r="AU241" i="1" s="1"/>
  <c r="AV241" i="1" s="1"/>
  <c r="AT240" i="1"/>
  <c r="AU240" i="1" s="1"/>
  <c r="AV240" i="1" s="1"/>
  <c r="AT239" i="1"/>
  <c r="AU239" i="1" s="1"/>
  <c r="AV239" i="1" s="1"/>
  <c r="AT238" i="1"/>
  <c r="AU238" i="1" s="1"/>
  <c r="AV238" i="1" s="1"/>
  <c r="AT237" i="1"/>
  <c r="AU237" i="1" s="1"/>
  <c r="AV237" i="1" s="1"/>
  <c r="AT236" i="1"/>
  <c r="AU236" i="1" s="1"/>
  <c r="AV236" i="1" s="1"/>
  <c r="AT235" i="1"/>
  <c r="AU235" i="1" s="1"/>
  <c r="AV235" i="1" s="1"/>
  <c r="AT233" i="1"/>
  <c r="AU233" i="1" s="1"/>
  <c r="AV233" i="1" s="1"/>
  <c r="AT232" i="1"/>
  <c r="AU232" i="1" s="1"/>
  <c r="AV232" i="1" s="1"/>
  <c r="AT231" i="1"/>
  <c r="AU231" i="1" s="1"/>
  <c r="AV231" i="1" s="1"/>
  <c r="AT230" i="1"/>
  <c r="AU230" i="1" s="1"/>
  <c r="AV230" i="1" s="1"/>
  <c r="AT229" i="1"/>
  <c r="AU229" i="1" s="1"/>
  <c r="AV229" i="1" s="1"/>
  <c r="AT228" i="1"/>
  <c r="AU228" i="1" s="1"/>
  <c r="AV228" i="1" s="1"/>
  <c r="AT227" i="1"/>
  <c r="AU227" i="1" s="1"/>
  <c r="AV227" i="1" s="1"/>
  <c r="AT226" i="1"/>
  <c r="AU226" i="1" s="1"/>
  <c r="AV226" i="1" s="1"/>
  <c r="AT225" i="1"/>
  <c r="AU225" i="1" s="1"/>
  <c r="AV225" i="1" s="1"/>
  <c r="AT224" i="1"/>
  <c r="AU224" i="1" s="1"/>
  <c r="AV224" i="1" s="1"/>
  <c r="AT223" i="1"/>
  <c r="AU223" i="1" s="1"/>
  <c r="AV223" i="1" s="1"/>
  <c r="AT222" i="1"/>
  <c r="AU222" i="1" s="1"/>
  <c r="AV222" i="1" s="1"/>
  <c r="AT221" i="1"/>
  <c r="AU221" i="1" s="1"/>
  <c r="AV221" i="1" s="1"/>
  <c r="AT220" i="1"/>
  <c r="AU220" i="1" s="1"/>
  <c r="AV220" i="1" s="1"/>
  <c r="AT219" i="1"/>
  <c r="AU219" i="1" s="1"/>
  <c r="AV219" i="1" s="1"/>
  <c r="AT218" i="1"/>
  <c r="AU218" i="1" s="1"/>
  <c r="AV218" i="1" s="1"/>
  <c r="AT217" i="1"/>
  <c r="AU217" i="1" s="1"/>
  <c r="AV217" i="1" s="1"/>
  <c r="AT216" i="1"/>
  <c r="AU216" i="1" s="1"/>
  <c r="AV216" i="1" s="1"/>
  <c r="AT215" i="1"/>
  <c r="AU215" i="1" s="1"/>
  <c r="AV215" i="1" s="1"/>
  <c r="AT214" i="1"/>
  <c r="AU214" i="1" s="1"/>
  <c r="AV214" i="1" s="1"/>
  <c r="AT213" i="1"/>
  <c r="AU213" i="1" s="1"/>
  <c r="AV213" i="1" s="1"/>
  <c r="AT212" i="1"/>
  <c r="AU212" i="1" s="1"/>
  <c r="AV212" i="1" s="1"/>
  <c r="AT211" i="1"/>
  <c r="AU211" i="1" s="1"/>
  <c r="AV211" i="1" s="1"/>
  <c r="AT210" i="1"/>
  <c r="AU210" i="1" s="1"/>
  <c r="AV210" i="1" s="1"/>
  <c r="AT209" i="1"/>
  <c r="AU209" i="1" s="1"/>
  <c r="AV209" i="1" s="1"/>
  <c r="AT208" i="1"/>
  <c r="AU208" i="1" s="1"/>
  <c r="AV208" i="1" s="1"/>
  <c r="AT207" i="1"/>
  <c r="AU207" i="1" s="1"/>
  <c r="AV207" i="1" s="1"/>
  <c r="AT206" i="1"/>
  <c r="AU206" i="1" s="1"/>
  <c r="AV206" i="1" s="1"/>
  <c r="AT205" i="1"/>
  <c r="AU205" i="1" s="1"/>
  <c r="AV205" i="1" s="1"/>
  <c r="AT204" i="1"/>
  <c r="AU204" i="1" s="1"/>
  <c r="AV204" i="1" s="1"/>
  <c r="AT203" i="1"/>
  <c r="AU203" i="1" s="1"/>
  <c r="AV203" i="1" s="1"/>
  <c r="AT202" i="1"/>
  <c r="AU202" i="1" s="1"/>
  <c r="AV202" i="1" s="1"/>
  <c r="AT201" i="1"/>
  <c r="AU201" i="1" s="1"/>
  <c r="AV201" i="1" s="1"/>
  <c r="AT200" i="1"/>
  <c r="AU200" i="1" s="1"/>
  <c r="AV200" i="1" s="1"/>
  <c r="AT199" i="1"/>
  <c r="AU199" i="1" s="1"/>
  <c r="AV199" i="1" s="1"/>
  <c r="AT198" i="1"/>
  <c r="AU198" i="1" s="1"/>
  <c r="AV198" i="1" s="1"/>
  <c r="AT197" i="1"/>
  <c r="AU197" i="1" s="1"/>
  <c r="AV197" i="1" s="1"/>
  <c r="AT196" i="1"/>
  <c r="AU196" i="1" s="1"/>
  <c r="AV196" i="1" s="1"/>
  <c r="AT195" i="1"/>
  <c r="AU195" i="1" s="1"/>
  <c r="AV195" i="1" s="1"/>
  <c r="AT194" i="1"/>
  <c r="AU194" i="1" s="1"/>
  <c r="AV194" i="1" s="1"/>
  <c r="AT193" i="1"/>
  <c r="AU193" i="1" s="1"/>
  <c r="AV193" i="1" s="1"/>
  <c r="AT192" i="1"/>
  <c r="AU192" i="1" s="1"/>
  <c r="AV192" i="1" s="1"/>
  <c r="AT191" i="1"/>
  <c r="AU191" i="1" s="1"/>
  <c r="AV191" i="1" s="1"/>
  <c r="AT190" i="1"/>
  <c r="AU190" i="1" s="1"/>
  <c r="AV190" i="1" s="1"/>
  <c r="AT189" i="1"/>
  <c r="AU189" i="1" s="1"/>
  <c r="AV189" i="1" s="1"/>
  <c r="AT188" i="1"/>
  <c r="AU188" i="1" s="1"/>
  <c r="AV188" i="1" s="1"/>
  <c r="AT187" i="1"/>
  <c r="AU187" i="1" s="1"/>
  <c r="AV187" i="1" s="1"/>
  <c r="AT186" i="1"/>
  <c r="AU186" i="1" s="1"/>
  <c r="AV186" i="1" s="1"/>
  <c r="AT185" i="1"/>
  <c r="AU185" i="1" s="1"/>
  <c r="AV185" i="1" s="1"/>
  <c r="AT184" i="1"/>
  <c r="AU184" i="1" s="1"/>
  <c r="AV184" i="1" s="1"/>
  <c r="AT183" i="1"/>
  <c r="AU183" i="1" s="1"/>
  <c r="AV183" i="1" s="1"/>
  <c r="AT182" i="1"/>
  <c r="AU182" i="1" s="1"/>
  <c r="AV182" i="1" s="1"/>
  <c r="AT181" i="1"/>
  <c r="AU181" i="1" s="1"/>
  <c r="AV181" i="1" s="1"/>
  <c r="AT180" i="1"/>
  <c r="AU180" i="1" s="1"/>
  <c r="AV180" i="1" s="1"/>
  <c r="AT179" i="1"/>
  <c r="AU179" i="1" s="1"/>
  <c r="AV179" i="1" s="1"/>
  <c r="AT177" i="1"/>
  <c r="AU177" i="1" s="1"/>
  <c r="AV177" i="1" s="1"/>
  <c r="AT176" i="1"/>
  <c r="AU176" i="1" s="1"/>
  <c r="AV176" i="1" s="1"/>
  <c r="AT175" i="1"/>
  <c r="AU175" i="1" s="1"/>
  <c r="AV175" i="1" s="1"/>
  <c r="AT174" i="1"/>
  <c r="AU174" i="1" s="1"/>
  <c r="AV174" i="1" s="1"/>
  <c r="AT173" i="1"/>
  <c r="AU173" i="1" s="1"/>
  <c r="AV173" i="1" s="1"/>
  <c r="AT172" i="1"/>
  <c r="AU172" i="1" s="1"/>
  <c r="AV172" i="1" s="1"/>
  <c r="AT171" i="1"/>
  <c r="AU171" i="1" s="1"/>
  <c r="AV171" i="1" s="1"/>
  <c r="AT170" i="1"/>
  <c r="AU170" i="1" s="1"/>
  <c r="AV170" i="1" s="1"/>
  <c r="AT169" i="1"/>
  <c r="AU169" i="1" s="1"/>
  <c r="AV169" i="1" s="1"/>
  <c r="AT168" i="1"/>
  <c r="AU168" i="1" s="1"/>
  <c r="AV168" i="1" s="1"/>
  <c r="AT167" i="1"/>
  <c r="AU167" i="1" s="1"/>
  <c r="AV167" i="1" s="1"/>
  <c r="AT166" i="1"/>
  <c r="AU166" i="1" s="1"/>
  <c r="AV166" i="1" s="1"/>
  <c r="AT164" i="1"/>
  <c r="AU164" i="1" s="1"/>
  <c r="AV164" i="1" s="1"/>
  <c r="AT160" i="1"/>
  <c r="AU160" i="1" s="1"/>
  <c r="AV160" i="1" s="1"/>
  <c r="AT159" i="1"/>
  <c r="AU159" i="1" s="1"/>
  <c r="AV159" i="1" s="1"/>
  <c r="AT157" i="1"/>
  <c r="AU157" i="1" s="1"/>
  <c r="AV157" i="1" s="1"/>
  <c r="AT156" i="1"/>
  <c r="AU156" i="1" s="1"/>
  <c r="AV156" i="1" s="1"/>
  <c r="AT155" i="1"/>
  <c r="AU155" i="1" s="1"/>
  <c r="AV155" i="1" s="1"/>
  <c r="AT153" i="1"/>
  <c r="AU153" i="1" s="1"/>
  <c r="AV153" i="1" s="1"/>
  <c r="AT152" i="1"/>
  <c r="AU152" i="1" s="1"/>
  <c r="AV152" i="1" s="1"/>
  <c r="AT151" i="1"/>
  <c r="AU151" i="1" s="1"/>
  <c r="AV151" i="1" s="1"/>
  <c r="AT150" i="1"/>
  <c r="AU150" i="1" s="1"/>
  <c r="AV150" i="1" s="1"/>
  <c r="AT149" i="1"/>
  <c r="AU149" i="1" s="1"/>
  <c r="AV149" i="1" s="1"/>
  <c r="AT148" i="1"/>
  <c r="AU148" i="1" s="1"/>
  <c r="AV148" i="1" s="1"/>
  <c r="AT147" i="1"/>
  <c r="AU147" i="1" s="1"/>
  <c r="AV147" i="1" s="1"/>
  <c r="AT146" i="1"/>
  <c r="AU146" i="1" s="1"/>
  <c r="AV146" i="1" s="1"/>
  <c r="AT145" i="1"/>
  <c r="AU145" i="1" s="1"/>
  <c r="AV145" i="1" s="1"/>
  <c r="AT143" i="1"/>
  <c r="AU143" i="1" s="1"/>
  <c r="AV143" i="1" s="1"/>
  <c r="AT142" i="1"/>
  <c r="AU142" i="1" s="1"/>
  <c r="AV142" i="1" s="1"/>
  <c r="AT141" i="1"/>
  <c r="AU141" i="1" s="1"/>
  <c r="AV141" i="1" s="1"/>
  <c r="AT139" i="1"/>
  <c r="AU139" i="1" s="1"/>
  <c r="AV139" i="1" s="1"/>
  <c r="AT138" i="1"/>
  <c r="AU138" i="1" s="1"/>
  <c r="AV138" i="1" s="1"/>
  <c r="AT136" i="1"/>
  <c r="AU136" i="1" s="1"/>
  <c r="AV136" i="1" s="1"/>
  <c r="AT135" i="1"/>
  <c r="AU135" i="1" s="1"/>
  <c r="AV135" i="1" s="1"/>
  <c r="AT134" i="1"/>
  <c r="AU134" i="1" s="1"/>
  <c r="AV134" i="1" s="1"/>
  <c r="AT133" i="1"/>
  <c r="AU133" i="1" s="1"/>
  <c r="AV133" i="1" s="1"/>
  <c r="AT132" i="1"/>
  <c r="AU132" i="1" s="1"/>
  <c r="AV132" i="1" s="1"/>
  <c r="AT131" i="1"/>
  <c r="AU131" i="1" s="1"/>
  <c r="AV131" i="1" s="1"/>
  <c r="AT130" i="1"/>
  <c r="AU130" i="1" s="1"/>
  <c r="AV130" i="1" s="1"/>
  <c r="AT129" i="1"/>
  <c r="AU129" i="1" s="1"/>
  <c r="AV129" i="1" s="1"/>
  <c r="AT128" i="1"/>
  <c r="AU128" i="1" s="1"/>
  <c r="AV128" i="1" s="1"/>
  <c r="AT127" i="1"/>
  <c r="AU127" i="1" s="1"/>
  <c r="AV127" i="1" s="1"/>
  <c r="AT126" i="1"/>
  <c r="AU126" i="1" s="1"/>
  <c r="AV126" i="1" s="1"/>
  <c r="AT123" i="1"/>
  <c r="AU123" i="1" s="1"/>
  <c r="AV123" i="1" s="1"/>
  <c r="AT122" i="1"/>
  <c r="AU122" i="1" s="1"/>
  <c r="AV122" i="1" s="1"/>
  <c r="AT121" i="1"/>
  <c r="AU121" i="1" s="1"/>
  <c r="AV121" i="1" s="1"/>
  <c r="AT120" i="1"/>
  <c r="AU120" i="1" s="1"/>
  <c r="AV120" i="1" s="1"/>
  <c r="AT119" i="1"/>
  <c r="AU119" i="1" s="1"/>
  <c r="AV119" i="1" s="1"/>
  <c r="AT118" i="1"/>
  <c r="AU118" i="1" s="1"/>
  <c r="AV118" i="1" s="1"/>
  <c r="AT117" i="1"/>
  <c r="AU117" i="1" s="1"/>
  <c r="AV117" i="1" s="1"/>
  <c r="AT116" i="1"/>
  <c r="AU116" i="1" s="1"/>
  <c r="AV116" i="1" s="1"/>
  <c r="AT115" i="1"/>
  <c r="AU115" i="1" s="1"/>
  <c r="AV115" i="1" s="1"/>
  <c r="AT114" i="1"/>
  <c r="AU114" i="1" s="1"/>
  <c r="AV114" i="1" s="1"/>
  <c r="AT113" i="1"/>
  <c r="AU113" i="1" s="1"/>
  <c r="AV113" i="1" s="1"/>
  <c r="AT112" i="1"/>
  <c r="AU112" i="1" s="1"/>
  <c r="AV112" i="1" s="1"/>
  <c r="AT111" i="1"/>
  <c r="AU111" i="1" s="1"/>
  <c r="AV111" i="1" s="1"/>
  <c r="AT110" i="1"/>
  <c r="AU110" i="1" s="1"/>
  <c r="AV110" i="1" s="1"/>
  <c r="AT109" i="1"/>
  <c r="AU109" i="1" s="1"/>
  <c r="AV109" i="1" s="1"/>
  <c r="AT108" i="1"/>
  <c r="AU108" i="1" s="1"/>
  <c r="AV108" i="1" s="1"/>
  <c r="AT107" i="1"/>
  <c r="AU107" i="1" s="1"/>
  <c r="AV107" i="1" s="1"/>
  <c r="AT106" i="1"/>
  <c r="AU106" i="1" s="1"/>
  <c r="AV106" i="1" s="1"/>
  <c r="AT105" i="1"/>
  <c r="AU105" i="1" s="1"/>
  <c r="AV105" i="1" s="1"/>
  <c r="AT104" i="1"/>
  <c r="AU104" i="1" s="1"/>
  <c r="AV104" i="1" s="1"/>
  <c r="AT103" i="1"/>
  <c r="AU103" i="1" s="1"/>
  <c r="AV103" i="1" s="1"/>
  <c r="AT102" i="1"/>
  <c r="AU102" i="1" s="1"/>
  <c r="AV102" i="1" s="1"/>
  <c r="AT101" i="1"/>
  <c r="AU101" i="1" s="1"/>
  <c r="AV101" i="1" s="1"/>
  <c r="AT100" i="1"/>
  <c r="AU100" i="1" s="1"/>
  <c r="AV100" i="1" s="1"/>
  <c r="AT99" i="1"/>
  <c r="AU99" i="1" s="1"/>
  <c r="AV99" i="1" s="1"/>
  <c r="AT98" i="1"/>
  <c r="AU98" i="1" s="1"/>
  <c r="AV98" i="1" s="1"/>
  <c r="AT94" i="1"/>
  <c r="AU94" i="1" s="1"/>
  <c r="AV94" i="1" s="1"/>
  <c r="AT93" i="1"/>
  <c r="AU93" i="1" s="1"/>
  <c r="AV93" i="1" s="1"/>
  <c r="AT91" i="1"/>
  <c r="AU91" i="1" s="1"/>
  <c r="AV91" i="1" s="1"/>
  <c r="AT90" i="1"/>
  <c r="AU90" i="1" s="1"/>
  <c r="AV90" i="1" s="1"/>
  <c r="AT89" i="1"/>
  <c r="AU89" i="1" s="1"/>
  <c r="AV89" i="1" s="1"/>
  <c r="AT88" i="1"/>
  <c r="AU88" i="1" s="1"/>
  <c r="AV88" i="1" s="1"/>
  <c r="AT87" i="1"/>
  <c r="AU87" i="1" s="1"/>
  <c r="AV87" i="1" s="1"/>
  <c r="AT86" i="1"/>
  <c r="AU86" i="1" s="1"/>
  <c r="AV86" i="1" s="1"/>
  <c r="AT85" i="1"/>
  <c r="AU85" i="1" s="1"/>
  <c r="AV85" i="1" s="1"/>
  <c r="AT83" i="1"/>
  <c r="AU83" i="1" s="1"/>
  <c r="AV83" i="1" s="1"/>
  <c r="AT82" i="1"/>
  <c r="AU82" i="1" s="1"/>
  <c r="AV82" i="1" s="1"/>
  <c r="AT80" i="1"/>
  <c r="AU80" i="1" s="1"/>
  <c r="AV80" i="1" s="1"/>
  <c r="AT79" i="1"/>
  <c r="AU79" i="1" s="1"/>
  <c r="AV79" i="1" s="1"/>
  <c r="AT78" i="1"/>
  <c r="AU78" i="1" s="1"/>
  <c r="AV78" i="1" s="1"/>
  <c r="AT77" i="1"/>
  <c r="AU77" i="1" s="1"/>
  <c r="AV77" i="1" s="1"/>
  <c r="AT76" i="1"/>
  <c r="AU76" i="1" s="1"/>
  <c r="AV76" i="1" s="1"/>
  <c r="AT72" i="1"/>
  <c r="AU72" i="1" s="1"/>
  <c r="AV72" i="1" s="1"/>
  <c r="AT71" i="1"/>
  <c r="AU71" i="1" s="1"/>
  <c r="AV71" i="1" s="1"/>
  <c r="AT70" i="1"/>
  <c r="AU70" i="1" s="1"/>
  <c r="AV70" i="1" s="1"/>
  <c r="AT69" i="1"/>
  <c r="AU69" i="1" s="1"/>
  <c r="AV69" i="1" s="1"/>
  <c r="AT68" i="1"/>
  <c r="AU68" i="1" s="1"/>
  <c r="AV68" i="1" s="1"/>
  <c r="AT67" i="1"/>
  <c r="AU67" i="1" s="1"/>
  <c r="AV67" i="1" s="1"/>
  <c r="AT66" i="1"/>
  <c r="AU66" i="1" s="1"/>
  <c r="AV66" i="1" s="1"/>
  <c r="AT65" i="1"/>
  <c r="AU65" i="1" s="1"/>
  <c r="AV65" i="1" s="1"/>
  <c r="AT64" i="1"/>
  <c r="AU64" i="1" s="1"/>
  <c r="AV64" i="1" s="1"/>
  <c r="AT63" i="1"/>
  <c r="AU63" i="1" s="1"/>
  <c r="AV63" i="1" s="1"/>
  <c r="AT62" i="1"/>
  <c r="AU62" i="1" s="1"/>
  <c r="AV62" i="1" s="1"/>
  <c r="AT61" i="1"/>
  <c r="AU61" i="1" s="1"/>
  <c r="AV61" i="1" s="1"/>
  <c r="AT60" i="1"/>
  <c r="AU60" i="1" s="1"/>
  <c r="AV60" i="1" s="1"/>
  <c r="AT59" i="1"/>
  <c r="AU59" i="1" s="1"/>
  <c r="AV59" i="1" s="1"/>
  <c r="AT58" i="1"/>
  <c r="AU58" i="1" s="1"/>
  <c r="AV58" i="1" s="1"/>
  <c r="AT57" i="1"/>
  <c r="AU57" i="1" s="1"/>
  <c r="AV57" i="1" s="1"/>
  <c r="AT56" i="1"/>
  <c r="AU56" i="1" s="1"/>
  <c r="AV56" i="1" s="1"/>
  <c r="AT55" i="1"/>
  <c r="AU55" i="1" s="1"/>
  <c r="AV55" i="1" s="1"/>
  <c r="AT54" i="1"/>
  <c r="AU54" i="1" s="1"/>
  <c r="AV54" i="1" s="1"/>
  <c r="AT53" i="1"/>
  <c r="AU53" i="1" s="1"/>
  <c r="AV53" i="1" s="1"/>
  <c r="AT51" i="1"/>
  <c r="AU51" i="1" s="1"/>
  <c r="AV51" i="1" s="1"/>
  <c r="AT50" i="1"/>
  <c r="AU50" i="1" s="1"/>
  <c r="AV50" i="1" s="1"/>
  <c r="AT49" i="1"/>
  <c r="AU49" i="1" s="1"/>
  <c r="AV49" i="1" s="1"/>
  <c r="AT48" i="1"/>
  <c r="AU48" i="1" s="1"/>
  <c r="AV48" i="1" s="1"/>
  <c r="AT3" i="1"/>
  <c r="AU3" i="1" s="1"/>
  <c r="AV3" i="1" s="1"/>
  <c r="AT2" i="1"/>
  <c r="AU2" i="1" s="1"/>
  <c r="AV2" i="1" s="1"/>
  <c r="J265" i="1"/>
  <c r="J249" i="1"/>
  <c r="J241" i="1"/>
  <c r="J240" i="1"/>
  <c r="J239" i="1"/>
  <c r="J238" i="1"/>
  <c r="J237" i="1"/>
  <c r="J202" i="1"/>
  <c r="J200" i="1"/>
  <c r="J146" i="1"/>
  <c r="J145" i="1"/>
  <c r="J77" i="1"/>
  <c r="J78" i="1"/>
  <c r="J98" i="1"/>
  <c r="J180" i="1"/>
  <c r="T60" i="5"/>
  <c r="T57" i="5" l="1"/>
  <c r="T55" i="5" l="1"/>
  <c r="T50" i="5"/>
  <c r="T48" i="5" l="1"/>
  <c r="T29" i="5"/>
  <c r="T45" i="5"/>
  <c r="T43" i="5"/>
  <c r="T42" i="5"/>
  <c r="T41" i="5"/>
  <c r="T36" i="5" l="1"/>
  <c r="T34" i="5"/>
  <c r="T33" i="5"/>
  <c r="T32" i="5"/>
  <c r="T31" i="5"/>
  <c r="T30" i="5"/>
  <c r="T27" i="5"/>
  <c r="T26" i="5"/>
  <c r="T24" i="5"/>
  <c r="S56" i="5"/>
  <c r="S50" i="5"/>
  <c r="S49" i="5"/>
  <c r="S48" i="5"/>
  <c r="S47" i="5"/>
  <c r="S46" i="5"/>
  <c r="S45" i="5"/>
  <c r="S44" i="5"/>
  <c r="S43" i="5"/>
  <c r="S42" i="5"/>
  <c r="S41" i="5"/>
  <c r="S40" i="5"/>
  <c r="S39" i="5"/>
  <c r="S38" i="5"/>
  <c r="S37" i="5"/>
  <c r="S36" i="5"/>
  <c r="S35" i="5"/>
  <c r="S34" i="5"/>
  <c r="S31" i="5"/>
  <c r="S30" i="5"/>
  <c r="S29" i="5"/>
  <c r="S28" i="5"/>
  <c r="S25" i="5"/>
  <c r="S24" i="5"/>
  <c r="T49" i="5"/>
  <c r="U49" i="5"/>
  <c r="T46" i="5"/>
  <c r="U46" i="5"/>
  <c r="V46" i="5"/>
  <c r="T37" i="5"/>
  <c r="T38" i="5"/>
  <c r="U38" i="5"/>
  <c r="V38" i="5"/>
  <c r="T39" i="5"/>
  <c r="U39" i="5"/>
  <c r="V39" i="5"/>
  <c r="AR2" i="1"/>
  <c r="AR64" i="1"/>
  <c r="AR91" i="1"/>
  <c r="AR98" i="1"/>
  <c r="AR108" i="1"/>
  <c r="AR110" i="1"/>
  <c r="AR123" i="1"/>
  <c r="AR152" i="1"/>
  <c r="AR153" i="1"/>
  <c r="J223" i="1"/>
  <c r="AR223" i="1"/>
  <c r="AR228" i="1"/>
  <c r="AR280" i="1"/>
  <c r="AR289" i="1"/>
  <c r="AR300" i="1"/>
  <c r="AR10" i="1"/>
  <c r="AR62" i="1"/>
  <c r="AR88" i="1"/>
  <c r="AR63" i="1"/>
  <c r="AR264" i="1"/>
  <c r="AR302" i="1"/>
  <c r="AR3" i="1"/>
  <c r="AR5" i="1"/>
  <c r="AR6" i="1"/>
  <c r="AR7" i="1"/>
  <c r="AR8" i="1"/>
  <c r="AR11" i="1"/>
  <c r="AR12" i="1"/>
  <c r="AR13" i="1"/>
  <c r="AR15" i="1"/>
  <c r="AR16" i="1"/>
  <c r="AR17" i="1"/>
  <c r="AR18" i="1"/>
  <c r="AR20" i="1"/>
  <c r="AR21" i="1"/>
  <c r="AR19" i="1"/>
  <c r="AR22" i="1"/>
  <c r="AR23" i="1"/>
  <c r="AR24" i="1"/>
  <c r="AR25" i="1"/>
  <c r="AR26" i="1"/>
  <c r="AR28" i="1"/>
  <c r="AR29" i="1"/>
  <c r="AR30" i="1"/>
  <c r="AR31" i="1"/>
  <c r="AR33" i="1"/>
  <c r="AR34" i="1"/>
  <c r="AR35" i="1"/>
  <c r="AR41" i="1"/>
  <c r="AR42" i="1"/>
  <c r="AR43" i="1"/>
  <c r="AR44" i="1"/>
  <c r="AR45" i="1"/>
  <c r="AR49" i="1"/>
  <c r="AR50" i="1"/>
  <c r="AR48" i="1"/>
  <c r="AR51" i="1"/>
  <c r="AR53" i="1"/>
  <c r="AR55" i="1"/>
  <c r="AR54" i="1"/>
  <c r="AR56" i="1"/>
  <c r="AR58" i="1"/>
  <c r="AR59" i="1"/>
  <c r="AR60" i="1"/>
  <c r="AR61" i="1"/>
  <c r="AR57" i="1"/>
  <c r="AR262" i="1"/>
  <c r="AR65" i="1"/>
  <c r="AR66" i="1"/>
  <c r="AR67" i="1"/>
  <c r="AR68" i="1"/>
  <c r="AR69" i="1"/>
  <c r="AR70" i="1"/>
  <c r="AR71" i="1"/>
  <c r="AR72" i="1"/>
  <c r="AR76" i="1"/>
  <c r="AR77" i="1"/>
  <c r="AR78" i="1"/>
  <c r="AR79" i="1"/>
  <c r="AR80" i="1"/>
  <c r="AR83" i="1"/>
  <c r="AR82" i="1"/>
  <c r="AR85" i="1"/>
  <c r="AR86" i="1"/>
  <c r="AR87" i="1"/>
  <c r="AR89" i="1"/>
  <c r="AR90" i="1"/>
  <c r="AR93" i="1"/>
  <c r="AR94" i="1"/>
  <c r="AR99" i="1"/>
  <c r="AR100" i="1"/>
  <c r="AR101" i="1"/>
  <c r="AR102" i="1"/>
  <c r="AR103" i="1"/>
  <c r="AR104" i="1"/>
  <c r="AR106" i="1"/>
  <c r="AR105" i="1"/>
  <c r="AR107" i="1"/>
  <c r="AR109" i="1"/>
  <c r="AR111" i="1"/>
  <c r="AR112" i="1"/>
  <c r="AR113" i="1"/>
  <c r="AR114" i="1"/>
  <c r="AR115" i="1"/>
  <c r="AR116" i="1"/>
  <c r="AR117" i="1"/>
  <c r="AR118" i="1"/>
  <c r="AR119" i="1"/>
  <c r="AR120" i="1"/>
  <c r="AR121" i="1"/>
  <c r="AR122" i="1"/>
  <c r="AR124" i="1"/>
  <c r="AS124" i="1"/>
  <c r="AR126" i="1"/>
  <c r="AR127" i="1"/>
  <c r="AR128" i="1"/>
  <c r="AR129" i="1"/>
  <c r="AR130" i="1"/>
  <c r="AR131" i="1"/>
  <c r="AR132" i="1"/>
  <c r="AR133" i="1"/>
  <c r="AR134" i="1"/>
  <c r="AR135" i="1"/>
  <c r="AR136" i="1"/>
  <c r="AR138" i="1"/>
  <c r="AR139" i="1"/>
  <c r="AR141" i="1"/>
  <c r="AR142" i="1"/>
  <c r="AR143" i="1"/>
  <c r="AR145" i="1"/>
  <c r="AR146" i="1"/>
  <c r="AR147" i="1"/>
  <c r="AR148" i="1"/>
  <c r="AR149" i="1"/>
  <c r="AR150" i="1"/>
  <c r="AR151" i="1"/>
  <c r="AR155" i="1"/>
  <c r="AR156" i="1"/>
  <c r="AR157" i="1"/>
  <c r="AR159" i="1"/>
  <c r="AR160" i="1"/>
  <c r="AR164" i="1"/>
  <c r="AR166" i="1"/>
  <c r="AR167" i="1"/>
  <c r="AR168" i="1"/>
  <c r="AR169" i="1"/>
  <c r="AR170" i="1"/>
  <c r="AR171" i="1"/>
  <c r="AR172" i="1"/>
  <c r="AR173" i="1"/>
  <c r="AR174" i="1"/>
  <c r="AR175" i="1"/>
  <c r="AR176" i="1"/>
  <c r="AR177" i="1"/>
  <c r="AR179" i="1"/>
  <c r="AR180" i="1"/>
  <c r="AR181" i="1"/>
  <c r="AR182" i="1"/>
  <c r="AR183" i="1"/>
  <c r="AR184" i="1"/>
  <c r="AR185" i="1"/>
  <c r="AR186" i="1"/>
  <c r="AR187" i="1"/>
  <c r="AR188" i="1"/>
  <c r="AR189" i="1"/>
  <c r="AR190" i="1"/>
  <c r="AR191" i="1"/>
  <c r="AR192" i="1"/>
  <c r="AR193" i="1"/>
  <c r="AR199" i="1"/>
  <c r="AR198" i="1"/>
  <c r="AR197" i="1"/>
  <c r="AR196" i="1"/>
  <c r="AR195" i="1"/>
  <c r="AR194" i="1"/>
  <c r="AR200" i="1"/>
  <c r="AR201" i="1"/>
  <c r="AR202" i="1"/>
  <c r="AR203" i="1"/>
  <c r="AR204" i="1"/>
  <c r="AR206" i="1"/>
  <c r="AR205" i="1"/>
  <c r="AR208" i="1"/>
  <c r="AR209" i="1"/>
  <c r="AR207" i="1"/>
  <c r="AR210" i="1"/>
  <c r="AR211" i="1"/>
  <c r="AR212" i="1"/>
  <c r="AR213" i="1"/>
  <c r="AR214" i="1"/>
  <c r="AR215" i="1"/>
  <c r="AR216" i="1"/>
  <c r="AR217" i="1"/>
  <c r="AR218" i="1"/>
  <c r="AR222" i="1"/>
  <c r="AR221" i="1"/>
  <c r="AR220" i="1"/>
  <c r="AR219" i="1"/>
  <c r="AR224" i="1"/>
  <c r="AR225" i="1"/>
  <c r="AR226" i="1"/>
  <c r="AR227" i="1"/>
  <c r="AR229" i="1"/>
  <c r="AR230" i="1"/>
  <c r="AR231" i="1"/>
  <c r="AR232" i="1"/>
  <c r="AR233" i="1"/>
  <c r="AR235" i="1"/>
  <c r="AR236" i="1"/>
  <c r="AR241" i="1"/>
  <c r="AR240" i="1"/>
  <c r="AR239" i="1"/>
  <c r="AR238" i="1"/>
  <c r="AR237" i="1"/>
  <c r="AR242" i="1"/>
  <c r="AR247" i="1"/>
  <c r="AR245" i="1"/>
  <c r="AR246" i="1"/>
  <c r="AR243" i="1"/>
  <c r="AR244" i="1"/>
  <c r="AR248" i="1"/>
  <c r="AR286" i="1"/>
  <c r="AS275" i="1"/>
  <c r="AR249" i="1"/>
  <c r="AR250" i="1"/>
  <c r="AR251" i="1"/>
  <c r="AR252" i="1"/>
  <c r="AR254" i="1"/>
  <c r="AR255" i="1"/>
  <c r="AR256" i="1"/>
  <c r="AR257" i="1"/>
  <c r="AR261" i="1"/>
  <c r="AR265" i="1"/>
  <c r="AR266" i="1"/>
  <c r="AR267" i="1"/>
  <c r="AR268" i="1"/>
  <c r="AR269" i="1"/>
  <c r="AR270" i="1"/>
  <c r="AR271" i="1"/>
  <c r="AR272" i="1"/>
  <c r="AR273" i="1"/>
  <c r="AR274" i="1"/>
  <c r="AR275" i="1"/>
  <c r="AR276" i="1"/>
  <c r="AR279" i="1"/>
  <c r="AR278" i="1"/>
  <c r="AR277" i="1"/>
  <c r="AR293" i="1"/>
  <c r="AR281" i="1"/>
  <c r="AR282" i="1"/>
  <c r="AR283" i="1"/>
  <c r="AR284" i="1"/>
  <c r="AR287" i="1"/>
  <c r="AR290" i="1"/>
  <c r="AR291" i="1"/>
  <c r="AR292" i="1"/>
  <c r="AR295" i="1"/>
  <c r="AR294" i="1"/>
  <c r="AR296" i="1"/>
  <c r="AR299" i="1"/>
  <c r="AR301" i="1"/>
  <c r="AR303" i="1"/>
  <c r="AR309" i="1"/>
  <c r="AR308" i="1"/>
  <c r="AR307" i="1"/>
  <c r="AR306" i="1"/>
  <c r="AR305" i="1"/>
  <c r="AR304" i="1"/>
  <c r="T17" i="5"/>
  <c r="T14" i="5"/>
  <c r="T13" i="5"/>
  <c r="T12" i="5"/>
  <c r="T11" i="5"/>
  <c r="T10" i="5"/>
  <c r="T8" i="5"/>
  <c r="T6" i="5"/>
  <c r="T7" i="5"/>
  <c r="T3" i="5"/>
  <c r="T5" i="5"/>
  <c r="T4" i="5"/>
  <c r="J160" i="1"/>
  <c r="J159" i="1"/>
  <c r="J157" i="1"/>
  <c r="J156" i="1"/>
  <c r="J155" i="1"/>
  <c r="J154" i="1"/>
  <c r="J153" i="1"/>
  <c r="J151" i="1"/>
  <c r="J125" i="1"/>
  <c r="J123" i="1"/>
  <c r="J122" i="1"/>
  <c r="J121" i="1"/>
  <c r="J120" i="1"/>
  <c r="J119" i="1"/>
  <c r="J118" i="1"/>
  <c r="J117" i="1"/>
  <c r="J116" i="1"/>
  <c r="J115" i="1"/>
  <c r="J114" i="1"/>
  <c r="J113" i="1"/>
  <c r="J112" i="1"/>
  <c r="J111" i="1"/>
  <c r="J110" i="1"/>
  <c r="J107" i="1"/>
  <c r="J18" i="1"/>
  <c r="J17" i="1"/>
  <c r="J16" i="1"/>
  <c r="J15" i="1"/>
  <c r="J13" i="1"/>
  <c r="J12" i="1"/>
  <c r="J11" i="1"/>
  <c r="J10" i="1"/>
  <c r="J9" i="1"/>
  <c r="J8" i="1"/>
  <c r="J7" i="1"/>
  <c r="J5" i="1"/>
  <c r="J6" i="1"/>
  <c r="J4" i="1"/>
  <c r="J3" i="1"/>
  <c r="W622" i="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3" i="1"/>
  <c r="W301" i="1"/>
  <c r="W300" i="1"/>
  <c r="W299" i="1"/>
  <c r="W298" i="1"/>
  <c r="W297" i="1"/>
  <c r="W296" i="1"/>
  <c r="W295" i="1"/>
  <c r="W294" i="1"/>
  <c r="W293" i="1"/>
  <c r="W292" i="1"/>
  <c r="W291" i="1"/>
  <c r="W290" i="1"/>
  <c r="W289" i="1"/>
  <c r="W288" i="1"/>
  <c r="W287" i="1"/>
  <c r="W286" i="1"/>
  <c r="W285" i="1"/>
  <c r="W284" i="1"/>
  <c r="W283" i="1"/>
  <c r="W282" i="1"/>
  <c r="W280" i="1"/>
  <c r="W279" i="1"/>
  <c r="W278" i="1"/>
  <c r="W277" i="1"/>
  <c r="W276" i="1"/>
  <c r="W275" i="1"/>
  <c r="W274" i="1"/>
  <c r="W273" i="1"/>
  <c r="W272" i="1"/>
  <c r="W271" i="1"/>
  <c r="W270" i="1"/>
  <c r="W269" i="1"/>
  <c r="W268" i="1"/>
  <c r="W267" i="1"/>
  <c r="W266" i="1"/>
  <c r="W263" i="1"/>
  <c r="W262" i="1"/>
  <c r="W261" i="1"/>
  <c r="W260" i="1"/>
  <c r="W259" i="1"/>
  <c r="W258" i="1"/>
  <c r="W257" i="1"/>
  <c r="W256" i="1"/>
  <c r="W255" i="1"/>
  <c r="W254" i="1"/>
  <c r="W253" i="1"/>
  <c r="W252" i="1"/>
  <c r="W251" i="1"/>
  <c r="W250" i="1"/>
  <c r="W248" i="1"/>
  <c r="W247" i="1"/>
  <c r="W246" i="1"/>
  <c r="W245" i="1"/>
  <c r="W244" i="1"/>
  <c r="W243" i="1"/>
  <c r="W242" i="1"/>
  <c r="W236" i="1"/>
  <c r="W235" i="1"/>
  <c r="W234" i="1"/>
  <c r="W233" i="1"/>
  <c r="W232" i="1"/>
  <c r="W231" i="1"/>
  <c r="W230" i="1"/>
  <c r="W229" i="1"/>
  <c r="W228" i="1"/>
  <c r="W227" i="1"/>
  <c r="W226" i="1"/>
  <c r="W225" i="1"/>
  <c r="W224" i="1"/>
  <c r="W222" i="1"/>
  <c r="W221" i="1"/>
  <c r="W220" i="1"/>
  <c r="W219" i="1"/>
  <c r="W218" i="1"/>
  <c r="W217" i="1"/>
  <c r="W216" i="1"/>
  <c r="W215" i="1"/>
  <c r="W214" i="1"/>
  <c r="W213" i="1"/>
  <c r="W212" i="1"/>
  <c r="W211" i="1"/>
  <c r="W210" i="1"/>
  <c r="W209" i="1"/>
  <c r="W208" i="1"/>
  <c r="W207" i="1"/>
  <c r="W206" i="1"/>
  <c r="W205" i="1"/>
  <c r="W191" i="1"/>
  <c r="W190" i="1"/>
  <c r="W189" i="1"/>
  <c r="W188" i="1"/>
  <c r="W187" i="1"/>
  <c r="W186" i="1"/>
  <c r="W185" i="1"/>
  <c r="W184" i="1"/>
  <c r="W183" i="1"/>
  <c r="W182" i="1"/>
  <c r="W175" i="1"/>
  <c r="W174" i="1"/>
  <c r="W173" i="1"/>
  <c r="W172" i="1"/>
  <c r="W171" i="1"/>
  <c r="W170" i="1"/>
  <c r="W169" i="1"/>
  <c r="W168" i="1"/>
  <c r="W167" i="1"/>
  <c r="W166" i="1"/>
  <c r="W165" i="1"/>
  <c r="W164" i="1"/>
  <c r="W163" i="1"/>
  <c r="W162" i="1"/>
  <c r="W161" i="1"/>
  <c r="W158" i="1"/>
  <c r="W152" i="1"/>
  <c r="W147" i="1"/>
  <c r="W108" i="1"/>
  <c r="W104" i="1"/>
  <c r="W94" i="1"/>
  <c r="W90" i="1"/>
  <c r="W14"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04" i="1"/>
  <c r="J203" i="1"/>
  <c r="J201" i="1"/>
  <c r="J199" i="1"/>
  <c r="J198" i="1"/>
  <c r="J197" i="1"/>
  <c r="J196" i="1"/>
  <c r="J195" i="1"/>
  <c r="J194" i="1"/>
  <c r="J193" i="1"/>
  <c r="J192" i="1"/>
  <c r="J181" i="1"/>
  <c r="J179" i="1"/>
  <c r="J178" i="1"/>
  <c r="J177" i="1"/>
  <c r="J176" i="1"/>
  <c r="J150" i="1"/>
  <c r="J149" i="1"/>
  <c r="J148" i="1"/>
  <c r="J144" i="1"/>
  <c r="J143" i="1"/>
  <c r="J141" i="1"/>
  <c r="J140" i="1"/>
  <c r="J139" i="1"/>
  <c r="J138" i="1"/>
  <c r="J137" i="1"/>
  <c r="J136" i="1"/>
  <c r="J135" i="1"/>
  <c r="J134" i="1"/>
  <c r="J131" i="1"/>
  <c r="J126" i="1"/>
  <c r="J106" i="1"/>
  <c r="J105" i="1"/>
  <c r="J103" i="1"/>
  <c r="J102" i="1"/>
  <c r="J101" i="1"/>
  <c r="J100" i="1"/>
  <c r="J99"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c r="J81" i="1"/>
  <c r="J80" i="1"/>
  <c r="J79" i="1"/>
  <c r="J75" i="1"/>
  <c r="J74" i="1"/>
  <c r="J72" i="1"/>
  <c r="J69" i="1"/>
  <c r="J76" i="1"/>
  <c r="J68" i="1"/>
  <c r="J67" i="1"/>
  <c r="J65" i="1"/>
  <c r="J63" i="1"/>
  <c r="J62" i="1"/>
  <c r="J61" i="1"/>
  <c r="J60" i="1"/>
  <c r="J59" i="1"/>
  <c r="J58" i="1"/>
  <c r="J73" i="1"/>
  <c r="J70" i="1"/>
  <c r="J64" i="1"/>
  <c r="J57" i="1"/>
  <c r="J66" i="1"/>
  <c r="J71" i="1"/>
  <c r="J34" i="1"/>
  <c r="J33" i="1"/>
  <c r="J32" i="1"/>
  <c r="J31" i="1"/>
  <c r="J281" i="1"/>
  <c r="J30" i="1"/>
  <c r="J29" i="1"/>
  <c r="J538" i="1"/>
  <c r="J305" i="1"/>
  <c r="J304" i="1"/>
  <c r="J302" i="1"/>
  <c r="J26" i="1"/>
  <c r="J25" i="1"/>
  <c r="J23" i="1"/>
  <c r="J22" i="1"/>
  <c r="J20" i="1"/>
  <c r="W538" i="1" l="1"/>
  <c r="W25" i="1"/>
  <c r="W65" i="1"/>
  <c r="W2" i="1"/>
  <c r="W18" i="1"/>
  <c r="W42" i="1"/>
  <c r="W58" i="1"/>
  <c r="W74" i="1"/>
  <c r="W122" i="1"/>
  <c r="W3" i="1"/>
  <c r="W11" i="1"/>
  <c r="W19" i="1"/>
  <c r="W27" i="1"/>
  <c r="W35" i="1"/>
  <c r="W43" i="1"/>
  <c r="W51" i="1"/>
  <c r="W59" i="1"/>
  <c r="W67" i="1"/>
  <c r="W75" i="1"/>
  <c r="W83" i="1"/>
  <c r="W91" i="1"/>
  <c r="W99" i="1"/>
  <c r="W107" i="1"/>
  <c r="W115" i="1"/>
  <c r="W123" i="1"/>
  <c r="W131" i="1"/>
  <c r="W139" i="1"/>
  <c r="W155" i="1"/>
  <c r="W179" i="1"/>
  <c r="W195" i="1"/>
  <c r="W203" i="1"/>
  <c r="W4" i="1"/>
  <c r="W12" i="1"/>
  <c r="W20" i="1"/>
  <c r="W28" i="1"/>
  <c r="W36" i="1"/>
  <c r="W44" i="1"/>
  <c r="W52" i="1"/>
  <c r="W60" i="1"/>
  <c r="W68" i="1"/>
  <c r="W76" i="1"/>
  <c r="W84" i="1"/>
  <c r="W92" i="1"/>
  <c r="W100" i="1"/>
  <c r="W116" i="1"/>
  <c r="W124" i="1"/>
  <c r="W132" i="1"/>
  <c r="W140" i="1"/>
  <c r="W148" i="1"/>
  <c r="W156" i="1"/>
  <c r="W180" i="1"/>
  <c r="W196" i="1"/>
  <c r="W204" i="1"/>
  <c r="W13" i="1"/>
  <c r="W37" i="1"/>
  <c r="W45" i="1"/>
  <c r="W69" i="1"/>
  <c r="W77" i="1"/>
  <c r="W85" i="1"/>
  <c r="W93" i="1"/>
  <c r="W101" i="1"/>
  <c r="W109" i="1"/>
  <c r="W117" i="1"/>
  <c r="W125" i="1"/>
  <c r="W133" i="1"/>
  <c r="W141" i="1"/>
  <c r="W149" i="1"/>
  <c r="W157" i="1"/>
  <c r="W181" i="1"/>
  <c r="W197" i="1"/>
  <c r="W237" i="1"/>
  <c r="W21" i="1"/>
  <c r="W53" i="1"/>
  <c r="W6" i="1"/>
  <c r="W22" i="1"/>
  <c r="W38" i="1"/>
  <c r="W54" i="1"/>
  <c r="W70" i="1"/>
  <c r="W86" i="1"/>
  <c r="W102" i="1"/>
  <c r="W110" i="1"/>
  <c r="W118" i="1"/>
  <c r="W134" i="1"/>
  <c r="W142" i="1"/>
  <c r="W150" i="1"/>
  <c r="W198" i="1"/>
  <c r="W238" i="1"/>
  <c r="W302" i="1"/>
  <c r="W5" i="1"/>
  <c r="W29" i="1"/>
  <c r="W61" i="1"/>
  <c r="W30" i="1"/>
  <c r="W46" i="1"/>
  <c r="W62" i="1"/>
  <c r="W78" i="1"/>
  <c r="W126" i="1"/>
  <c r="W7" i="1"/>
  <c r="W15" i="1"/>
  <c r="W23" i="1"/>
  <c r="W31" i="1"/>
  <c r="W39" i="1"/>
  <c r="W47" i="1"/>
  <c r="W55" i="1"/>
  <c r="W63" i="1"/>
  <c r="W71" i="1"/>
  <c r="W79" i="1"/>
  <c r="W87" i="1"/>
  <c r="W95" i="1"/>
  <c r="W103" i="1"/>
  <c r="W111" i="1"/>
  <c r="W119" i="1"/>
  <c r="W127" i="1"/>
  <c r="W135" i="1"/>
  <c r="W143" i="1"/>
  <c r="W151" i="1"/>
  <c r="W159" i="1"/>
  <c r="W199" i="1"/>
  <c r="W223" i="1"/>
  <c r="W239" i="1"/>
  <c r="W8" i="1"/>
  <c r="W16" i="1"/>
  <c r="W24" i="1"/>
  <c r="W32" i="1"/>
  <c r="W40" i="1"/>
  <c r="W48" i="1"/>
  <c r="W56" i="1"/>
  <c r="W64" i="1"/>
  <c r="W72" i="1"/>
  <c r="W80" i="1"/>
  <c r="W88" i="1"/>
  <c r="W96" i="1"/>
  <c r="W112" i="1"/>
  <c r="W120" i="1"/>
  <c r="W128" i="1"/>
  <c r="W136" i="1"/>
  <c r="W144" i="1"/>
  <c r="W160" i="1"/>
  <c r="W176" i="1"/>
  <c r="W192" i="1"/>
  <c r="W200" i="1"/>
  <c r="W240" i="1"/>
  <c r="W264" i="1"/>
  <c r="W304" i="1"/>
  <c r="W9" i="1"/>
  <c r="W33" i="1"/>
  <c r="W41" i="1"/>
  <c r="W49" i="1"/>
  <c r="W73" i="1"/>
  <c r="W81" i="1"/>
  <c r="W89" i="1"/>
  <c r="W97" i="1"/>
  <c r="W105" i="1"/>
  <c r="W113" i="1"/>
  <c r="W121" i="1"/>
  <c r="W129" i="1"/>
  <c r="W137" i="1"/>
  <c r="W145" i="1"/>
  <c r="W153" i="1"/>
  <c r="W177" i="1"/>
  <c r="W193" i="1"/>
  <c r="W201" i="1"/>
  <c r="W241" i="1"/>
  <c r="W249" i="1"/>
  <c r="W265" i="1"/>
  <c r="W281" i="1"/>
  <c r="W305" i="1"/>
  <c r="W17" i="1"/>
  <c r="W57" i="1"/>
  <c r="W10" i="1"/>
  <c r="W26" i="1"/>
  <c r="W34" i="1"/>
  <c r="W50" i="1"/>
  <c r="W66" i="1"/>
  <c r="W82" i="1"/>
  <c r="W98" i="1"/>
  <c r="W106" i="1"/>
  <c r="W114" i="1"/>
  <c r="W130" i="1"/>
  <c r="W138" i="1"/>
  <c r="W146" i="1"/>
  <c r="W154" i="1"/>
  <c r="W178" i="1"/>
  <c r="W194" i="1"/>
  <c r="W202"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<sst xmlns="http://schemas.openxmlformats.org/spreadsheetml/2006/main" count="7328" uniqueCount="2502">
  <si>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</si>
  <si>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</si>
  <si>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</si>
  <si>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</si>
  <si>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</si>
  <si>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</si>
  <si>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</si>
  <si>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</si>
  <si>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</si>
  <si>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</si>
  <si>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</si>
  <si>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</si>
  <si>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</si>
  <si>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</si>
  <si>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</si>
  <si>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</si>
  <si>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</si>
  <si>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</si>
  <si>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</si>
  <si>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</si>
  <si>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</si>
  <si>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</si>
  <si>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</si>
  <si>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</si>
  <si>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</si>
  <si>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</si>
  <si>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</si>
  <si>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</si>
  <si>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</si>
  <si>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</si>
  <si>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</si>
  <si>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</si>
  <si>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</si>
  <si>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</si>
  <si>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</si>
  <si>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</si>
  <si>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</si>
  <si>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</si>
  <si>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</si>
  <si>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</si>
  <si>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</si>
  <si>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</si>
  <si>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</si>
  <si>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</si>
  <si>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</si>
  <si>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</si>
  <si>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</si>
  <si>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</si>
  <si>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</si>
  <si>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</si>
  <si>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</si>
  <si>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</si>
  <si>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</si>
  <si>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</si>
  <si>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</si>
  <si>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</si>
  <si>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</si>
  <si>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</si>
  <si>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</si>
  <si>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</si>
  <si>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</si>
  <si>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</si>
  <si>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</si>
  <si>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</si>
  <si>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</si>
  <si>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</si>
  <si>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</si>
  <si>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</si>
  <si>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</si>
  <si>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</si>
  <si>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</si>
  <si>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</si>
  <si>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</si>
  <si>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</si>
  <si>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</si>
  <si>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</si>
  <si>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</si>
  <si>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</si>
  <si>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</si>
  <si>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</si>
  <si>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</si>
  <si>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</si>
  <si>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</si>
  <si>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</si>
  <si>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</si>
  <si>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</si>
  <si>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</si>
  <si>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</si>
  <si>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</si>
  <si>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</si>
  <si>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</si>
  <si>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</si>
  <si>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</si>
  <si>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</si>
  <si>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</si>
  <si>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</si>
  <si>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</si>
  <si>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</si>
  <si>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</si>
  <si>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</si>
  <si>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</si>
  <si>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</si>
  <si>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</si>
  <si>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</si>
  <si>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</si>
  <si>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</si>
  <si>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</si>
  <si>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</si>
  <si>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</si>
  <si>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</si>
  <si>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</si>
  <si>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</si>
  <si>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</si>
  <si>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</si>
  <si>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</si>
  <si>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</si>
  <si>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</si>
  <si>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</si>
  <si>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</si>
  <si>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</si>
  <si>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</si>
  <si>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</si>
  <si>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</si>
  <si>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</si>
  <si>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</si>
  <si>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</si>
  <si>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</si>
  <si>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</si>
  <si>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</si>
  <si>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</si>
  <si>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</si>
  <si>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</si>
  <si>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</si>
  <si>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</si>
  <si>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</si>
  <si>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</si>
  <si>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</si>
  <si>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</si>
  <si>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</si>
  <si>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</si>
  <si>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</si>
  <si>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</si>
  <si>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</si>
  <si>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</si>
  <si>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</si>
  <si>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</si>
  <si>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</si>
  <si>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</si>
  <si>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</si>
  <si>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</si>
  <si>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</si>
  <si>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</si>
  <si>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</si>
  <si>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</si>
  <si>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</si>
  <si>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</si>
  <si>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</si>
  <si>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</si>
  <si>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</si>
  <si>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</si>
  <si>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</si>
  <si>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</si>
  <si>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</si>
  <si>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</si>
  <si>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</si>
  <si>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</si>
  <si>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</si>
  <si>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</si>
  <si>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</si>
  <si>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</si>
  <si>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</si>
  <si>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</si>
  <si>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</si>
  <si>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</si>
  <si>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</si>
  <si>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</si>
  <si>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</si>
  <si>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</si>
  <si>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</si>
  <si>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</si>
  <si>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</si>
  <si>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</si>
  <si>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</si>
  <si>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</si>
  <si>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</si>
  <si>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</si>
  <si>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</si>
  <si>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</si>
  <si>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</si>
  <si>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</si>
  <si>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</si>
  <si>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</si>
  <si>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</si>
  <si>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</si>
  <si>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</si>
  <si>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</si>
  <si>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</si>
  <si>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</si>
  <si>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</si>
  <si>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</si>
  <si>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</si>
  <si>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</si>
  <si>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</si>
  <si>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</si>
  <si>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</si>
  <si>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</si>
  <si>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</si>
  <si>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</si>
  <si>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</si>
  <si>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</si>
  <si>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</si>
  <si>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</si>
  <si>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</si>
  <si>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</si>
  <si>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</si>
  <si>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</si>
  <si>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</si>
  <si>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</si>
  <si>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</si>
  <si>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</si>
  <si>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</si>
  <si>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</si>
  <si>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</si>
  <si>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</si>
  <si>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</si>
  <si>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</si>
  <si>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</si>
  <si>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</si>
  <si>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</si>
  <si>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</si>
  <si>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</si>
  <si>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</si>
  <si>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</si>
  <si>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</si>
  <si>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</si>
  <si>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</si>
  <si>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</si>
  <si>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</si>
  <si>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</si>
  <si>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</si>
  <si>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</si>
  <si>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</si>
  <si>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</si>
  <si>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</si>
  <si>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</si>
  <si>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</si>
  <si>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</si>
  <si>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</si>
  <si>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</si>
  <si>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</si>
  <si>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</si>
  <si>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</si>
  <si>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</si>
  <si>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</si>
  <si>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</si>
  <si>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</si>
  <si>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</si>
  <si>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</si>
  <si>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</si>
  <si>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</si>
  <si>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</si>
  <si>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</si>
  <si>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</si>
  <si>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</si>
  <si>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</si>
  <si>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</si>
  <si>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</si>
  <si>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</si>
  <si>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</si>
  <si>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</si>
  <si>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</si>
  <si>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</si>
  <si>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</si>
  <si>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</si>
  <si>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</si>
  <si>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</si>
  <si>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</si>
  <si>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</si>
  <si>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</si>
  <si>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</si>
  <si>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</si>
  <si>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</si>
  <si>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</si>
  <si>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</si>
  <si>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</si>
  <si>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</si>
  <si>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</si>
  <si>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</si>
  <si>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</si>
  <si>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</si>
  <si>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</si>
  <si>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</si>
  <si>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</si>
  <si>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</si>
  <si>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</si>
  <si>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</si>
  <si>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</si>
  <si>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</si>
  <si>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</si>
  <si>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</si>
  <si>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</si>
  <si>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</si>
  <si>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</si>
  <si>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</si>
  <si>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</si>
  <si>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</si>
  <si>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</si>
  <si>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</si>
  <si>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</si>
  <si>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</si>
  <si>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</si>
  <si>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</si>
  <si>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</si>
  <si>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</si>
  <si>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</si>
  <si>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</si>
  <si>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</si>
  <si>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</si>
  <si>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</si>
  <si>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</si>
  <si>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</si>
  <si>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</si>
  <si>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</si>
  <si>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</si>
  <si>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</si>
  <si>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</si>
  <si>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</si>
  <si>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</si>
  <si>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</si>
  <si>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</si>
  <si>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</si>
  <si>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</si>
  <si>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</si>
  <si>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</si>
  <si>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</si>
  <si>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</si>
  <si>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</si>
  <si>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</si>
  <si>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</si>
  <si>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</si>
  <si>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</si>
  <si>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</si>
  <si>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</si>
  <si>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</si>
  <si>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</si>
  <si>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</si>
  <si>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</si>
  <si>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</si>
  <si>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</si>
  <si>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</si>
  <si>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</si>
  <si>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</si>
  <si>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</si>
  <si>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</si>
  <si>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</si>
  <si>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</si>
  <si>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</si>
  <si>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</si>
  <si>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</si>
  <si>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</si>
  <si>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</si>
  <si>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</si>
  <si>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</si>
  <si>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</si>
  <si>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</si>
  <si>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</si>
  <si>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</si>
  <si>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</si>
  <si>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</si>
  <si>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</si>
  <si>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</si>
  <si>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</si>
  <si>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</si>
  <si>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</si>
  <si>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</si>
  <si>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</si>
  <si>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</si>
  <si>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</si>
  <si>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</si>
  <si>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</si>
  <si>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</si>
  <si>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</si>
  <si>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</si>
  <si>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</si>
  <si>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</si>
  <si>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</si>
  <si>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</si>
  <si>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</si>
  <si>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</si>
  <si>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</si>
  <si>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</si>
  <si>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</si>
  <si>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</si>
  <si>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</si>
  <si>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</si>
  <si>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</si>
  <si>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</si>
  <si>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</si>
  <si>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</si>
  <si>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</si>
  <si>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</si>
  <si>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</si>
  <si>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</si>
  <si>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</si>
  <si>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</si>
  <si>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</si>
  <si>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</si>
  <si>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</si>
  <si>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</si>
  <si>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</si>
  <si>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</si>
  <si>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</si>
  <si>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</si>
  <si>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</si>
  <si>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</si>
  <si>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</si>
  <si>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</si>
  <si>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</si>
  <si>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</si>
  <si>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</si>
  <si>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</si>
  <si>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</si>
  <si>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</si>
  <si>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</si>
  <si>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</si>
  <si>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</si>
  <si>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</si>
  <si>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</si>
  <si>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</si>
  <si>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</si>
  <si>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</si>
  <si>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</si>
  <si>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</si>
  <si>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</si>
  <si>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</si>
  <si>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</si>
  <si>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</si>
  <si>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</si>
  <si>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</si>
  <si>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</si>
  <si>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</si>
  <si>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</si>
  <si>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</si>
  <si>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</si>
  <si>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</si>
  <si>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</si>
  <si>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</si>
  <si>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</si>
  <si>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</si>
  <si>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</si>
  <si>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</si>
  <si>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</si>
  <si>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</si>
  <si>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</si>
  <si>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</si>
  <si>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</si>
  <si>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</si>
  <si>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</si>
  <si>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</si>
  <si>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</si>
  <si>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</si>
  <si>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</si>
  <si>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</si>
  <si>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</si>
  <si>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</si>
  <si>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</si>
  <si>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</si>
  <si>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</si>
  <si>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</si>
  <si>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</si>
  <si>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</si>
  <si>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</si>
  <si>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</si>
  <si>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</si>
  <si>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</si>
  <si>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</si>
  <si>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</si>
  <si>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</si>
  <si>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</si>
  <si>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</si>
  <si>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</si>
  <si>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</si>
  <si>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</si>
  <si>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</si>
  <si>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</si>
  <si>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</si>
  <si>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</si>
  <si>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</si>
  <si>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</si>
  <si>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</si>
  <si>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</si>
  <si>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</si>
  <si>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</si>
  <si>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</si>
  <si>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</si>
  <si>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</si>
  <si>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</si>
  <si>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</si>
  <si>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</si>
  <si>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</si>
  <si>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</si>
  <si>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</si>
  <si>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</si>
  <si>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</si>
  <si>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</si>
  <si>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</si>
  <si>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</si>
  <si>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</si>
  <si>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</si>
  <si>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</si>
  <si>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</si>
  <si>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</si>
  <si>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</si>
  <si>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</si>
  <si>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</si>
  <si>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</si>
  <si>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</si>
  <si>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</si>
  <si>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</si>
  <si>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</si>
  <si>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</si>
  <si>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</si>
  <si>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</si>
  <si>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</si>
  <si>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</si>
  <si>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</si>
  <si>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</si>
  <si>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</si>
  <si>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</si>
  <si>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</si>
  <si>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</si>
  <si>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</si>
  <si>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</si>
  <si>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</si>
  <si>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</si>
  <si>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</si>
  <si>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</si>
  <si>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</si>
  <si>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</si>
  <si>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</si>
  <si>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</si>
  <si>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</si>
  <si>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</si>
  <si>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</si>
  <si>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</si>
  <si>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</si>
  <si>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</si>
  <si>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</si>
  <si>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</si>
  <si>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</si>
  <si>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</si>
  <si>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</si>
  <si>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</si>
  <si>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</si>
  <si>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</si>
  <si>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</si>
  <si>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</si>
  <si>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</si>
  <si>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</si>
  <si>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</si>
  <si>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</si>
  <si>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</si>
  <si>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</si>
  <si>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</si>
  <si>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</si>
  <si>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</si>
  <si>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</si>
  <si>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</si>
  <si>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</si>
  <si>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</si>
  <si>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</si>
  <si>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</si>
  <si>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</si>
  <si>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</si>
  <si>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</si>
  <si>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</si>
  <si>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</si>
  <si>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</si>
  <si>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</si>
  <si>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</si>
  <si>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</si>
  <si>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</si>
  <si>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</si>
  <si>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</si>
  <si>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</si>
  <si>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</si>
  <si>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</si>
  <si>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</si>
  <si>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</si>
  <si>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</si>
  <si>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</si>
  <si>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</si>
  <si>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</si>
  <si>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</si>
  <si>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</si>
  <si>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</si>
  <si>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</si>
  <si>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</si>
  <si>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</si>
  <si>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</si>
  <si>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</si>
  <si>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</si>
  <si>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</si>
  <si>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</si>
  <si>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</si>
  <si>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</si>
  <si>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</si>
  <si>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</si>
  <si>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</si>
  <si>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</si>
  <si>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</si>
  <si>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</si>
  <si>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</si>
  <si>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</si>
  <si>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</si>
  <si>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</si>
  <si>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</si>
  <si>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</si>
  <si>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</si>
  <si>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</si>
  <si>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</si>
  <si>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</si>
  <si>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</si>
  <si>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</si>
  <si>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</si>
  <si>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</si>
  <si>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</si>
  <si>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</si>
  <si>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</si>
  <si>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</si>
  <si>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</si>
  <si>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</si>
  <si>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</si>
  <si>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</si>
  <si>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</si>
  <si>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</si>
  <si>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</si>
  <si>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</si>
  <si>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</si>
  <si>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</si>
  <si>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</si>
  <si>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</si>
  <si>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</si>
  <si>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</si>
  <si>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</si>
  <si>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</si>
  <si>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</si>
  <si>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</si>
  <si>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</si>
  <si>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</si>
  <si>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</si>
  <si>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</si>
  <si>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</si>
  <si>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</si>
  <si>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</si>
  <si>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</si>
  <si>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</si>
  <si>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</si>
  <si>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</si>
  <si>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</si>
  <si>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</si>
  <si>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</si>
  <si>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</si>
  <si>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</si>
  <si>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</si>
  <si>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</si>
  <si>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</si>
  <si>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</si>
  <si>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</si>
  <si>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</si>
  <si>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</si>
  <si>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</si>
  <si>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</si>
  <si>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</si>
  <si>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</si>
  <si>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</si>
  <si>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</si>
  <si>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</si>
  <si>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</si>
  <si>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</si>
  <si>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</si>
  <si>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</si>
  <si>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</si>
  <si>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</si>
  <si>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</si>
  <si>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</si>
  <si>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</si>
  <si>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</si>
  <si>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</si>
  <si>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</si>
  <si>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</si>
  <si>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</si>
  <si>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</si>
  <si>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</si>
  <si>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</si>
  <si>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</si>
  <si>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</si>
  <si>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</si>
  <si>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</si>
  <si>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</si>
  <si>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</si>
  <si>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</si>
  <si>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</si>
  <si>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</si>
  <si>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</si>
  <si>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</si>
  <si>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</si>
  <si>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</si>
  <si>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</si>
  <si>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</si>
  <si>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</si>
  <si>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</si>
  <si>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</si>
  <si>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</si>
  <si>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</si>
  <si>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</si>
  <si>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</si>
  <si>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</si>
  <si>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</si>
  <si>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</si>
  <si>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</si>
  <si>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</si>
  <si>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</si>
  <si>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</si>
  <si>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</si>
  <si>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</si>
  <si>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</si>
  <si>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</si>
  <si>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</si>
  <si>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</si>
  <si>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</si>
  <si>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</si>
  <si>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</si>
  <si>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</si>
  <si>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</si>
  <si>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</si>
  <si>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</si>
  <si>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</si>
  <si>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</si>
  <si>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</si>
  <si>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</si>
  <si>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</si>
  <si>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</si>
  <si>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</si>
  <si>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</si>
  <si>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</si>
  <si>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</si>
  <si>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</si>
  <si>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</si>
  <si>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</si>
  <si>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</si>
  <si>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</si>
  <si>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</si>
  <si>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</si>
  <si>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</si>
  <si>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</si>
  <si>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</si>
  <si>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</si>
  <si>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</si>
  <si>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</si>
  <si>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</si>
  <si>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</si>
  <si>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</si>
  <si>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</si>
  <si>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</si>
  <si>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</si>
  <si>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</si>
  <si>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</si>
  <si>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</si>
  <si>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</si>
  <si>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</si>
  <si>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</si>
  <si>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</si>
  <si>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</si>
  <si>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</si>
  <si>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</si>
  <si>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</si>
  <si>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</si>
  <si>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</si>
  <si>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</si>
  <si>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</si>
  <si>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</si>
  <si>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</si>
  <si>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</si>
  <si>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</si>
  <si>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</si>
  <si>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</si>
  <si>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</si>
  <si>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</si>
  <si>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</si>
  <si>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</si>
  <si>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</si>
  <si>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</si>
  <si>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</si>
  <si>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</si>
  <si>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</si>
  <si>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</si>
  <si>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</si>
  <si>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</si>
  <si>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</si>
  <si>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</si>
  <si>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</si>
  <si>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</si>
  <si>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</si>
  <si>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</si>
  <si>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</si>
  <si>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</si>
  <si>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</si>
  <si>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</si>
  <si>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</si>
  <si>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</si>
  <si>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</si>
  <si>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</si>
  <si>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</si>
  <si>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</si>
  <si>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</si>
  <si>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</si>
  <si>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</si>
  <si>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</si>
  <si>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</si>
  <si>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</si>
  <si>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</si>
  <si>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</si>
  <si>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</si>
  <si>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</si>
  <si>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</si>
  <si>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</si>
  <si>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</si>
  <si>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</si>
  <si>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</si>
  <si>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</si>
  <si>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</si>
  <si>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</si>
  <si>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</si>
  <si>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</si>
  <si>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</si>
  <si>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</si>
  <si>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</si>
  <si>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</si>
  <si>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</si>
  <si>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</si>
  <si>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</si>
  <si>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</si>
  <si>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</si>
  <si>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</si>
  <si>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</si>
  <si>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</si>
  <si>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</si>
  <si>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</si>
  <si>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</si>
  <si>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</si>
  <si>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</si>
  <si>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</si>
  <si>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</si>
  <si>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</si>
  <si>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</si>
  <si>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</si>
  <si>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</si>
  <si>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</si>
  <si>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</si>
  <si>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</si>
  <si>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</si>
  <si>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</si>
  <si>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</si>
  <si>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</si>
  <si>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</si>
  <si>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</si>
  <si>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</si>
  <si>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</si>
  <si>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</si>
  <si>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</si>
  <si>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</si>
  <si>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</si>
  <si>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</si>
  <si>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</si>
  <si>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</si>
  <si>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</si>
  <si>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</si>
  <si>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</si>
  <si>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</si>
  <si>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</si>
  <si>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</si>
  <si>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</si>
  <si>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</si>
  <si>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</si>
  <si>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</si>
  <si>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</si>
  <si>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</si>
  <si>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</si>
  <si>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</si>
  <si>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</si>
  <si>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</si>
  <si>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</si>
  <si>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</si>
  <si>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</si>
  <si>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</si>
  <si>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</si>
  <si>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</si>
  <si>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</si>
  <si>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</si>
  <si>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</si>
  <si>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</si>
  <si>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</si>
  <si>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</si>
  <si>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</si>
  <si>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</si>
  <si>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</si>
  <si>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</si>
  <si>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</si>
  <si>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</si>
  <si>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</si>
  <si>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</si>
  <si>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</si>
  <si>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</si>
  <si>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</si>
  <si>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</si>
  <si>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</si>
  <si>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</si>
  <si>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</si>
  <si>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</si>
  <si>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</si>
  <si>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</si>
  <si>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</si>
  <si>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</si>
  <si>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</si>
  <si>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</si>
  <si>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</si>
  <si>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</si>
  <si>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</si>
  <si>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</si>
  <si>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</si>
  <si>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</si>
  <si>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</si>
  <si>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</si>
  <si>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</si>
  <si>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</si>
  <si>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</si>
  <si>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</si>
  <si>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</si>
  <si>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</si>
  <si>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</si>
  <si>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</si>
  <si>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</si>
  <si>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</si>
  <si>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</si>
  <si>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</si>
  <si>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</si>
  <si>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</si>
  <si>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</si>
  <si>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</si>
  <si>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</si>
  <si>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</si>
  <si>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</si>
  <si>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</si>
  <si>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</si>
  <si>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</si>
  <si>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</si>
  <si>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</si>
  <si>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</si>
  <si>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</si>
  <si>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</si>
  <si>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</si>
  <si>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</si>
  <si>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</si>
  <si>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</si>
  <si>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</si>
  <si>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</si>
  <si>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</si>
  <si>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</si>
  <si>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</si>
  <si>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</si>
  <si>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</si>
  <si>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</si>
  <si>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</si>
  <si>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</si>
  <si>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</si>
  <si>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</si>
  <si>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</si>
  <si>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</si>
  <si>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</si>
  <si>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</si>
  <si>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</si>
  <si>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</si>
  <si>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</si>
  <si>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</si>
  <si>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</si>
  <si>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</si>
  <si>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</si>
  <si>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</si>
  <si>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</si>
  <si>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</si>
  <si>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</si>
  <si>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</si>
  <si>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</si>
  <si>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</si>
  <si>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</si>
  <si>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</si>
  <si>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</si>
  <si>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</si>
  <si>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</si>
  <si>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</si>
  <si>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</si>
  <si>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</si>
  <si>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</si>
  <si>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</si>
  <si>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</si>
  <si>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</si>
  <si>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</si>
  <si>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</si>
  <si>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</si>
  <si>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</si>
  <si>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</si>
  <si>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</si>
  <si>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</si>
  <si>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</si>
  <si>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</si>
  <si>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</si>
  <si>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</si>
  <si>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</si>
  <si>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</si>
  <si>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</si>
  <si>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</si>
  <si>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</si>
  <si>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</si>
  <si>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</si>
  <si>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</si>
  <si>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</si>
  <si>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</si>
  <si>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</si>
  <si>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</si>
  <si>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</si>
  <si>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</si>
  <si>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</si>
  <si>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</si>
  <si>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</si>
  <si>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</si>
  <si>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</si>
  <si>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</si>
  <si>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</si>
  <si>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</si>
  <si>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</si>
  <si>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</si>
  <si>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</si>
  <si>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</si>
  <si>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</si>
  <si>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</si>
  <si>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</si>
  <si>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</si>
  <si>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</si>
  <si>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</si>
  <si>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</si>
  <si>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</si>
  <si>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</si>
  <si>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</si>
  <si>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</si>
  <si>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</si>
  <si>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</si>
  <si>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</si>
  <si>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</si>
  <si>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</si>
  <si>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</si>
  <si>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</si>
  <si>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</si>
  <si>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</si>
  <si>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</si>
  <si>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</si>
  <si>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</si>
  <si>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</si>
  <si>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</si>
  <si>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</si>
  <si>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</si>
  <si>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</si>
  <si>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</si>
  <si>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</si>
  <si>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</si>
  <si>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</si>
  <si>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</si>
  <si>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</si>
  <si>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</si>
  <si>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</si>
  <si>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</si>
  <si>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</si>
  <si>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</si>
  <si>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</si>
  <si>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</si>
  <si>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</si>
  <si>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</si>
  <si>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</si>
  <si>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</si>
  <si>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</si>
  <si>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</si>
  <si>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</si>
  <si>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</si>
  <si>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</si>
  <si>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</si>
  <si>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</si>
  <si>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</si>
  <si>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</si>
  <si>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</si>
  <si>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</si>
  <si>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</si>
  <si>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</si>
  <si>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</si>
  <si>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</si>
  <si>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</si>
  <si>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</si>
  <si>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</si>
  <si>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</si>
  <si>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</si>
  <si>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</si>
  <si>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</si>
  <si>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</si>
  <si>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</si>
  <si>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</si>
  <si>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</si>
  <si>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</si>
  <si>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</si>
  <si>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</si>
  <si>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</si>
  <si>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</si>
  <si>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</si>
  <si>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</si>
  <si>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</si>
  <si>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</si>
  <si>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</si>
  <si>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</si>
  <si>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</si>
  <si>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</si>
  <si>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</si>
  <si>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</si>
  <si>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</si>
  <si>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</si>
  <si>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</si>
  <si>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</si>
  <si>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</si>
  <si>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</si>
  <si>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</si>
  <si>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</si>
  <si>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</si>
  <si>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</si>
  <si>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</si>
  <si>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</si>
  <si>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</si>
  <si>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</si>
  <si>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</si>
  <si>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</si>
  <si>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</si>
  <si>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</si>
  <si>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</si>
  <si>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</si>
  <si>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</si>
  <si>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</si>
  <si>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</si>
  <si>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</si>
  <si>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</si>
  <si>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</si>
  <si>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</si>
  <si>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</si>
  <si>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</si>
  <si>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</si>
  <si>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</si>
  <si>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</si>
  <si>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</si>
  <si>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</si>
  <si>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</si>
  <si>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</si>
  <si>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</si>
  <si>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</si>
  <si>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</si>
  <si>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</si>
  <si>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</si>
  <si>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</si>
  <si>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</si>
  <si>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</si>
  <si>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</si>
  <si>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</si>
  <si>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</si>
  <si>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</si>
  <si>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</si>
  <si>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</si>
  <si>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</si>
  <si>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</si>
  <si>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</si>
  <si>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</si>
  <si>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</si>
  <si>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</si>
  <si>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</si>
  <si>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</si>
  <si>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</si>
  <si>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</si>
  <si>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</si>
  <si>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</si>
  <si>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</si>
  <si>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</si>
  <si>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</si>
  <si>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</si>
  <si>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</si>
  <si>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</si>
  <si>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</si>
  <si>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</si>
  <si>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</si>
  <si>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</si>
  <si>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</si>
  <si>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</si>
  <si>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</si>
  <si>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</si>
  <si>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</si>
  <si>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</si>
  <si>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</si>
  <si>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</si>
  <si>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</si>
  <si>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</si>
  <si>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</si>
  <si>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</si>
  <si>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</si>
  <si>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</si>
  <si>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</si>
  <si>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</si>
  <si>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</si>
  <si>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</si>
  <si>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</si>
  <si>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</si>
  <si>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</si>
  <si>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</si>
  <si>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</si>
  <si>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</si>
  <si>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</si>
  <si>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</si>
  <si>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</si>
  <si>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</si>
  <si>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</si>
  <si>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</si>
  <si>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</si>
  <si>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</si>
  <si>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</si>
  <si>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</si>
  <si>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</si>
  <si>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</si>
  <si>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</si>
  <si>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</si>
  <si>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</si>
  <si>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</si>
  <si>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</si>
  <si>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</si>
  <si>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</si>
  <si>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</si>
  <si>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</si>
  <si>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</si>
  <si>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</si>
  <si>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</si>
  <si>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</si>
  <si>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</si>
  <si>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</si>
  <si>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</si>
  <si>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</si>
  <si>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</si>
  <si>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</si>
  <si>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</si>
  <si>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</si>
  <si>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</si>
  <si>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</si>
  <si>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</si>
  <si>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</si>
  <si>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</si>
  <si>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</si>
  <si>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</si>
  <si>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</si>
  <si>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</si>
  <si>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</si>
  <si>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</si>
  <si>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</si>
  <si>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</si>
  <si>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</si>
  <si>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</si>
  <si>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</si>
  <si>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</si>
  <si>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</si>
  <si>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</si>
  <si>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</si>
  <si>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</si>
  <si>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</si>
  <si>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</si>
  <si>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</si>
  <si>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</si>
  <si>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</si>
  <si>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</si>
  <si>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</si>
  <si>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</si>
  <si>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</si>
  <si>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</si>
  <si>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</si>
  <si>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</si>
  <si>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</si>
  <si>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</si>
  <si>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</si>
  <si>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</si>
  <si>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</si>
  <si>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</si>
  <si>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</si>
  <si>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</si>
  <si>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</si>
  <si>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</si>
  <si>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</si>
  <si>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</si>
  <si>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</si>
  <si>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</si>
  <si>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</si>
  <si>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</si>
  <si>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</si>
  <si>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</si>
  <si>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</si>
  <si>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</si>
  <si>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</si>
  <si>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</si>
  <si>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</si>
  <si>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</si>
  <si>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</si>
  <si>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</si>
  <si>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</si>
  <si>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</si>
  <si>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</si>
  <si>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</si>
  <si>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</si>
  <si>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</si>
  <si>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</si>
  <si>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</si>
  <si>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</si>
  <si>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</si>
  <si>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</si>
  <si>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</si>
  <si>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</si>
  <si>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</si>
  <si>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</si>
  <si>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</si>
  <si>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</si>
  <si>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</si>
  <si>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</si>
  <si>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</si>
  <si>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</si>
  <si>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</si>
  <si>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</si>
  <si>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</si>
  <si>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</si>
  <si>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</si>
  <si>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</si>
  <si>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</si>
  <si>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</si>
  <si>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</si>
  <si>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</si>
  <si>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</si>
  <si>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</si>
  <si>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</si>
  <si>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</si>
  <si>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</si>
  <si>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</si>
  <si>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</si>
  <si>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</si>
  <si>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</si>
  <si>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</si>
  <si>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</si>
  <si>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</si>
  <si>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</si>
  <si>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</si>
  <si>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</si>
  <si>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</si>
  <si>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</si>
  <si>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</si>
  <si>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</si>
  <si>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</si>
  <si>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</si>
  <si>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</si>
  <si>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</si>
  <si>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</si>
  <si>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</si>
  <si>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</si>
  <si>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</si>
  <si>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</si>
  <si>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</si>
  <si>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</si>
  <si>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</si>
  <si>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</si>
  <si>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</si>
  <si>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</si>
  <si>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</si>
  <si>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</si>
  <si>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</si>
  <si>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</si>
  <si>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</si>
  <si>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</si>
  <si>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</si>
  <si>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</si>
  <si>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</si>
  <si>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</si>
  <si>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</si>
  <si>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</si>
  <si>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</si>
  <si>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</si>
  <si>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</si>
  <si>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</si>
  <si>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</si>
  <si>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</si>
  <si>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</si>
  <si>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</si>
  <si>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</si>
  <si>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</si>
  <si>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</si>
  <si>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</si>
  <si>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</si>
  <si>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</si>
  <si>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</si>
  <si>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</si>
  <si>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</si>
  <si>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</si>
  <si>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</si>
  <si>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</si>
  <si>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</si>
  <si>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</si>
  <si>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</si>
  <si>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</si>
  <si>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</si>
  <si>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</si>
  <si>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</si>
  <si>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</si>
  <si>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</si>
  <si>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</si>
  <si>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</si>
  <si>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</si>
  <si>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</si>
  <si>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</si>
  <si>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</si>
  <si>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</si>
  <si>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</si>
  <si>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</si>
  <si>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</si>
  <si>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</si>
  <si>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</si>
  <si>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</si>
  <si>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</si>
  <si>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</si>
  <si>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</si>
  <si>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</si>
  <si>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</si>
  <si>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</si>
  <si>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</si>
  <si>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</si>
  <si>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</si>
  <si>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</si>
  <si>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</si>
  <si>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</si>
  <si>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</si>
  <si>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</si>
  <si>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</si>
  <si>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</si>
  <si>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</si>
  <si>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</si>
  <si>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</si>
  <si>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</si>
  <si>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</si>
  <si>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</si>
  <si>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</si>
  <si>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</si>
  <si>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</si>
  <si>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</si>
  <si>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</si>
  <si>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</si>
  <si>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</si>
  <si>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</si>
  <si>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</si>
  <si>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</si>
  <si>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</si>
  <si>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</si>
  <si>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</si>
  <si>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</si>
  <si>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</si>
  <si>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</si>
  <si>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</si>
  <si>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</si>
  <si>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</si>
  <si>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</si>
  <si>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</si>
  <si>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</si>
  <si>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</si>
  <si>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</si>
  <si>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</si>
  <si>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</si>
  <si>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</si>
  <si>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</si>
  <si>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</si>
  <si>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</si>
  <si>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</si>
  <si>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</si>
  <si>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</si>
  <si>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</si>
  <si>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</si>
  <si>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</si>
  <si>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</si>
  <si>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</si>
  <si>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</si>
  <si>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</si>
  <si>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</si>
  <si>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</si>
  <si>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</si>
  <si>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</si>
  <si>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</si>
  <si>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</si>
  <si>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</si>
  <si>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</si>
  <si>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</si>
  <si>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</si>
  <si>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</si>
  <si>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</si>
  <si>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</si>
  <si>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</si>
  <si>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</si>
  <si>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</si>
  <si>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</si>
  <si>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</si>
  <si>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</si>
  <si>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</si>
  <si>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</si>
  <si>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</si>
  <si>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</si>
  <si>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</si>
  <si>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</si>
  <si>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</si>
  <si>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</si>
  <si>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</si>
  <si>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</si>
  <si>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</si>
  <si>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</si>
  <si>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</si>
  <si>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</si>
  <si>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</si>
  <si>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</si>
  <si>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</si>
  <si>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</si>
  <si>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</si>
  <si>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</si>
  <si>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</si>
  <si>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</si>
  <si>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</si>
  <si>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</si>
  <si>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</si>
  <si>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</si>
  <si>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</si>
  <si>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</si>
  <si>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</si>
  <si>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</si>
  <si>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</si>
  <si>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</si>
  <si>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</si>
  <si>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</si>
  <si>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</si>
  <si>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</si>
  <si>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</si>
  <si>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</si>
  <si>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</si>
  <si>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</si>
  <si>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</si>
  <si>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</si>
  <si>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</si>
  <si>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</si>
  <si>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</si>
  <si>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</si>
  <si>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</si>
  <si>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</si>
  <si>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</si>
  <si>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</si>
  <si>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</si>
  <si>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</si>
  <si>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</si>
  <si>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</si>
  <si>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</si>
  <si>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</si>
  <si>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</si>
  <si>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</si>
  <si>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</si>
  <si>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</si>
  <si>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</si>
  <si>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</si>
  <si>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</si>
  <si>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</si>
  <si>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</si>
  <si>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</si>
  <si>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</si>
  <si>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</si>
  <si>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</si>
  <si>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</si>
  <si>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</si>
  <si>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</si>
  <si>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</si>
  <si>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</si>
  <si>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</si>
  <si>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</si>
  <si>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</si>
  <si>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</si>
  <si>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</si>
  <si>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</si>
  <si>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</si>
  <si>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</si>
  <si>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</si>
  <si>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</si>
  <si>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</si>
  <si>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</si>
  <si>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</si>
  <si>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</si>
  <si>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</si>
  <si>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</si>
  <si>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</si>
  <si>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</si>
  <si>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</si>
  <si>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</si>
  <si>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</si>
  <si>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</si>
  <si>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</si>
  <si>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</si>
  <si>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</si>
  <si>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</si>
  <si>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</si>
  <si>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</si>
  <si>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</si>
  <si>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</si>
  <si>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</si>
  <si>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</si>
  <si>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</si>
  <si>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</si>
  <si>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</si>
  <si>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</si>
  <si>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</si>
  <si>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</si>
  <si>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</si>
  <si>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</si>
  <si>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</si>
  <si>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</si>
  <si>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</si>
  <si>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</si>
  <si>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</si>
  <si>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</si>
  <si>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</si>
  <si>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</si>
  <si>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</si>
  <si>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</si>
  <si>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</si>
  <si>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</si>
  <si>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</si>
  <si>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</si>
  <si>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</si>
  <si>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</si>
  <si>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</si>
  <si>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</si>
  <si>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</si>
  <si>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</si>
  <si>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</si>
  <si>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</si>
  <si>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</si>
  <si>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</si>
  <si>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</si>
  <si>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</si>
  <si>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</si>
  <si>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</si>
  <si>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</si>
  <si>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</si>
  <si>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</si>
  <si>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</si>
  <si>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</si>
  <si>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</si>
  <si>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</si>
  <si>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</si>
  <si>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</si>
  <si>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</si>
  <si>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</si>
  <si>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</si>
  <si>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</si>
  <si>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</si>
  <si>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</si>
  <si>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</si>
  <si>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</si>
  <si>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</si>
  <si>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</si>
  <si>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</si>
  <si>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</si>
  <si>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</si>
  <si>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</si>
  <si>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</si>
  <si>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</si>
  <si>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</si>
  <si>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</si>
  <si>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</si>
  <si>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</si>
  <si>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</si>
  <si>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</si>
  <si>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</si>
  <si>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</si>
  <si>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</si>
  <si>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</si>
  <si>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</si>
  <si>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</si>
  <si>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</si>
  <si>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</si>
  <si>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</si>
  <si>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</si>
  <si>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</si>
  <si>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</si>
  <si>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</si>
  <si>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</si>
  <si>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</si>
  <si>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</si>
  <si>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</si>
  <si>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</si>
  <si>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</si>
  <si>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</si>
  <si>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</si>
  <si>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</si>
  <si>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</si>
  <si>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</si>
  <si>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</si>
  <si>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</si>
  <si>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</si>
  <si>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</si>
  <si>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</si>
  <si>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</si>
  <si>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</si>
  <si>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</si>
  <si>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</si>
  <si>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</si>
  <si>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</si>
  <si>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</si>
  <si>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</si>
  <si>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</si>
  <si>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</si>
  <si>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</si>
  <si>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</si>
  <si>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</si>
  <si>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</si>
  <si>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</si>
  <si>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</si>
  <si>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</si>
  <si>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</si>
  <si>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</si>
  <si>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</si>
  <si>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</si>
  <si>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</si>
  <si>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</si>
  <si>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</si>
  <si>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</si>
  <si>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</si>
  <si>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</si>
  <si>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</si>
  <si>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</si>
  <si>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</si>
  <si>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</si>
  <si>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</si>
  <si>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</si>
  <si>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</si>
  <si>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</si>
  <si>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</si>
  <si>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</si>
  <si>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</si>
  <si>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</si>
  <si>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</si>
  <si>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</si>
  <si>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</si>
  <si>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</si>
  <si>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</si>
  <si>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</si>
  <si>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</si>
  <si>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</si>
  <si>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</si>
  <si>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</si>
  <si>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</si>
  <si>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</si>
  <si>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</si>
  <si>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</si>
  <si>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</si>
  <si>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</si>
  <si>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</si>
  <si>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</si>
  <si>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</si>
  <si>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</si>
  <si>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</si>
  <si>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</si>
  <si>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</si>
  <si>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</si>
  <si>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</si>
  <si>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</si>
  <si>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</si>
  <si>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</si>
  <si>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</si>
  <si>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</si>
  <si>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</si>
  <si>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</si>
  <si>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</si>
  <si>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</si>
  <si>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</si>
  <si>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</si>
  <si>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</si>
  <si>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</si>
  <si>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</si>
  <si>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</si>
  <si>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</si>
  <si>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</si>
  <si>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</si>
  <si>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</si>
  <si>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</si>
  <si>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</si>
  <si>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</si>
  <si>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</si>
  <si>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</si>
  <si>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</si>
  <si>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</si>
  <si>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</si>
  <si>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</si>
  <si>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</si>
  <si>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</si>
  <si>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</si>
  <si>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</si>
  <si>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</si>
  <si>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</si>
  <si>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</si>
  <si>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</si>
  <si>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</si>
  <si>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</si>
  <si>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</si>
  <si>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</si>
  <si>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</si>
  <si>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</si>
  <si>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</si>
  <si>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</si>
  <si>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</si>
  <si>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</si>
  <si>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</si>
  <si>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</si>
  <si>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</si>
  <si>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</si>
  <si>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</si>
  <si>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</si>
  <si>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</si>
  <si>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</si>
  <si>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</si>
  <si>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</si>
  <si>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</si>
  <si>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</si>
  <si>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</si>
  <si>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</si>
  <si>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</si>
  <si>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</si>
  <si>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</si>
  <si>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</si>
  <si>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</si>
  <si>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</si>
  <si>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</si>
  <si>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</si>
  <si>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</si>
  <si>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</si>
  <si>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</si>
  <si>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</si>
  <si>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</si>
  <si>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</si>
  <si>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</si>
  <si>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</si>
  <si>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</si>
  <si>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</si>
  <si>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</si>
  <si>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</si>
  <si>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</si>
  <si>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</si>
  <si>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</si>
  <si>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</si>
  <si>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</si>
  <si>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</si>
  <si>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</si>
  <si>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</si>
  <si>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</si>
  <si>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</si>
  <si>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</si>
  <si>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</si>
  <si>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</si>
  <si>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</si>
  <si>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</si>
  <si>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</si>
  <si>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</si>
  <si>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</si>
  <si>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</si>
  <si>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</si>
  <si>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</si>
  <si>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</si>
  <si>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</si>
  <si>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</si>
  <si>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</si>
  <si>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</si>
  <si>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</si>
  <si>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</si>
  <si>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</si>
  <si>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</si>
  <si>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</si>
  <si>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</si>
  <si>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</si>
  <si>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</si>
  <si>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</si>
  <si>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</si>
  <si>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</si>
  <si>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</si>
  <si>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</si>
  <si>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</si>
  <si>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</si>
  <si>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</si>
  <si>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</si>
  <si>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</si>
  <si>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</si>
  <si>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</si>
  <si>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</si>
  <si>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</si>
  <si>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</si>
  <si>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</si>
  <si>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</si>
  <si>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</si>
  <si>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</si>
  <si>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</si>
  <si>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</si>
  <si>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</si>
  <si>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</si>
  <si>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</si>
  <si>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</si>
  <si>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</si>
  <si>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</si>
  <si>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</si>
  <si>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</si>
  <si>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</si>
  <si>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</si>
  <si>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</si>
  <si>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</si>
  <si>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</si>
  <si>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</si>
  <si>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</si>
  <si>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</si>
  <si>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</si>
  <si>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</si>
  <si>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</si>
  <si>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</si>
  <si>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</si>
  <si>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</si>
  <si>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</si>
  <si>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</si>
  <si>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</si>
  <si>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</si>
  <si>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</si>
  <si>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</si>
  <si>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</si>
  <si>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</si>
  <si>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</si>
  <si>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</si>
  <si>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</si>
  <si>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</si>
  <si>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</si>
  <si>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</si>
  <si>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</si>
  <si>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</si>
  <si>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</si>
  <si>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</si>
  <si>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</si>
  <si>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</si>
  <si>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</si>
  <si>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</si>
  <si>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</si>
  <si>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</si>
  <si>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</si>
  <si>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</si>
  <si>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</si>
  <si>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</si>
  <si>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</si>
  <si>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</si>
  <si>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</si>
  <si>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</si>
  <si>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</si>
  <si>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</si>
  <si>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</si>
  <si>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</si>
  <si>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</si>
  <si>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</si>
  <si>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</si>
  <si>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</si>
  <si>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</si>
  <si>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</si>
  <si>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</si>
  <si>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</si>
  <si>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</si>
  <si>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</si>
  <si>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</si>
  <si>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</si>
  <si>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</si>
  <si>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</si>
  <si>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</si>
  <si>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</si>
  <si>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</si>
  <si>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</si>
  <si>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</si>
  <si>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</si>
  <si>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</si>
  <si>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</si>
  <si>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</si>
  <si>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</si>
  <si>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</si>
  <si>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</si>
  <si>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</si>
  <si>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</si>
  <si>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</si>
  <si>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</si>
  <si>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</si>
  <si>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</si>
  <si>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</si>
  <si>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</si>
  <si>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</si>
  <si>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</si>
  <si>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</si>
  <si>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</si>
  <si>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</si>
  <si>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</si>
  <si>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</si>
  <si>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</si>
  <si>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</si>
  <si>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</si>
  <si>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</si>
  <si>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</si>
  <si>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</si>
  <si>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</si>
  <si>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</si>
  <si>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</si>
  <si>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</si>
  <si>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</si>
  <si>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</si>
  <si>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</si>
  <si>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</si>
  <si>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</si>
  <si>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</si>
  <si>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</si>
  <si>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</si>
  <si>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</si>
  <si>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</si>
  <si>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</si>
  <si>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</si>
  <si>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</si>
  <si>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</si>
  <si>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</si>
  <si>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</si>
  <si>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</si>
  <si>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</si>
  <si>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</si>
  <si>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</si>
  <si>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</si>
  <si>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</si>
  <si>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</si>
  <si>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</si>
  <si>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</si>
  <si>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</si>
  <si>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</si>
  <si>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</si>
  <si>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</si>
  <si>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</si>
  <si>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</si>
  <si>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</si>
  <si>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</si>
  <si>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</si>
  <si>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</si>
  <si>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</si>
  <si>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</si>
  <si>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</si>
  <si>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</si>
  <si>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</si>
  <si>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</si>
  <si>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</si>
  <si>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</si>
  <si>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</si>
  <si>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</si>
  <si>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</si>
  <si>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</si>
  <si>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</si>
  <si>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</si>
  <si>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</si>
  <si>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</si>
  <si>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</si>
  <si>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</si>
  <si>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</si>
  <si>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</si>
  <si>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</si>
  <si>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</si>
  <si>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</si>
  <si>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</si>
  <si>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</si>
  <si>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</si>
  <si>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</si>
  <si>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</si>
  <si>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</si>
  <si>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</si>
  <si>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</si>
  <si>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</si>
  <si>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</si>
  <si>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</si>
  <si>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</si>
  <si>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</si>
  <si>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</si>
  <si>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</si>
  <si>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</si>
  <si>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</si>
  <si>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</si>
  <si>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</si>
  <si>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</si>
  <si>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</si>
  <si>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</si>
  <si>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</si>
  <si>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</si>
  <si>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</si>
  <si>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</si>
  <si>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</si>
  <si>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</si>
  <si>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</si>
  <si>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</si>
  <si>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</si>
  <si>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</si>
  <si>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</si>
  <si>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</si>
  <si>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</si>
  <si>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</si>
  <si>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</si>
  <si>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</si>
  <si>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</si>
  <si>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</si>
  <si>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</si>
  <si>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</si>
  <si>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</si>
  <si>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</si>
  <si>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</si>
  <si>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</si>
  <si>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</si>
  <si>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</si>
  <si>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</si>
  <si>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</si>
  <si>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</si>
  <si>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</si>
  <si>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</si>
  <si>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</si>
  <si>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</si>
  <si>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</si>
  <si>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</si>
  <si>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</si>
  <si>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</si>
  <si>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</si>
  <si>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</si>
  <si>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</si>
  <si>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</si>
  <si>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</si>
  <si>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</si>
  <si>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</si>
  <si>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</si>
  <si>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</si>
  <si>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</si>
  <si>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</si>
  <si>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</si>
  <si>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</si>
  <si>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</si>
  <si>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</si>
  <si>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</si>
  <si>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</si>
  <si>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</si>
  <si>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</si>
  <si>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</si>
  <si>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</si>
  <si>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</si>
  <si>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</si>
  <si>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</si>
  <si>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</si>
  <si>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</si>
  <si>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</si>
  <si>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</si>
  <si>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</si>
  <si>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</si>
  <si>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</si>
  <si>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</si>
  <si>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</si>
  <si>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</si>
  <si>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</si>
  <si>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</si>
  <si>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</si>
  <si>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</si>
  <si>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</si>
  <si>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</si>
  <si>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</si>
  <si>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</si>
  <si>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</si>
  <si>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</si>
  <si>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</si>
  <si>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</si>
  <si>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</si>
  <si>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</si>
  <si>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</si>
  <si>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</si>
  <si>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</si>
  <si>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</si>
  <si>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</si>
  <si>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</si>
  <si>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</si>
  <si>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</si>
  <si>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</si>
  <si>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</si>
  <si>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</si>
  <si>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</si>
  <si>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</si>
  <si>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</si>
  <si>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</si>
  <si>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</si>
  <si>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</si>
  <si>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</si>
  <si>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</si>
  <si>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</si>
  <si>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</si>
  <si>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</si>
  <si>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</si>
  <si>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</si>
  <si>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</si>
  <si>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</si>
  <si>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</si>
  <si>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</si>
  <si>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</si>
  <si>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</si>
  <si>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</si>
  <si>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</si>
  <si>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</si>
  <si>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</si>
  <si>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</si>
  <si>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</si>
  <si>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</si>
  <si>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</si>
  <si>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</si>
  <si>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</si>
  <si>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</si>
  <si>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</si>
  <si>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</si>
  <si>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</si>
  <si>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</si>
  <si>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</si>
  <si>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</si>
  <si>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</si>
  <si>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</si>
  <si>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</si>
  <si>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</si>
  <si>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</si>
  <si>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</si>
  <si>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</si>
  <si>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</si>
  <si>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</si>
  <si>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</si>
  <si>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</si>
  <si>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</si>
  <si>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</si>
  <si>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</si>
  <si>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</si>
  <si>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</si>
  <si>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</si>
  <si>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</si>
  <si>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</si>
  <si>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</si>
  <si>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</si>
  <si>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</si>
  <si>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</si>
  <si>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</si>
  <si>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</si>
  <si>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</si>
  <si>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</si>
  <si>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</si>
  <si>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</si>
  <si>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</si>
  <si>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</si>
  <si>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</si>
  <si>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</si>
  <si>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</si>
  <si>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</si>
  <si>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</si>
  <si>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</si>
  <si>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</si>
  <si>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</si>
  <si>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</si>
  <si>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transporte público</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</si>
  <si>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</si>
  <si>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</si>
  <si>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</si>
  <si>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</si>
  <si>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</si>
  <si>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</si>
  <si>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</si>
  <si>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</si>
  <si>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</si>
  <si>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</si>
  <si>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</si>
  <si>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</si>
  <si>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</si>
  <si>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</si>
  <si>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</si>
  <si>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</si>
  <si>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</si>
  <si>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</si>
  <si>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</si>
  <si>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</si>
  <si>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</si>
  <si>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</si>
  <si>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</si>
  <si>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</si>
  <si>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</si>
  <si>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</si>
  <si>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</si>
  <si>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</si>
  <si>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</si>
  <si>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</si>
  <si>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</si>
  <si>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Tipo de evaluación</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</si>
  <si>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</si>
  <si>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</si>
  <si>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</si>
  <si>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</si>
  <si>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</si>
  <si>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</si>
  <si>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</si>
  <si>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</si>
  <si>
    <t>Presupuesto</t>
  </si>
  <si>
    <t>llevar a dolares</t>
  </si>
  <si>
    <t>Llevar a Rango con mínimo y máximo (Hacer categorías)</t>
  </si>
  <si>
    <t>Hay manera de conseguir el universo de programas de que existen en cada año? (sólo tenemos la muestra)</t>
  </si>
  <si>
    <t>Incluir las recomendaciones</t>
  </si>
  <si>
    <t>Feccha</t>
  </si>
  <si>
    <t>Consulta</t>
  </si>
  <si>
    <t>Solicitud 1</t>
  </si>
  <si>
    <t>Solicitud 2</t>
  </si>
  <si>
    <t>Solicitud 3</t>
  </si>
  <si>
    <t>Tomar una muestra de los 15 presupuestos más altos y contrastar con otra fuente</t>
  </si>
  <si>
    <t>Respuesta</t>
  </si>
  <si>
    <t>N° Consulta</t>
  </si>
  <si>
    <t>Consulta 1. Solicitud 3</t>
  </si>
  <si>
    <t>https://www.dipres.gob.cl/598/w3-propertyvalue-2129.html#presupuesto_anios</t>
  </si>
  <si>
    <t>Validación</t>
  </si>
  <si>
    <t>Link Validación</t>
  </si>
  <si>
    <t>Link Descarga</t>
  </si>
  <si>
    <t>https://www.dipres.gob.cl/597/articles-170789_doc_xls.xls</t>
  </si>
  <si>
    <t>https://programassociales.ministeriodesarrollosocial.gob.cl/pdf/2017/PRG2017_3_497.pdf</t>
  </si>
  <si>
    <t>https://programassociales.ministeriodesarrollosocial.gob.cl/</t>
  </si>
  <si>
    <t>https://www.senado.cl/site/presupuesto/2017/cumplimiento/Ejecucion/Febrero2017/26.pptx</t>
  </si>
  <si>
    <t>https://www.senado.cl/</t>
  </si>
  <si>
    <t>https://programassociales.ministeriodesarrollosocial.gob.cl/pdf/2018/PRG2018_3_59466.pdf</t>
  </si>
  <si>
    <t>https://programassociales.ministeriodesarrollosocial.gob.cl/programas</t>
  </si>
  <si>
    <t>https://www.dipres.gob.cl/597/articles-170561_doc_xls.xls</t>
  </si>
  <si>
    <t>s.i.</t>
  </si>
  <si>
    <t>https://programassociales.ministeriodesarrollosocial.gob.cl/pdf/2020/PRG2020_3_59464.pdf</t>
  </si>
  <si>
    <t>https://programassociales.ministeriodesarrollosocial.gob.cl/pdf/2020/PRG2020_3_924.pdf</t>
  </si>
  <si>
    <t>https://www.dipres.gob.cl/597/articles-126580_doc_xls.xls</t>
  </si>
  <si>
    <t>https://www.senado.cl/site/presupuesto/2017/cumplimiento/Glosas%202017/primera_subcomision/21%20Des.%20Social/3953SES/Inf%20monitioreo%20cierre%202016/Fundaciones%20(18-7)/Fundaci%C3%B3n%20Integra%20(2-0)/Jardines%20Infantiles%20y%20Salas%20Cuna%20de%20Administraci%C3%B3n%20Directa(Seguimiento).pdf</t>
  </si>
  <si>
    <t>https://www.dipres.gob.cl/597/articles-128407_doc_xls.xls</t>
  </si>
  <si>
    <t>https://www.minsal.cl/campana-mas-medicos-y-especialistas/</t>
  </si>
  <si>
    <t>https://www.dipres.gob.cl/597/articles-96785_doc_xls.xls</t>
  </si>
  <si>
    <t>Consulta 2</t>
  </si>
  <si>
    <t>https://www.dropbox.com/home/Dise%C3%B1o%20DATA's/DATA-EVAL/BD%20Ley%20Presupuesto%20desde%202009</t>
  </si>
  <si>
    <t>Ver Dropbox "BD Ley Presupuesto desde 2009"</t>
  </si>
  <si>
    <t>No todos los programas tienen presupuesto explicito en la Ley de Presupuesto</t>
  </si>
  <si>
    <t>Aplicación del Diseño Curricular y Pedagógico Intercurricular Bilingüe</t>
  </si>
  <si>
    <t>Presupuesto Ley Inicial CLP</t>
  </si>
  <si>
    <t>Presupuesto Ley Inicial USD</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</si>
  <si>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</si>
  <si>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Presupuesto Otras fuentes</t>
  </si>
  <si>
    <t>https://programassociales.ministeriodesarrollosocial.gob.cl/pdf/2020/PRG2020_3_63383.pdf</t>
  </si>
  <si>
    <t>https://programassociales.ministeriodesarrollosocial.gob.cl/pdf/2020/PRG2020_3_59465.pdf</t>
  </si>
  <si>
    <t>https://programassociales.ministeriodesarrollosocial.gob.cl/pdf/2020/PRG2020_3_59244.pdf</t>
  </si>
  <si>
    <t>https://programassociales.ministeriodesarrollosocial.gob.cl/pdf/2020/PRG2020_3_5057.pdf</t>
  </si>
  <si>
    <t>https://programassociales.ministeriodesarrollosocial.gob.cl/pdf/2020/PRG2020_3_59470.pdf</t>
  </si>
  <si>
    <t>https://www.senado.cl/site/presupuesto/2018/cumplimiento/Glosas%202018/tercera%20subcomision/16%20Salud/212%20Salud.pdf</t>
  </si>
  <si>
    <t>https://programassociales.ministeriodesarrollosocial.gob.cl/pdf/2018/PRG2018_3_60237.pdf</t>
  </si>
  <si>
    <t>https://www.dipres.gob.cl/597/articles-177369_r_ejecutivo_institucional.pdf</t>
  </si>
  <si>
    <t>https://www.dipres.gob.cl/597/articles-177369_informe_final.pdf</t>
  </si>
  <si>
    <t>https://www.dipres.gob.cl/597/articles-177369_seguimiento_compromisos.pdf</t>
  </si>
  <si>
    <t>https://programassociales.ministeriodesarrollosocial.gob.cl/pdf/2018/PRG2018_3_60236.pdf</t>
  </si>
  <si>
    <t>http://www.doh.cl/Gestion/bgi/Documents/BGI%202018.pdf</t>
  </si>
  <si>
    <t>http://www.doh.cl/Gestion/Paginas/default.aspx</t>
  </si>
  <si>
    <t>https://programassociales.ministeriodesarrollosocial.gob.cl/pdf/2018/PRG2018_3_548.pdf</t>
  </si>
  <si>
    <t>https://programassociales.ministeriodesarrollosocial.gob.cl/pdf/2018/PRG2018_3_59471.pdf</t>
  </si>
  <si>
    <t>https://programassociales.ministeriodesarrollosocial.gob.cl/pdf/2020/PRG2020_3_5059.pdf</t>
  </si>
  <si>
    <t>https://programassociales.ministeriodesarrollosocial.gob.cl/pdf/2020/PRG2020_3_5060.pdf</t>
  </si>
  <si>
    <t>https://programassociales.ministeriodesarrollosocial.gob.cl/pdf/2017/PRG2017_5_1000900.pdf</t>
  </si>
  <si>
    <t>https://programassociales.ministeriodesarrollosocial.gob.cl/pdf/2020/PRG2020_3_62058.pdf</t>
  </si>
  <si>
    <t>https://programassociales.ministeriodesarrollosocial.gob.cl/pdf/2020/PRG2020_4_63172.pdf</t>
  </si>
  <si>
    <t>https://programassociales.ministeriodesarrollosocial.gob.cl/pdf/2015/PRG2015_5_61841.pdf</t>
  </si>
  <si>
    <t>https://www.mercadopublico.cl/Procurement/Modules/RFB/StepsProcessAward/PreviewAwardAct.aspx?qs=9NbHoyxWhKUFU4yb+5vtF3SKZylro6jOzWkBCZvr%2Fvs%3D</t>
  </si>
  <si>
    <t>https://programassociales.ministeriodesarrollosocial.gob.cl/pdf/2015/PRG2015_5_61893.pdf</t>
  </si>
  <si>
    <t>https://programassociales.ministeriodesarrollosocial.gob.cl/pdf/2015/PRG2015_3_1719.pdf</t>
  </si>
  <si>
    <t>https://www.camara.cl/verDoc.aspx?prmID=14609&amp;prmTIPO=INFORMEPLEY</t>
  </si>
  <si>
    <t>https://www.camara.cl/</t>
  </si>
  <si>
    <t>https://www.sename.cl/wsename/otros/03_DOC_PUB_VN/02_Informes_Gestion/Informe%20de%20Gesti%C3%B3n%202010%20Programa%20Vida%20Nueva.pdf</t>
  </si>
  <si>
    <t>https://www.sename.cl/</t>
  </si>
  <si>
    <t>https://www.chiletransparente.cl/wp-content/uploads/2014/03/Ley-de-Presupestos-Gobiernos-Regionales.pdf</t>
  </si>
  <si>
    <t>http://www.dipres.cl/597/articles-74331_doc_pdf.pdf</t>
  </si>
  <si>
    <t>http://www.dipres.cl/</t>
  </si>
  <si>
    <t>https://programassociales.ministeriodesarrollosocial.gob.cl/pdf/2012/PRG2012_3_5002.pdf</t>
  </si>
  <si>
    <t>Presupuesto Data Intelligence CLP</t>
  </si>
  <si>
    <t>Tipo de Cambio expresado en el Presupuesto</t>
  </si>
  <si>
    <t>Presupuesto Data Intelligence USD</t>
  </si>
  <si>
    <t>https://datos.gob.cl/tr/dataset/ley-de-presupuestos-inicial-y-vigente-a-septiembre-de-2020-del-gobierno-central</t>
  </si>
  <si>
    <t>http://www.dipres.gob.cl/597/w3-propertyname-557.html</t>
  </si>
  <si>
    <t>https://si3.bcentral.cl/Siete/ES/Siete/Cuadro/CAP_TIPO_CAMBIO/MN_TIPO_CAMBIO4/DOLAR_OBS_ADO?cbFechaDiaria=2020&amp;cbFrecuencia=ANNUAL&amp;cbCalculo=NONE&amp;cbFechaBase=</t>
  </si>
  <si>
    <t>https://si3.bcentral.cl/siete/</t>
  </si>
  <si>
    <t>1. Dólar observado</t>
  </si>
  <si>
    <t>Categorías de Presupuesto</t>
  </si>
  <si>
    <t>Monto correspondiente a la Ley de Presupuestos Inicial, anual y expresado en pesos</t>
  </si>
  <si>
    <t>Monto correspondiente a la Ley de Presupuestos Inicial, anual y expresado en dólares</t>
  </si>
  <si>
    <t>Monto correspondiente a la Ley de Presupuestos y complementado por otros informes, anual y expresado en pesos</t>
  </si>
  <si>
    <t>Monto correspondiente a la Ley de Presupuestos  y complementado por otros informes, anual y expresado en dólares</t>
  </si>
  <si>
    <t>Promedio</t>
  </si>
  <si>
    <t>Mediana</t>
  </si>
  <si>
    <t>Desviación Estandar</t>
  </si>
  <si>
    <t>Percentil</t>
  </si>
  <si>
    <t>Valor Mínimo USD</t>
  </si>
  <si>
    <t>Abreviatura / Concepto</t>
  </si>
  <si>
    <t>Información</t>
  </si>
  <si>
    <t>Variables auxiliares</t>
  </si>
  <si>
    <t>Archivo Adjunto</t>
  </si>
  <si>
    <t>Ver pestaña "Deflactor"</t>
  </si>
  <si>
    <t>Valor Máximo USD</t>
  </si>
  <si>
    <t>Clases de Presupuesto</t>
  </si>
  <si>
    <t>Nota: no se incluye el valor máximo en cada clase, es una aproximación al valor decimal. Ejm: 1.999.999,99999999 = 2.000.000</t>
  </si>
  <si>
    <t>Más detalle</t>
  </si>
  <si>
    <t>Se  inició  el  año  2001  y  su  objetivo  es  evaluar  la  eficacia  de  un programa   por   medio   del   análisis   de  los   resultados   intermedios   y  finales   en  las   personas beneficiarias.   Para   ello,   se   utilizan   métodos   cuasiexperimentales,   de   acuerdo   con   los requerimientos específicos de la metodología de evaluación de impacto que se utilice. Dado que estas  evaluaciones  requieren  de  una  mayor  investigación  en  terreno  para  levantar  información de   los   programas,   el   proceso   de   evaluación   tiene   una   duración   de   12   a   18   meses aproximadamente.Para  esta  línea  de  evaluación  se  contrata  a  una  entidad  externa,  ya  sea  una  universidad  o consultora, que es seleccionada a partir de una licitación pública.</t>
  </si>
  <si>
    <t>Se  inició  el  año  1997  como  la  primera  línea de  evaluación  del  sistema.  Su objetivo  es  disponer  de  información  que  apoye  la  gestión  de  los programas   públicos   y   el   análisis   de   resultados   en   el   proceso   de asignación   de   recursos.El  proceso  de  evaluación  tiene  una  duración  aproximada  de  seis  meses.  Para estas evaluaciones se llama a un panel evaluador externo e independiente, con experiencia en  evaluación  de  programas  y  con  conocimientos  sobre  el  área  con  el  que se  relaciona  el programa.  Como  base  para  este  tipo  de  evaluación,  la  DIPRES  instruye  al  panel  a  utilizar  la metodología de Marco Lógico (DIPRES, 2015, p. 17), la cual fue elaborada en conjunto entre el o los programas evaluados y el panel.</t>
  </si>
  <si>
    <t>Surgió el año 2002 con el propósito de evaluar el diseño y  la  gestión  institucional,  así  como  los  resultados  y  el  uso  de  recursos  en  la  provisión  de  los productos estratégicos de la institución. El proceso de evaluación tiene una duración aproximada de 8 meses(MINEDUC, 2018).El foco  principal  de  esta  línea  es  evaluar  la  eficacia  de  la  institución  en  la  provisión  de  bienes  y servicios,  en  concordancia  con  sus  objetivos  estratégicos,  e  identificar  mejoras  de  eficiencia  en los procesos más relevantes del quehacer institucional. En términos generales, se  usa  una  metodologíamás  ampliaque  la  usada  en  la  EPG,centrada  en  la institución  como  un todo y no en un programa específico.Esta   línea   emplea   como   antecedentes   básicos   las   definiciones   estratégicas,   la   estructura organizacional  y  el  presupuesto  de  la  institución  a  evaluar,  así  como  también  la  documentación de  los  procesos  de  provisión  de  los  bienes  y servicios,  junto  con  los instrumentos  y  mecanismos mediante los cuales la institución  mide  sus  resultados  en las  distintas  dimensiones  y  ámbitos  de control.</t>
  </si>
  <si>
    <t>La  EPN  comenzó  el  año  2009  y  tiene  como  propósito diseñar  la  evaluación  desde  que  se  planifica  un  nuevo  programa  público,  y  que  incorpora, preferentemente, la construcción de un grupo de control obtenido de forma experimental. En  este  caso,  la  metodología  aplicada  ha  sido  desarrollada  especialmente  para  un  fin,  con  el objeto  de  identificar  y  fundamentar  las  eventuales  brechas  entre  el  diseño  propuesto  y  el efectivo  (implementación).  Por  otra  parte,  revisa  el  estado  de  avance  del  programa  en  cuanto nivel de producción y resultados de corto plazo, así como cuantifica ciertos indicadores de gasto relevante  (gasto  por  beneficiario  o  beneficiaria,  gasto  por  unidad  de  componente,  etc.).  De  esta manera,  una  vez  conocido  en  profundidad  el  diseño  y  la  operación  del  programa,  analiza  la factibilidad  y  pertinencia  de  diseñar  y,  eventualmente,  realizar  una  evaluación  de  impacto.</t>
  </si>
  <si>
    <t>Fue  creada  en  2016  y  pretende  generar  evaluaciones más dinámicas, “capaces de adaptarse y dar respuesta a las múltiples preguntas requeridas para la toma de decisiones,” (DIPRES, 2016, 9). La EFA debería completarse en tres o cuatro meses, un periodo más breve de lo que contemplan las otras líneas. La EFA analiza aspectos específicos referidos a costos, implementación o diseño de la estrategia, y  centra  la  evaluación  en  uno  de  ellos.  En  particular,  el  ámbito  de  implementación  no  ha  sido abordado  por otros  de  los  instrumentos  de  evaluación  de  la  DIPRES,  por  lo  que  se  espera  que esta nueva línea analice un campo que no era considerado previamente.</t>
  </si>
  <si>
    <t>https://www.dipres.gob.cl/598/w3-article-111763.html</t>
  </si>
  <si>
    <t>Segmentación del monto del presupuesto valorado en dólares, de acuerdo a una clasificación en 10 clases, de acuerdo a la tabla de frecuencia y distribución observada durante el período 2009-2020</t>
  </si>
  <si>
    <t>Resultado de la evaluación. Es clasificado por Dipres. No hay una clasificación única ya que las consultoras que evalúan son externas que ganan un proceso de Licitación. De Allí parten diferencias metodológicas que impiden una metodología común para evaluar. una  vez  enviado  el  informe  final  de evaluación  con  la  respuesta institucional   al   Congreso,   la   DIPRES   clasifica   a   los   programas   según   los   resultados   de   la evaluación,  situación  que  define  el  tipo  de  compromisos  que  deberá  asumir  el  programa  y  las consecuencias presupuestarias para el año siguiente</t>
  </si>
  <si>
    <t>Evaluación de Programas e Instituciones</t>
  </si>
  <si>
    <t>Término</t>
  </si>
  <si>
    <t>Abreviatura/Concepto</t>
  </si>
  <si>
    <t xml:space="preserve">Líneas de Evaluación </t>
  </si>
  <si>
    <t>LE</t>
  </si>
  <si>
    <t>A partir del año 2018 se ha redefinido la clasificación de programas en cuatro categorías de desempeño: Buen Desempeño (BD), Desempeño Medio (DM), Desempeño Bajo (DB) y Mal Desempeño (MD).</t>
  </si>
  <si>
    <t xml:space="preserve">Categorías de Desempeño </t>
  </si>
  <si>
    <t xml:space="preserve">La Evaluación de programas e instituciones se realiza abordando 4 Líneas de Evaluación: Evaluación de Impacto de Programas  (EI), Evaluación de gasto Institucional (EGI), Evaluación de Programas Gubernamentales (EPG) y Evaluación Focalizada de Ámbito (EFA). </t>
  </si>
  <si>
    <t xml:space="preserve"> </t>
  </si>
  <si>
    <t>Categorías de Desempeño No Aplica</t>
  </si>
  <si>
    <r>
      <t xml:space="preserve">Tiene como objetivo evaluar el diseño y gestión institucional, así como los resultados y uso de recursos en la provisión de los productos estratégicos de la institución, en función de la hipótesis de causalidad que existe entre los objetivos de la institución, los bienes y servicios que provee, y si los bienes y servicios que provee tienen un costo razonable. Esta línea fue iniciada el año 2002. </t>
    </r>
    <r>
      <rPr>
        <b/>
        <sz val="9"/>
        <color theme="1"/>
        <rFont val="Calibri"/>
        <family val="2"/>
        <scheme val="minor"/>
      </rPr>
      <t>Centrada en la institución como un todo y no en un programa específico.</t>
    </r>
  </si>
  <si>
    <t xml:space="preserve">El objetivo de esta línea es analizar programas en ámbitos específicos que no están siendo priorizados por las otras líneas (EPG, EI y EGI).
Este nuevo instrumento cuenta con 3 ámbitos y la evaluación de cada programa se centra en uno en particular, según sus características y las preguntas que se quieran abordar: (i) Costos, (ii) Implementación y (iii) Diseño de la Estrategia. </t>
  </si>
  <si>
    <t>Los indicadores de desempeño se construyen en función del ámbito de control (Proceso, Producto, Resultado)  y de la dimensión que miden (Eficacia, Eficiencia, Economía y Calidad)</t>
  </si>
  <si>
    <t>BD</t>
  </si>
  <si>
    <t>El programa presenta un buen diseño y buenos resultados a nivel intermedio y final; además de una buena evaluación en los ámbitos de implementación y/o eficiencia. Presenta “Suficiente” en al menos tres ámbitos (incluyendo Diseño y Resultados); y ningún “Insuficiente".</t>
  </si>
  <si>
    <t>DB</t>
  </si>
  <si>
    <t>MD</t>
  </si>
  <si>
    <t>Programa</t>
  </si>
  <si>
    <t>Un programa es un conjunto de actividades necesarias, integradas y articuladas que proveen bienes y/o servicios (productos), tendientes a lograr un objetivo específico en una población determinada, de modo de resolver un problema o atender una necesidad que la afecta. Debe ser fácilmente identificable dentro del ámbito de acción de una o más instituciones públicas. Ello significa que debe llevar asociado un nombre que lo caracterice, una estructura organizacional, un responsable asociado claramente identificable y un presupuesto consistente y pertinente de gastos asociados a los bienes y servicios que produce.</t>
  </si>
  <si>
    <t>http://www.dipres.gob.cl/598/w3-propertyvalue-23088.html</t>
  </si>
  <si>
    <t>El programa presenta una buena evaluación en alguno de los ámbitos de diseño, implementación, eficiencia y/o resultados a nivel intermedio y final. Análisis por Ámbitos tiene 3 posibles resultados: 1) Diseño, Implementación y Eficiencia como “Suficiente” y Resultados “No Concluyente".2) Resultados “Suficiente” en el caso de programas antiguos (más de 5 años); y uno o más “Suficiente” en otros ámbito. 3) Resultados “No concluyente” en el caso de programas nuevos (5 años o menos); y dos o más “Suficiente” en otros ámbitos.</t>
  </si>
  <si>
    <t>El programa presenta resultados a nivel intermedio y final no concluyentes o insuficientes y se advierten debilidades en algunos de los ámbitos de diseño, implementación y/o eficiencia. Análisis por Ámbitos tiene 2 posibles resultados: 1)  Resultados “Insuficiente” o “No Concluyente” en el caso de programas antiguos (más de 5 años); 1 o 2 ámbitos “Insuficiente”. 2) Resultados “Insuficiente” o “No Concluyente” en el caso de programas nuevos (5 años o menos); 2 o más ámbitos “Insuficiente”.</t>
  </si>
  <si>
    <t>EPN corresponde a la línea Evaluación Programas Nuevos que existió entre los años 2009 y 2011. Hoy la evaluación a estos programas ha sido incorporada a la línea de Evaluación de Impacto. En esta línea la metodología utilizada ha sido desarrollada ad hoc, con el objeto de identificar y fundamentar las eventuales brechas entre el diseño propuesto y el efectivo (implementación).</t>
  </si>
  <si>
    <t>Se refiere a que el programa presenta resultados insuficientes y/o muestra debilidades en las dimensiones evaluadas que no le permiten dar cuenta de sus objetivos. Categoría Período 2011-2017.</t>
  </si>
  <si>
    <t>Sin información. Línea EPG, periodo 1997-2000. No se cumplieron los requisitos para validar la evaluación, ya sea por falta de información relevante y/o por el estado de avance en la implementación del programa.</t>
  </si>
  <si>
    <t>Año en que se realizó la evaluación.</t>
  </si>
  <si>
    <t>Programa o Institución evaluado(a).</t>
  </si>
  <si>
    <t>Ministerio responsable del programa evaluado.</t>
  </si>
  <si>
    <t>Unidad administrativa responsable del programa evaluado.</t>
  </si>
  <si>
    <t>Antes  de  iniciar  el  proceso  de  evaluación,  de  acuerdo  con  la  normativa  y  según  el Protocolo  de Acuerdo  del  Congreso  para  la  Ley  de  Presupuesto  Anual,  el  Comité  Interministerial  compuesto por  representantes  de  la  DIPRES,  SEGPRES  y  MDS(MINEDUC,2018),selecciona  los  programas  a evaluar  de  todos  los  servicios  públicos.  El  Congreso,  por  su  parte,  puede  agregar  o  eliminar programas  de  la  lista  que  elabora  el  comité.  Posteriormente,  la  selección  de  programas  es comunicada a los ministerios y programas. Cada evaluación puede considerar un programa o más de uno, en caso de que se estime que hay objetivos comunes entre ellos. El ministro o subsecretario de educación nombra a un coordinador ministerial y envía la nómina de profesionales  que  realizarán  las  funciones  de contrapartes  técnicas en  cada  uno de  los programas seleccionados  para  su  evaluación y  que  han  sido designados  por  las  jefaturas  de  las divisiones correspondientes. Con el objetivo de que la evaluación realizada sea independiente, la DIPRES  efectúa  una  licitación  pública  para  contratar  a  personas  expertas  de  una  institución académica o una consultora, quienes estarán a cargo de elaborar la evaluación. De esta forma, se pretende asegurar que la evaluación se llevea cabo por personas o entidades externas al Estado, y que no tengan conflictos de interés con el o los programas a evaluar. Una  vez  que  los  ministerios  o  servicios  han  sido  informados  y  que  se  ha  definido  quienes  van  a evaluar,   comienza   el   proceso   de   evaluación,   el   que   involucra   en   todo   su   desarrollo   a profesionales del programa, de la coordinación ministerial, de la DIPRES y al panely/o consultora externos. Se elaboran, discuten y consensuan informes sobre el diseño, la gestión administrativa, los indicadores y los resultados del programa evaluado; además, se emiten conclusiones respecto de  la  justificación  y  continuidad  del  programa  a  partir  de  la  evolución  del  diagnóstico  inicial  del problema que le dio origen,y a la capacidad institucional para la gestión del programa. Cuando  ya  ha  sido  elaborada  una  versión  final  del  informe,  el  ministerio  prepara  una  respuesta institucional  mediante  la  cual  puede  ejecutar  los  reparos  u  observaciones  correspondientes  a  la evaluación,  la  que  es  enviada  al  Congreso  Nacional  para  aportar  en  la  discusión  presupuestaria. Luego, los documentos son también puestos a disposición del público en el sitio web de DIPRES. Al  término  de  la  evaluación  y  una  vez  enviado  el  informe  final  de evaluación  con  la  respuesta institucional   al   Congreso,   la   DIPRES   clasifica   a   los   programas   según   los   resultados   de   la evaluación,  situación  que  define  el  tipo  de  compromisos  que  deberá  asumir  el  programa  y  las consecuencias presupuestarias para el año siguiente.</t>
  </si>
  <si>
    <t>Indica si el programa está vigente al año 2020.</t>
  </si>
  <si>
    <t>Fecha en que se inició el programa.</t>
  </si>
  <si>
    <t>Fecha en que se finalizó el programa.</t>
  </si>
  <si>
    <t>Presupuesto del programa contenido en el informe el año de la evaluación.</t>
  </si>
  <si>
    <t>La clasificación 'No Aplica' significa que no se cumplieron los requisitos para validar la evaluación, ya sea por falta de información relevante y/o por el estado de avance en la implementación del programa. A partir de 2018, la clasificación 'No Aplica' ya no se utiliza. En 2020 Si el ámbito no es parte del análisis evaluativo realizado en el marco de la evaluación (sucede en EFA), se identifica como “No Aplica” (N/A).</t>
  </si>
  <si>
    <t>El Programa de Evaluación de programas e instituciones forma parte importante del Sistema de Evaluación y Control de Gestión de la Dirección de Presupuestos, el que provee información de desempeño que apoya la toma de decisiones durante el ciclo presupuestario, mejorando la eficiencia en la asignación y en el uso de los recursos públicos, y con ello la calidad del gasto y la gestión de las instituciones públicas. Las evaluaciones son desarrolladas por consultores externos al sector público.</t>
  </si>
  <si>
    <t>Programas que requieren de pequeños ajustes, tales como perfeccionar sus sistemas de información, monitoreo y seguimiento; precisar algunos aspectos de diseño y/o ajustar procesos administrativos o de gestión interna. Categoría de Desempeño utilizadas en el Período 2000-2010.</t>
  </si>
  <si>
    <t>Programas que requieren incorporar cambios en el diseño de alguno de sus componentes y/o actividades, o en sus procesos de gestión interna (ej: revisar criterios de focalización, implementar sistemas de información que permitan un mejor seguimiento y monitoreo de sus resultados, perfeccionar la coordinación interna y/o externa y fortalecer las capacidades institucionales). Categoría de Desempeño utilizadas en el Período 2000-2010.</t>
  </si>
  <si>
    <t>Programas que requieren reformulaciones o reestructuraciones profundas en su diseño y/o en su estructura organizacional y/o en sus procesos de gestión interna; o completar aspectos sustantivos del diseño necesarios para lograr los objetivos. Categoría de Desempeño utilizadas en el Período 2000-2010.</t>
  </si>
  <si>
    <t>Programas que requieren modificaciones tan sustantivas que equivalen a su reemplazo íntegro; o que finalizan su período de ejecución comprometido y en consideración a sus resultados y/o vigencia del problema que dio origen al programa, no se justifica extenderlo por otro período; o que en atención a sus resultados no mantienen sus asignaciones presupuestarias. Categoría de Desempeño utilizadas en el Período 2000-2010.</t>
  </si>
  <si>
    <t>Programas que en atención a sus objetivos requieren cambio de dependencia institucional hacia el Ministerio o Servicio responsable de la ejecución de la política pública a la que corresponde el programa. Categoría de Desempeño utilizadas en el Período 2000-2010.</t>
  </si>
  <si>
    <t xml:space="preserve">Utilizará la metodología de marco lógico, centrándose en identificar los objetivos de los programas y luego determinar la consistencia de su diseño y resultados con esos objetivos sobre la base, principalmente, de antecedentes e información existentes.
La evaluación considera, al menos, los siguientes focos o ámbitos: justificación del programa; su diseño; los principales aspectos de organización y gestión; y los resultados o desempeño en términos de eficacia, eficiencia y economía. Fue iniciada el año 1997. </t>
  </si>
  <si>
    <t>“Reglamento para el funcionamiento del sistema de evaluación de programas establecido en el artículo 52 del decreto ley nº 1.263, de 1975, orgánico de administración financiera”, Decreto N° 1177, del 17 de diciembre 2003.</t>
  </si>
  <si>
    <t>https://www.bcn.cl/leychile/navegar/imprimir?idNorma=220923&amp;idParte=0</t>
  </si>
  <si>
    <t xml:space="preserve">Dipres (2015). “Evaluación Ex-Post: Conceptos y Metodologías”, disponible en </t>
  </si>
  <si>
    <t>http://www.dipres.gob.cl/594/articles-139847_doc_pdf.pdf</t>
  </si>
  <si>
    <t xml:space="preserve"> Dirección de Presupuestos gobierno de Chile. Resultados de Evaluaciones.</t>
  </si>
  <si>
    <t>Emplea metodologías experimentales o cuasi-experimentales, que permiten evaluar resultados intermedios y finales de un programa o política pública. La evaluación considera, al menos, los siguientes focos o ámbitos: resultados en términos de eficacia a nivel de productos, resultados intermedios y resultados finales; uso de recursos en términos de eficiencia y economía, y mediciones globales del desempeño. A partir de 2018 se reformuló esta línea de evaluación, incorporando dos mecanismos diferentes de selección: el Fondo de Evaluación de Impacto que consiste en un concurso público para que académicos propongan programas a evaluar y por otro lado las evaluaciones de programas piloto, seleccionados por el equipo de DIPRES. Iniciada el año 2001.</t>
  </si>
  <si>
    <t>Categorías de Desempeño s.i</t>
  </si>
  <si>
    <t>Se refiere a que la evaluación no entrega información suficiente que permita obtener resultados concluyentes respecto del desempeño del programa. Categoría de Desempeño utilizadas en el Período 2011-2017.</t>
  </si>
  <si>
    <t>Se refiere a que el programa tiene resultados positivos que dan cuenta de sus objetivos, sin embargo, presenta debilidades en alguna(s) de las dimensiones evaluadas. Categoría de Desempeño utilizadas en el  Período 2011-2017.</t>
  </si>
  <si>
    <t>Mal Desempeño (Rediseño del programa/ 
prescindir del programa)</t>
  </si>
  <si>
    <t>El programa presenta resultados a nivel intermedio y final insuficientes y/o muestra debilidades significativas en el diseño, implementación y/o eficiencia. Resultados “Insuficiente” o “No Concluyente” y ningún ámbito “Suficiente". Categoría de Desempeño utilizadas a partir del año 2018.</t>
  </si>
  <si>
    <t>Finalización o Reemplazo Íntegro del Programa</t>
  </si>
  <si>
    <t>Línea Evaluación - Impacto de Programas</t>
  </si>
  <si>
    <t>Línea Evaluación - Gasto Institucional</t>
  </si>
  <si>
    <t>Línea Evaluación - Programas Gubernamentales</t>
  </si>
  <si>
    <t>Línea Evaluación - Focalizada de Ámbito</t>
  </si>
  <si>
    <t>Línea Evaluación - Programas Nuevos</t>
  </si>
  <si>
    <t>Indicadores de Desempeño</t>
  </si>
  <si>
    <t>2 a 5 millones USD</t>
  </si>
  <si>
    <t>2 millones USD y menos</t>
  </si>
  <si>
    <t>5 a 7,5 millones USD</t>
  </si>
  <si>
    <t>7,5 a 10 millones USD</t>
  </si>
  <si>
    <t>10 a 15 millones USD</t>
  </si>
  <si>
    <t>15 a 20 millones USD</t>
  </si>
  <si>
    <t>20 a 30 millones USD</t>
  </si>
  <si>
    <t>30 a 50 millones USD</t>
  </si>
  <si>
    <t>50 a 100 millones USD</t>
  </si>
  <si>
    <t>100 millones USD y mas</t>
  </si>
  <si>
    <t>Rangos Presupuesto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</si>
</sst>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
      <b/>
      <sz val="18"/>
      <color theme="3"/>
      <name val="Calibri Light"/>
      <family val="2"/>
      <scheme val="major"/>
    </font>
    <font>
      <sz val="11"/>
      <color rgb="FF9C6500"/>
      <name val="Calibri"/>
      <family val="2"/>
      <scheme val="minor"/>
    </font>
    <font>
      <sz val="1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u/>
      <sz val="9"/>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
      <patternFill patternType="solid">
        <fgColor theme="0" tint="-0.249977111117893"/>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top/>
      <bottom/>
      <diagonal/>
    </border>
  </borders>
  <cellStyleXfs count="5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1" fillId="4" borderId="0" applyNumberFormat="0" applyBorder="0" applyAlignment="0" applyProtection="0"/>
    <xf numFmtId="0" fontId="20" fillId="0" borderId="0" applyNumberFormat="0" applyFill="0" applyBorder="0" applyAlignment="0" applyProtection="0"/>
  </cellStyleXfs>
  <cellXfs count="90">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5" fontId="0" fillId="35" borderId="0" xfId="43" applyNumberFormat="1" applyFont="1"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14" fontId="0" fillId="0" borderId="0" xfId="0" applyNumberFormat="1"/>
    <xf numFmtId="3" fontId="0" fillId="0" borderId="0" xfId="0" applyNumberFormat="1"/>
    <xf numFmtId="41" fontId="0" fillId="38" borderId="0" xfId="42" applyFont="1" applyFill="1"/>
    <xf numFmtId="3" fontId="17" fillId="33" borderId="0" xfId="0" applyNumberFormat="1" applyFont="1" applyFill="1" applyAlignment="1"/>
    <xf numFmtId="3" fontId="0" fillId="0" borderId="0" xfId="0" applyNumberFormat="1" applyFill="1"/>
    <xf numFmtId="3" fontId="0" fillId="35" borderId="0" xfId="0" applyNumberFormat="1" applyFill="1"/>
    <xf numFmtId="41" fontId="0" fillId="35" borderId="0" xfId="42" applyFont="1" applyFill="1"/>
    <xf numFmtId="0" fontId="19" fillId="35" borderId="0" xfId="44" applyFill="1"/>
    <xf numFmtId="165" fontId="0" fillId="0" borderId="0" xfId="0" applyNumberFormat="1" applyFill="1"/>
    <xf numFmtId="41" fontId="0" fillId="0" borderId="0" xfId="0" applyNumberFormat="1"/>
    <xf numFmtId="4" fontId="22" fillId="36" borderId="18" xfId="0" applyNumberFormat="1" applyFont="1" applyFill="1" applyBorder="1" applyAlignment="1">
      <alignment wrapText="1"/>
    </xf>
    <xf numFmtId="0" fontId="22" fillId="36" borderId="17" xfId="0" applyFont="1" applyFill="1" applyBorder="1" applyAlignment="1">
      <alignment wrapText="1"/>
    </xf>
    <xf numFmtId="4" fontId="0" fillId="0" borderId="20" xfId="0" applyNumberFormat="1" applyBorder="1" applyAlignment="1">
      <alignment wrapText="1"/>
    </xf>
    <xf numFmtId="41" fontId="0" fillId="0" borderId="19" xfId="42" applyFont="1" applyBorder="1" applyAlignment="1">
      <alignment wrapText="1"/>
    </xf>
    <xf numFmtId="4" fontId="0" fillId="0" borderId="16" xfId="0" applyNumberFormat="1" applyBorder="1" applyAlignment="1">
      <alignment wrapText="1"/>
    </xf>
    <xf numFmtId="41" fontId="0" fillId="0" borderId="15" xfId="42" applyFont="1" applyBorder="1" applyAlignment="1">
      <alignment wrapText="1"/>
    </xf>
    <xf numFmtId="41" fontId="0" fillId="0" borderId="0" xfId="0" applyNumberFormat="1" applyFill="1"/>
    <xf numFmtId="3" fontId="0" fillId="35" borderId="0" xfId="43" applyNumberFormat="1" applyFont="1" applyFill="1" applyAlignment="1"/>
    <xf numFmtId="165" fontId="0" fillId="35" borderId="0" xfId="0" applyNumberFormat="1" applyFill="1"/>
    <xf numFmtId="0" fontId="0" fillId="0" borderId="0" xfId="0"/>
    <xf numFmtId="0" fontId="16" fillId="0" borderId="0" xfId="0" applyFont="1"/>
    <xf numFmtId="9" fontId="0" fillId="0" borderId="0" xfId="45" applyFont="1"/>
    <xf numFmtId="41" fontId="0" fillId="0" borderId="13" xfId="0" applyNumberFormat="1" applyBorder="1"/>
    <xf numFmtId="9" fontId="0" fillId="0" borderId="13" xfId="45" applyFont="1" applyBorder="1"/>
    <xf numFmtId="0" fontId="17" fillId="33" borderId="13" xfId="0" applyFont="1" applyFill="1" applyBorder="1" applyAlignment="1"/>
    <xf numFmtId="0" fontId="13" fillId="34" borderId="10" xfId="0" applyFont="1" applyFill="1" applyBorder="1" applyAlignment="1">
      <alignment vertical="top"/>
    </xf>
    <xf numFmtId="0" fontId="0" fillId="37" borderId="0" xfId="0" applyFill="1" applyAlignment="1">
      <alignment vertical="top"/>
    </xf>
    <xf numFmtId="0" fontId="19" fillId="0" borderId="0" xfId="44" applyAlignment="1">
      <alignment vertical="top"/>
    </xf>
    <xf numFmtId="0" fontId="13" fillId="34" borderId="10" xfId="0" applyFont="1" applyFill="1" applyBorder="1" applyAlignment="1">
      <alignment vertical="center" wrapText="1"/>
    </xf>
    <xf numFmtId="0" fontId="0" fillId="0" borderId="0" xfId="0" applyFont="1" applyAlignment="1">
      <alignment vertical="center" wrapText="1"/>
    </xf>
    <xf numFmtId="0" fontId="0" fillId="37" borderId="0" xfId="0" applyFont="1" applyFill="1" applyAlignment="1">
      <alignment vertical="center" wrapText="1"/>
    </xf>
    <xf numFmtId="0" fontId="19" fillId="0" borderId="0" xfId="44" applyFont="1" applyAlignment="1">
      <alignment vertical="center" wrapText="1"/>
    </xf>
    <xf numFmtId="0" fontId="13" fillId="34" borderId="11" xfId="0" applyFont="1" applyFill="1" applyBorder="1" applyAlignment="1">
      <alignment vertical="top"/>
    </xf>
    <xf numFmtId="0" fontId="0" fillId="0" borderId="0" xfId="0" applyAlignment="1">
      <alignment vertical="top" wrapText="1"/>
    </xf>
    <xf numFmtId="0" fontId="23" fillId="0" borderId="0" xfId="0" applyFont="1" applyAlignment="1">
      <alignment vertical="center"/>
    </xf>
    <xf numFmtId="0" fontId="23" fillId="0" borderId="0" xfId="0" applyFont="1" applyAlignment="1">
      <alignment vertical="center" wrapText="1"/>
    </xf>
    <xf numFmtId="0" fontId="24" fillId="0" borderId="0" xfId="0" applyFont="1" applyAlignment="1">
      <alignment vertical="center"/>
    </xf>
    <xf numFmtId="0" fontId="24" fillId="0" borderId="0" xfId="0" applyFont="1" applyAlignment="1">
      <alignment vertical="center" wrapText="1"/>
    </xf>
    <xf numFmtId="0" fontId="26" fillId="0" borderId="0" xfId="0" applyFont="1" applyAlignment="1">
      <alignment vertical="center" wrapText="1"/>
    </xf>
    <xf numFmtId="0" fontId="23" fillId="0" borderId="0" xfId="0" applyFont="1" applyAlignment="1">
      <alignment horizontal="center" vertical="center"/>
    </xf>
    <xf numFmtId="0" fontId="23" fillId="0" borderId="0" xfId="0" applyFont="1" applyAlignment="1">
      <alignment horizontal="center" vertical="center" wrapText="1"/>
    </xf>
    <xf numFmtId="0" fontId="27" fillId="0" borderId="0" xfId="44" applyFont="1" applyAlignment="1">
      <alignment vertical="center"/>
    </xf>
    <xf numFmtId="0" fontId="27" fillId="0" borderId="0" xfId="44" applyFont="1"/>
    <xf numFmtId="0" fontId="27" fillId="0" borderId="0" xfId="44" applyFont="1" applyAlignment="1">
      <alignment vertical="center" wrapText="1"/>
    </xf>
    <xf numFmtId="0" fontId="23" fillId="0" borderId="0" xfId="0" applyFont="1" applyFill="1" applyAlignment="1">
      <alignment vertical="center" wrapText="1"/>
    </xf>
    <xf numFmtId="0" fontId="23" fillId="0" borderId="0" xfId="0" applyFont="1" applyFill="1" applyAlignment="1">
      <alignment horizontal="center" vertical="center" wrapText="1"/>
    </xf>
    <xf numFmtId="0" fontId="24" fillId="0" borderId="0" xfId="0" applyFont="1" applyFill="1" applyAlignment="1">
      <alignment vertical="center" wrapText="1"/>
    </xf>
    <xf numFmtId="3" fontId="0" fillId="0" borderId="0" xfId="0" applyNumberFormat="1" applyAlignment="1">
      <alignment horizontal="center" vertical="center"/>
    </xf>
    <xf numFmtId="0" fontId="19" fillId="0" borderId="0" xfId="44" applyAlignment="1">
      <alignment vertical="center"/>
    </xf>
    <xf numFmtId="0" fontId="0" fillId="0" borderId="0" xfId="0" applyAlignment="1">
      <alignment horizontal="center" vertical="top" wrapText="1"/>
    </xf>
    <xf numFmtId="16" fontId="0" fillId="0" borderId="0" xfId="0" applyNumberFormat="1"/>
    <xf numFmtId="0" fontId="17" fillId="33" borderId="21" xfId="0" applyFont="1" applyFill="1" applyBorder="1" applyAlignment="1"/>
  </cellXfs>
  <cellStyles count="5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1 2" xfId="46" xr:uid="{7EFA0405-14C8-4DA4-9179-19D7AF3E2F16}"/>
    <cellStyle name="60% - Énfasis2" xfId="25" builtinId="36" customBuiltin="1"/>
    <cellStyle name="60% - Énfasis2 2" xfId="47" xr:uid="{CF2868C1-1A05-4104-A223-03D16FF3C647}"/>
    <cellStyle name="60% - Énfasis3" xfId="29" builtinId="40" customBuiltin="1"/>
    <cellStyle name="60% - Énfasis3 2" xfId="48" xr:uid="{C8F3DF10-7D8D-44B9-A42B-93853CA0582D}"/>
    <cellStyle name="60% - Énfasis4" xfId="33" builtinId="44" customBuiltin="1"/>
    <cellStyle name="60% - Énfasis4 2" xfId="49" xr:uid="{0105E214-20BF-4485-BAB0-037B885D4F88}"/>
    <cellStyle name="60% - Énfasis5" xfId="37" builtinId="48" customBuiltin="1"/>
    <cellStyle name="60% - Énfasis5 2" xfId="50" xr:uid="{76DE4A43-E990-4049-8483-850B2D56DEC6}"/>
    <cellStyle name="60% - Énfasis6" xfId="41" builtinId="52" customBuiltin="1"/>
    <cellStyle name="60% - Énfasis6 2" xfId="51" xr:uid="{283B55E3-BED8-4C64-AF31-226F64EF67A6}"/>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eutral 2" xfId="52" xr:uid="{F084CDAC-BD58-4A7F-A4ED-378173FA2CE6}"/>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ítulo 4" xfId="53" xr:uid="{78036274-2BEB-4690-A939-65B5655A7A09}"/>
    <cellStyle name="Total" xfId="17" builtinId="25" customBuiltin="1"/>
  </cellStyles>
  <dxfs count="6">
    <dxf>
      <numFmt numFmtId="4" formatCode="#,##0.00"/>
      <alignment horizontal="general"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770351-8B30-4352-A011-CF80AB303596}" name="Tabla1" displayName="Tabla1" ref="BI3:BJ25" totalsRowShown="0" headerRowDxfId="5" headerRowBorderDxfId="4" tableBorderDxfId="3" totalsRowBorderDxfId="2">
  <autoFilter ref="BI3:BJ25" xr:uid="{45542470-2C82-42A1-98A3-EC4E8EA75314}"/>
  <tableColumns count="2">
    <tableColumn id="1" xr3:uid="{E70C03A4-5796-40E5-BF82-E18181BED1A1}" name="Periodo" dataDxfId="1" dataCellStyle="Millares [0]"/>
    <tableColumn id="2" xr3:uid="{1C1BC723-8CFB-475D-9972-CA9829DD33E6}" name="1. Dólar observad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37" Type="http://schemas.openxmlformats.org/officeDocument/2006/relationships/hyperlink" Target="https://www.dipres.gob.cl/597/articles-141219_r_ejecutivo_institucional.pdf" TargetMode="External"/><Relationship Id="rId258" Type="http://schemas.openxmlformats.org/officeDocument/2006/relationships/printerSettings" Target="../printerSettings/printerSettings1.bin"/><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248" Type="http://schemas.openxmlformats.org/officeDocument/2006/relationships/hyperlink" Target="https://www.dipres.gob.cl/597/articles-160334_informe_fi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8" Type="http://schemas.openxmlformats.org/officeDocument/2006/relationships/hyperlink" Target="https://www.dipres.gob.cl/597/articles-141219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hyperlink" Target="https://www.dipres.gob.cl/597/articles-139791_r_ejecutivo_institucional.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39" Type="http://schemas.openxmlformats.org/officeDocument/2006/relationships/hyperlink" Target="https://www.dipres.gob.cl/597/articles-141219_seguimiento_compromisos.pdf" TargetMode="External"/><Relationship Id="rId250" Type="http://schemas.openxmlformats.org/officeDocument/2006/relationships/hyperlink" Target="https://www.dipres.gob.cl/597/articles-141215_informe_final.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240" Type="http://schemas.openxmlformats.org/officeDocument/2006/relationships/hyperlink" Target="https://www.dipres.gob.cl/597/articles-141218_r_ejecutivo_institucio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230" Type="http://schemas.openxmlformats.org/officeDocument/2006/relationships/hyperlink" Target="https://www.dipres.gob.cl/597/articles-139791_seguimiento_compromisos.pdf" TargetMode="External"/><Relationship Id="rId251" Type="http://schemas.openxmlformats.org/officeDocument/2006/relationships/hyperlink" Target="https://www.dipres.gob.cl/597/articles-141215_seguimiento_compromisos.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220" Type="http://schemas.openxmlformats.org/officeDocument/2006/relationships/hyperlink" Target="https://www.dipres.gob.cl/597/articles-141236_informe_final.pdf" TargetMode="External"/><Relationship Id="rId241" Type="http://schemas.openxmlformats.org/officeDocument/2006/relationships/hyperlink" Target="https://www.dipres.gob.cl/597/articles-141218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78" Type="http://schemas.openxmlformats.org/officeDocument/2006/relationships/hyperlink" Target="http://www.dipres.gob.cl/597/articles-163119_seguimiento_compromisos.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64" Type="http://schemas.openxmlformats.org/officeDocument/2006/relationships/hyperlink" Target="https://www.dipres.gob.cl/597/articles-205711_informe_final.pdf" TargetMode="External"/><Relationship Id="rId185" Type="http://schemas.openxmlformats.org/officeDocument/2006/relationships/hyperlink" Target="https://www.dipres.gob.cl/597/articles-141243_seguimiento_compromisos.pdf" TargetMode="External"/><Relationship Id="rId9" Type="http://schemas.openxmlformats.org/officeDocument/2006/relationships/hyperlink" Target="https://www.dipres.gob.cl/597/articles-189316_seguimiento_compromisos.pdf" TargetMode="External"/><Relationship Id="rId210" Type="http://schemas.openxmlformats.org/officeDocument/2006/relationships/hyperlink" Target="https://www.dipres.gob.cl/597/articles-139833_r_ejecutivo_institucional.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54" Type="http://schemas.openxmlformats.org/officeDocument/2006/relationships/hyperlink" Target="https://www.dipres.gob.cl/597/articles-141214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244" Type="http://schemas.openxmlformats.org/officeDocument/2006/relationships/hyperlink" Target="https://www.dipres.gob.cl/597/articles-141217_seguimiento_compromisos.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34" Type="http://schemas.openxmlformats.org/officeDocument/2006/relationships/hyperlink" Target="https://www.dipres.gob.cl/597/articles-139784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5" Type="http://schemas.openxmlformats.org/officeDocument/2006/relationships/hyperlink" Target="https://www.dipres.gob.cl/597/articles-177369_r_ejecutivo_institucional.pdf" TargetMode="External"/><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5" Type="http://schemas.openxmlformats.org/officeDocument/2006/relationships/hyperlink" Target="https://www.dipres.gob.cl/597/articles-141216_r_ejecutivo_institucional.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5" Type="http://schemas.openxmlformats.org/officeDocument/2006/relationships/hyperlink" Target="https://www.dipres.gob.cl/597/articles-139784_informe_final.pdf" TargetMode="External"/><Relationship Id="rId256" Type="http://schemas.openxmlformats.org/officeDocument/2006/relationships/hyperlink" Target="https://www.dipres.gob.cl/597/articles-177369_informe_final.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179" Type="http://schemas.openxmlformats.org/officeDocument/2006/relationships/hyperlink" Target="https://www.dipres.gob.cl/597/articles-175242_informe_final.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5" Type="http://schemas.openxmlformats.org/officeDocument/2006/relationships/hyperlink" Target="https://www.dipres.gob.cl/597/articles-139826_r_ejecutivo_institucional.pdf" TargetMode="External"/><Relationship Id="rId246" Type="http://schemas.openxmlformats.org/officeDocument/2006/relationships/hyperlink" Target="https://www.dipres.gob.cl/597/articles-141216_informe_fi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94" Type="http://schemas.openxmlformats.org/officeDocument/2006/relationships/hyperlink" Target="https://www.dipres.gob.cl/597/articles-163118_informe_final.pdf" TargetMode="External"/><Relationship Id="rId148" Type="http://schemas.openxmlformats.org/officeDocument/2006/relationships/hyperlink" Target="https://www.dipres.gob.cl/597/articles-205704_informe_final.pdf" TargetMode="External"/><Relationship Id="rId169" Type="http://schemas.openxmlformats.org/officeDocument/2006/relationships/hyperlink" Target="https://www.dipres.gob.cl/597/articles-205715_r_ejecutivo_institucional.pdf" TargetMode="External"/><Relationship Id="rId4" Type="http://schemas.openxmlformats.org/officeDocument/2006/relationships/hyperlink" Target="https://www.dipres.gob.cl/597/articles-189314_informe_final.pdf" TargetMode="External"/><Relationship Id="rId180" Type="http://schemas.openxmlformats.org/officeDocument/2006/relationships/hyperlink" Target="https://www.dipres.gob.cl/597/articles-141244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 Id="rId257" Type="http://schemas.openxmlformats.org/officeDocument/2006/relationships/hyperlink" Target="https://www.dipres.gob.cl/597/articles-177369_seguimiento_compromisos.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programassociales.ministeriodesarrollosocial.gob.cl/pdf/2020/PRG2020_3_59244.pdf" TargetMode="External"/><Relationship Id="rId21" Type="http://schemas.openxmlformats.org/officeDocument/2006/relationships/hyperlink" Target="https://programassociales.ministeriodesarrollosocial.gob.cl/" TargetMode="External"/><Relationship Id="rId42" Type="http://schemas.openxmlformats.org/officeDocument/2006/relationships/hyperlink" Target="https://programassociales.ministeriodesarrollosocial.gob.cl/pdf/2018/PRG2018_3_59471.pdf" TargetMode="External"/><Relationship Id="rId47" Type="http://schemas.openxmlformats.org/officeDocument/2006/relationships/hyperlink" Target="https://programassociales.ministeriodesarrollosocial.gob.cl/" TargetMode="External"/><Relationship Id="rId63" Type="http://schemas.openxmlformats.org/officeDocument/2006/relationships/hyperlink" Target="https://www.camara.cl/verDoc.aspx?prmID=14609&amp;prmTIPO=INFORMEPLEY" TargetMode="External"/><Relationship Id="rId68" Type="http://schemas.openxmlformats.org/officeDocument/2006/relationships/hyperlink" Target="https://programassociales.ministeriodesarrollosocial.gob.cl/pdf/2012/PRG2012_3_5002.pdf" TargetMode="External"/><Relationship Id="rId7" Type="http://schemas.openxmlformats.org/officeDocument/2006/relationships/hyperlink" Target="https://programassociales.ministeriodesarrollosocial.gob.cl/pdf/2018/PRG2018_3_59466.pdf" TargetMode="External"/><Relationship Id="rId2" Type="http://schemas.openxmlformats.org/officeDocument/2006/relationships/hyperlink" Target="https://programassociales.ministeriodesarrollosocial.gob.cl/pdf/2017/PRG2017_3_497.pdf" TargetMode="External"/><Relationship Id="rId16" Type="http://schemas.openxmlformats.org/officeDocument/2006/relationships/hyperlink" Target="https://www.minsal.cl/campana-mas-medicos-y-especialistas/" TargetMode="External"/><Relationship Id="rId29" Type="http://schemas.openxmlformats.org/officeDocument/2006/relationships/hyperlink" Target="https://programassociales.ministeriodesarrollosocial.gob.cl/" TargetMode="External"/><Relationship Id="rId11" Type="http://schemas.openxmlformats.org/officeDocument/2006/relationships/hyperlink" Target="https://programassociales.ministeriodesarrollosocial.gob.cl/pdf/2020/PRG2020_3_924.pdf" TargetMode="External"/><Relationship Id="rId24" Type="http://schemas.openxmlformats.org/officeDocument/2006/relationships/hyperlink" Target="https://programassociales.ministeriodesarrollosocial.gob.cl/pdf/2020/PRG2020_3_59465.pdf" TargetMode="External"/><Relationship Id="rId32" Type="http://schemas.openxmlformats.org/officeDocument/2006/relationships/hyperlink" Target="https://www.senado.cl/site/presupuesto/2018/cumplimiento/Glosas%202018/tercera%20subcomision/16%20Salud/212%20Salud.pdf" TargetMode="External"/><Relationship Id="rId37" Type="http://schemas.openxmlformats.org/officeDocument/2006/relationships/hyperlink" Target="https://programassociales.ministeriodesarrollosocial.gob.cl/" TargetMode="External"/><Relationship Id="rId40" Type="http://schemas.openxmlformats.org/officeDocument/2006/relationships/hyperlink" Target="https://programassociales.ministeriodesarrollosocial.gob.cl/pdf/2018/PRG2018_3_548.pdf" TargetMode="External"/><Relationship Id="rId45" Type="http://schemas.openxmlformats.org/officeDocument/2006/relationships/hyperlink" Target="https://programassociales.ministeriodesarrollosocial.gob.cl/" TargetMode="External"/><Relationship Id="rId53" Type="http://schemas.openxmlformats.org/officeDocument/2006/relationships/hyperlink" Target="https://programassociales.ministeriodesarrollosocial.gob.cl/" TargetMode="External"/><Relationship Id="rId58" Type="http://schemas.openxmlformats.org/officeDocument/2006/relationships/hyperlink" Target="https://programassociales.ministeriodesarrollosocial.gob.cl/" TargetMode="External"/><Relationship Id="rId66" Type="http://schemas.openxmlformats.org/officeDocument/2006/relationships/hyperlink" Target="http://www.dipres.cl/597/articles-74331_doc_pdf.pdf" TargetMode="External"/><Relationship Id="rId5" Type="http://schemas.openxmlformats.org/officeDocument/2006/relationships/hyperlink" Target="https://www.senado.cl/" TargetMode="External"/><Relationship Id="rId61" Type="http://schemas.openxmlformats.org/officeDocument/2006/relationships/hyperlink" Target="https://www.sename.cl/wsename/otros/03_DOC_PUB_VN/02_Informes_Gestion/Informe%20de%20Gesti%C3%B3n%202010%20Programa%20Vida%20Nueva.pdf" TargetMode="External"/><Relationship Id="rId19" Type="http://schemas.openxmlformats.org/officeDocument/2006/relationships/hyperlink" Target="https://www.dipres.gob.cl/598/w3-propertyvalue-2129.html" TargetMode="External"/><Relationship Id="rId14" Type="http://schemas.openxmlformats.org/officeDocument/2006/relationships/hyperlink" Target="https://www.senado.cl/site/presupuesto/2017/cumplimiento/Glosas%202017/primera_subcomision/21%20Des.%20Social/3953SES/Inf%20monitioreo%20cierre%202016/Fundaciones%20(18-7)/Fundaci%C3%B3n%20Integra%20(2-0)/Jardines%20Infantiles%20y%20Salas%20Cuna%20de%20Administraci%C3%B3n%20Directa(Seguimiento).pdf" TargetMode="External"/><Relationship Id="rId22" Type="http://schemas.openxmlformats.org/officeDocument/2006/relationships/hyperlink" Target="https://programassociales.ministeriodesarrollosocial.gob.cl/pdf/2020/PRG2020_3_63383.pdf" TargetMode="External"/><Relationship Id="rId27" Type="http://schemas.openxmlformats.org/officeDocument/2006/relationships/hyperlink" Target="https://programassociales.ministeriodesarrollosocial.gob.cl/" TargetMode="External"/><Relationship Id="rId30" Type="http://schemas.openxmlformats.org/officeDocument/2006/relationships/hyperlink" Target="https://programassociales.ministeriodesarrollosocial.gob.cl/" TargetMode="External"/><Relationship Id="rId35" Type="http://schemas.openxmlformats.org/officeDocument/2006/relationships/hyperlink" Target="https://programassociales.ministeriodesarrollosocial.gob.cl/" TargetMode="External"/><Relationship Id="rId43" Type="http://schemas.openxmlformats.org/officeDocument/2006/relationships/hyperlink" Target="https://programassociales.ministeriodesarrollosocial.gob.cl/" TargetMode="External"/><Relationship Id="rId48" Type="http://schemas.openxmlformats.org/officeDocument/2006/relationships/hyperlink" Target="https://programassociales.ministeriodesarrollosocial.gob.cl/pdf/2017/PRG2017_5_1000900.pdf" TargetMode="External"/><Relationship Id="rId56" Type="http://schemas.openxmlformats.org/officeDocument/2006/relationships/hyperlink" Target="https://www.mercadopublico.cl/Procurement/Modules/RFB/StepsProcessAward/PreviewAwardAct.aspx?qs=9NbHoyxWhKUFU4yb+5vtF3SKZylro6jOzWkBCZvr%2Fvs%3D" TargetMode="External"/><Relationship Id="rId64" Type="http://schemas.openxmlformats.org/officeDocument/2006/relationships/hyperlink" Target="https://www.camara.cl/" TargetMode="External"/><Relationship Id="rId69" Type="http://schemas.openxmlformats.org/officeDocument/2006/relationships/hyperlink" Target="https://programassociales.ministeriodesarrollosocial.gob.cl/" TargetMode="External"/><Relationship Id="rId8" Type="http://schemas.openxmlformats.org/officeDocument/2006/relationships/hyperlink" Target="https://www.dipres.gob.cl/597/articles-170561_doc_xls.xls" TargetMode="External"/><Relationship Id="rId51" Type="http://schemas.openxmlformats.org/officeDocument/2006/relationships/hyperlink" Target="https://programassociales.ministeriodesarrollosocial.gob.cl/" TargetMode="External"/><Relationship Id="rId3" Type="http://schemas.openxmlformats.org/officeDocument/2006/relationships/hyperlink" Target="https://programassociales.ministeriodesarrollosocial.gob.cl/" TargetMode="External"/><Relationship Id="rId12" Type="http://schemas.openxmlformats.org/officeDocument/2006/relationships/hyperlink" Target="https://www.senado.cl/" TargetMode="External"/><Relationship Id="rId17" Type="http://schemas.openxmlformats.org/officeDocument/2006/relationships/hyperlink" Target="https://www.dipres.gob.cl/597/articles-96785_doc_xls.xls" TargetMode="External"/><Relationship Id="rId25" Type="http://schemas.openxmlformats.org/officeDocument/2006/relationships/hyperlink" Target="https://programassociales.ministeriodesarrollosocial.gob.cl/" TargetMode="External"/><Relationship Id="rId33" Type="http://schemas.openxmlformats.org/officeDocument/2006/relationships/hyperlink" Target="https://www.senado.cl/" TargetMode="External"/><Relationship Id="rId38" Type="http://schemas.openxmlformats.org/officeDocument/2006/relationships/hyperlink" Target="http://www.doh.cl/Gestion/bgi/Documents/BGI%202018.pdf" TargetMode="External"/><Relationship Id="rId46" Type="http://schemas.openxmlformats.org/officeDocument/2006/relationships/hyperlink" Target="https://programassociales.ministeriodesarrollosocial.gob.cl/pdf/2020/PRG2020_3_5060.pdf" TargetMode="External"/><Relationship Id="rId59" Type="http://schemas.openxmlformats.org/officeDocument/2006/relationships/hyperlink" Target="https://programassociales.ministeriodesarrollosocial.gob.cl/pdf/2015/PRG2015_3_1719.pdf" TargetMode="External"/><Relationship Id="rId67" Type="http://schemas.openxmlformats.org/officeDocument/2006/relationships/hyperlink" Target="http://www.dipres.cl/" TargetMode="External"/><Relationship Id="rId20" Type="http://schemas.openxmlformats.org/officeDocument/2006/relationships/hyperlink" Target="https://programassociales.ministeriodesarrollosocial.gob.cl/pdf/2020/PRG2020_3_59464.pdf" TargetMode="External"/><Relationship Id="rId41" Type="http://schemas.openxmlformats.org/officeDocument/2006/relationships/hyperlink" Target="https://programassociales.ministeriodesarrollosocial.gob.cl/" TargetMode="External"/><Relationship Id="rId54" Type="http://schemas.openxmlformats.org/officeDocument/2006/relationships/hyperlink" Target="https://programassociales.ministeriodesarrollosocial.gob.cl/" TargetMode="External"/><Relationship Id="rId62" Type="http://schemas.openxmlformats.org/officeDocument/2006/relationships/hyperlink" Target="https://www.sename.cl/" TargetMode="External"/><Relationship Id="rId70" Type="http://schemas.openxmlformats.org/officeDocument/2006/relationships/hyperlink" Target="http://www.dipres.gob.cl/597/w3-propertyname-557.html" TargetMode="External"/><Relationship Id="rId1" Type="http://schemas.openxmlformats.org/officeDocument/2006/relationships/hyperlink" Target="https://www.dipres.gob.cl/597/articles-170789_doc_xls.xls" TargetMode="External"/><Relationship Id="rId6" Type="http://schemas.openxmlformats.org/officeDocument/2006/relationships/hyperlink" Target="https://programassociales.ministeriodesarrollosocial.gob.cl/" TargetMode="External"/><Relationship Id="rId15" Type="http://schemas.openxmlformats.org/officeDocument/2006/relationships/hyperlink" Target="https://www.dipres.gob.cl/597/articles-128407_doc_xls.xls" TargetMode="External"/><Relationship Id="rId23" Type="http://schemas.openxmlformats.org/officeDocument/2006/relationships/hyperlink" Target="https://programassociales.ministeriodesarrollosocial.gob.cl/" TargetMode="External"/><Relationship Id="rId28" Type="http://schemas.openxmlformats.org/officeDocument/2006/relationships/hyperlink" Target="https://programassociales.ministeriodesarrollosocial.gob.cl/pdf/2020/PRG2020_3_5057.pdf" TargetMode="External"/><Relationship Id="rId36" Type="http://schemas.openxmlformats.org/officeDocument/2006/relationships/hyperlink" Target="https://programassociales.ministeriodesarrollosocial.gob.cl/pdf/2018/PRG2018_3_60236.pdf" TargetMode="External"/><Relationship Id="rId49" Type="http://schemas.openxmlformats.org/officeDocument/2006/relationships/hyperlink" Target="https://programassociales.ministeriodesarrollosocial.gob.cl/" TargetMode="External"/><Relationship Id="rId57" Type="http://schemas.openxmlformats.org/officeDocument/2006/relationships/hyperlink" Target="https://programassociales.ministeriodesarrollosocial.gob.cl/pdf/2015/PRG2015_5_61893.pdf" TargetMode="External"/><Relationship Id="rId10" Type="http://schemas.openxmlformats.org/officeDocument/2006/relationships/hyperlink" Target="https://programassociales.ministeriodesarrollosocial.gob.cl/" TargetMode="External"/><Relationship Id="rId31" Type="http://schemas.openxmlformats.org/officeDocument/2006/relationships/hyperlink" Target="https://programassociales.ministeriodesarrollosocial.gob.cl/pdf/2020/PRG2020_3_59470.pdf" TargetMode="External"/><Relationship Id="rId44" Type="http://schemas.openxmlformats.org/officeDocument/2006/relationships/hyperlink" Target="https://programassociales.ministeriodesarrollosocial.gob.cl/pdf/2020/PRG2020_3_5059.pdf" TargetMode="External"/><Relationship Id="rId52" Type="http://schemas.openxmlformats.org/officeDocument/2006/relationships/hyperlink" Target="https://programassociales.ministeriodesarrollosocial.gob.cl/pdf/2020/PRG2020_4_63172.pdf" TargetMode="External"/><Relationship Id="rId60" Type="http://schemas.openxmlformats.org/officeDocument/2006/relationships/hyperlink" Target="https://programassociales.ministeriodesarrollosocial.gob.cl/" TargetMode="External"/><Relationship Id="rId65" Type="http://schemas.openxmlformats.org/officeDocument/2006/relationships/hyperlink" Target="https://www.chiletransparente.cl/wp-content/uploads/2014/03/Ley-de-Presupestos-Gobiernos-Regionales.pdf" TargetMode="External"/><Relationship Id="rId4" Type="http://schemas.openxmlformats.org/officeDocument/2006/relationships/hyperlink" Target="https://www.senado.cl/site/presupuesto/2017/cumplimiento/Ejecucion/Febrero2017/26.pptx" TargetMode="External"/><Relationship Id="rId9" Type="http://schemas.openxmlformats.org/officeDocument/2006/relationships/hyperlink" Target="https://programassociales.ministeriodesarrollosocial.gob.cl/pdf/2020/PRG2020_3_59464.pdf" TargetMode="External"/><Relationship Id="rId13" Type="http://schemas.openxmlformats.org/officeDocument/2006/relationships/hyperlink" Target="https://www.dipres.gob.cl/597/articles-126580_doc_xls.xls" TargetMode="External"/><Relationship Id="rId18" Type="http://schemas.openxmlformats.org/officeDocument/2006/relationships/hyperlink" Target="https://www.dropbox.com/home/Dise%C3%B1o%20DATA's/DATA-EVAL/BD%20Ley%20Presupuesto%20desde%202009" TargetMode="External"/><Relationship Id="rId39" Type="http://schemas.openxmlformats.org/officeDocument/2006/relationships/hyperlink" Target="http://www.doh.cl/Gestion/Paginas/default.aspx" TargetMode="External"/><Relationship Id="rId34" Type="http://schemas.openxmlformats.org/officeDocument/2006/relationships/hyperlink" Target="https://programassociales.ministeriodesarrollosocial.gob.cl/pdf/2018/PRG2018_3_60237.pdf" TargetMode="External"/><Relationship Id="rId50" Type="http://schemas.openxmlformats.org/officeDocument/2006/relationships/hyperlink" Target="https://programassociales.ministeriodesarrollosocial.gob.cl/pdf/2020/PRG2020_3_62058.pdf" TargetMode="External"/><Relationship Id="rId55" Type="http://schemas.openxmlformats.org/officeDocument/2006/relationships/hyperlink" Target="https://programassociales.ministeriodesarrollosocial.gob.cl/pdf/2015/PRG2015_5_61841.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rogramassociales.ministeriodesarrollosocial.gob.cl/" TargetMode="External"/><Relationship Id="rId2" Type="http://schemas.openxmlformats.org/officeDocument/2006/relationships/hyperlink" Target="https://datos.gob.cl/tr/dataset/ley-de-presupuestos-inicial-y-vigente-a-septiembre-de-2020-del-gobierno-central" TargetMode="External"/><Relationship Id="rId1" Type="http://schemas.openxmlformats.org/officeDocument/2006/relationships/hyperlink" Target="https://www.dipres.gob.cl/597/w3-propertyvalue-23076.html" TargetMode="External"/><Relationship Id="rId6" Type="http://schemas.openxmlformats.org/officeDocument/2006/relationships/printerSettings" Target="../printerSettings/printerSettings2.bin"/><Relationship Id="rId5" Type="http://schemas.openxmlformats.org/officeDocument/2006/relationships/hyperlink" Target="https://www.dipres.gob.cl/598/w3-article-111763.html" TargetMode="External"/><Relationship Id="rId4" Type="http://schemas.openxmlformats.org/officeDocument/2006/relationships/hyperlink" Target="http://www.dipres.gob.cl/597/w3-propertyname-557.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i3.bcentral.cl/Siete/ES/Siete/Cuadro/CAP_TIPO_CAMBIO/MN_TIPO_CAMBIO4/DOLAR_OBS_ADO?cbFechaDiaria=2020&amp;cbFrecuencia=ANNUAL&amp;cbCalculo=NONE&amp;cbFechaBase=" TargetMode="Externa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hyperlink" Target="https://si3.bcentral.cl/siet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dipres.gob.cl/594/articles-139847_doc_pdf.pdf" TargetMode="External"/><Relationship Id="rId2" Type="http://schemas.openxmlformats.org/officeDocument/2006/relationships/hyperlink" Target="https://www.bcn.cl/leychile/navegar/imprimir?idNorma=220923&amp;idParte=0" TargetMode="External"/><Relationship Id="rId1" Type="http://schemas.openxmlformats.org/officeDocument/2006/relationships/hyperlink" Target="http://www.dipres.gob.cl/598/w3-propertyvalue-23088.html"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622"/>
  <sheetViews>
    <sheetView tabSelected="1" zoomScaleNormal="100" workbookViewId="0">
      <pane xSplit="2" ySplit="1" topLeftCell="AS595" activePane="bottomRight" state="frozen"/>
      <selection pane="topRight" activeCell="C1" sqref="C1"/>
      <selection pane="bottomLeft" activeCell="A2" sqref="A2"/>
      <selection pane="bottomRight" activeCell="B612" sqref="B612"/>
    </sheetView>
  </sheetViews>
  <sheetFormatPr baseColWidth="10" defaultColWidth="10.6640625" defaultRowHeight="14.4" x14ac:dyDescent="0.3"/>
  <cols>
    <col min="1" max="1" width="15.33203125" bestFit="1" customWidth="1"/>
    <col min="2" max="2" width="44.5546875" customWidth="1"/>
    <col min="3" max="3" width="8" customWidth="1"/>
    <col min="4" max="4" width="52.33203125" bestFit="1" customWidth="1"/>
    <col min="5" max="5" width="38.44140625" customWidth="1"/>
    <col min="6" max="6" width="25.109375" customWidth="1"/>
    <col min="7" max="7" width="15.6640625" customWidth="1"/>
    <col min="8" max="9" width="15.6640625" style="2" customWidth="1"/>
    <col min="10" max="10" width="23" style="1" bestFit="1" customWidth="1"/>
    <col min="11" max="11" width="35.109375" bestFit="1" customWidth="1"/>
    <col min="12" max="16" width="30.6640625" customWidth="1"/>
    <col min="17" max="20" width="15.6640625" customWidth="1"/>
    <col min="21" max="21" width="17.6640625" bestFit="1" customWidth="1"/>
    <col min="22" max="22" width="14.88671875" bestFit="1" customWidth="1"/>
    <col min="23" max="23" width="31.109375" bestFit="1" customWidth="1"/>
    <col min="24" max="43" width="17.6640625" customWidth="1"/>
    <col min="44" max="44" width="24.44140625" style="10" bestFit="1" customWidth="1"/>
    <col min="45" max="45" width="24.88671875" style="39" bestFit="1" customWidth="1"/>
    <col min="46" max="46" width="34" bestFit="1" customWidth="1"/>
    <col min="47" max="47" width="31.5546875" bestFit="1" customWidth="1"/>
    <col min="48" max="48" width="21.33203125" bestFit="1" customWidth="1"/>
    <col min="49" max="49" width="22.109375" customWidth="1"/>
  </cols>
  <sheetData>
    <row r="1" spans="1:49" x14ac:dyDescent="0.3">
      <c r="A1" s="7" t="s">
        <v>0</v>
      </c>
      <c r="B1" s="7" t="s">
        <v>1</v>
      </c>
      <c r="C1" s="7" t="s">
        <v>2</v>
      </c>
      <c r="D1" s="7" t="s">
        <v>3</v>
      </c>
      <c r="E1" s="7" t="s">
        <v>4</v>
      </c>
      <c r="F1" s="7" t="s">
        <v>5</v>
      </c>
      <c r="G1" s="7" t="s">
        <v>718</v>
      </c>
      <c r="H1" s="8" t="s">
        <v>720</v>
      </c>
      <c r="I1" s="8" t="s">
        <v>721</v>
      </c>
      <c r="J1" s="9" t="s">
        <v>719</v>
      </c>
      <c r="K1" s="7" t="s">
        <v>722</v>
      </c>
      <c r="L1" s="7" t="s">
        <v>724</v>
      </c>
      <c r="M1" s="7" t="s">
        <v>725</v>
      </c>
      <c r="N1" s="7" t="s">
        <v>726</v>
      </c>
      <c r="O1" s="7" t="s">
        <v>727</v>
      </c>
      <c r="P1" s="7" t="s">
        <v>728</v>
      </c>
      <c r="Q1" s="7" t="s">
        <v>734</v>
      </c>
      <c r="R1" s="7" t="s">
        <v>736</v>
      </c>
      <c r="S1" s="7" t="s">
        <v>737</v>
      </c>
      <c r="T1" s="7" t="s">
        <v>738</v>
      </c>
      <c r="U1" s="7" t="s">
        <v>1140</v>
      </c>
      <c r="V1" s="7" t="s">
        <v>1148</v>
      </c>
      <c r="W1" s="9" t="s">
        <v>1647</v>
      </c>
      <c r="X1" s="7" t="s">
        <v>1700</v>
      </c>
      <c r="Y1" s="7" t="s">
        <v>1701</v>
      </c>
      <c r="Z1" s="7" t="s">
        <v>1702</v>
      </c>
      <c r="AA1" s="7" t="s">
        <v>1703</v>
      </c>
      <c r="AB1" s="7" t="s">
        <v>1704</v>
      </c>
      <c r="AC1" s="7" t="s">
        <v>1705</v>
      </c>
      <c r="AD1" s="7" t="s">
        <v>1706</v>
      </c>
      <c r="AE1" s="7" t="s">
        <v>1727</v>
      </c>
      <c r="AF1" s="7" t="s">
        <v>1744</v>
      </c>
      <c r="AG1" s="7" t="s">
        <v>1745</v>
      </c>
      <c r="AH1" s="7" t="s">
        <v>1746</v>
      </c>
      <c r="AI1" s="7" t="s">
        <v>1747</v>
      </c>
      <c r="AJ1" s="7" t="s">
        <v>1748</v>
      </c>
      <c r="AK1" s="7" t="s">
        <v>1768</v>
      </c>
      <c r="AL1" s="7" t="s">
        <v>1917</v>
      </c>
      <c r="AM1" s="7" t="s">
        <v>1918</v>
      </c>
      <c r="AN1" s="7" t="s">
        <v>1919</v>
      </c>
      <c r="AO1" s="7" t="s">
        <v>2033</v>
      </c>
      <c r="AP1" s="7" t="s">
        <v>2034</v>
      </c>
      <c r="AQ1" s="7" t="s">
        <v>2035</v>
      </c>
      <c r="AR1" s="7" t="s">
        <v>2360</v>
      </c>
      <c r="AS1" s="41" t="s">
        <v>2361</v>
      </c>
      <c r="AT1" s="7" t="s">
        <v>2396</v>
      </c>
      <c r="AU1" s="7" t="s">
        <v>2398</v>
      </c>
      <c r="AV1" s="7" t="s">
        <v>2420</v>
      </c>
      <c r="AW1" s="89" t="s">
        <v>2501</v>
      </c>
    </row>
    <row r="2" spans="1:49" s="33" customFormat="1" x14ac:dyDescent="0.3">
      <c r="A2" s="30">
        <v>2020</v>
      </c>
      <c r="B2" s="30" t="s">
        <v>1296</v>
      </c>
      <c r="C2" s="30" t="s">
        <v>7</v>
      </c>
      <c r="D2" s="30" t="s">
        <v>12</v>
      </c>
      <c r="E2" s="30" t="s">
        <v>13</v>
      </c>
      <c r="F2" s="30" t="s">
        <v>27</v>
      </c>
      <c r="G2" s="30" t="s">
        <v>723</v>
      </c>
      <c r="H2" s="30">
        <v>2014</v>
      </c>
      <c r="I2" s="30"/>
      <c r="J2" s="31">
        <f xml:space="preserve">  99880 * 1000000</f>
        <v>99880000000</v>
      </c>
      <c r="K2" s="30" t="s">
        <v>1648</v>
      </c>
      <c r="L2" s="30" t="s">
        <v>1329</v>
      </c>
      <c r="M2" s="30" t="s">
        <v>1330</v>
      </c>
      <c r="N2" s="30" t="s">
        <v>1334</v>
      </c>
      <c r="O2" s="30" t="s">
        <v>1333</v>
      </c>
      <c r="P2" s="30" t="s">
        <v>1335</v>
      </c>
      <c r="Q2" s="30" t="s">
        <v>1332</v>
      </c>
      <c r="R2" s="32" t="s">
        <v>1322</v>
      </c>
      <c r="S2" s="32" t="s">
        <v>1323</v>
      </c>
      <c r="T2" s="30"/>
      <c r="U2" s="30"/>
      <c r="V2" s="30" t="s">
        <v>1331</v>
      </c>
      <c r="W2" s="31">
        <f>IF( J2="s.i", "s.i", IF(ISBLANK(J2),"Actualizando información",IFERROR(J2 / VLOOKUP(A2,Deflactor!$G$3:$H$64,2,0),"Revisar error" )))</f>
        <v>76644787402.237656</v>
      </c>
      <c r="X2" s="33" t="s">
        <v>1959</v>
      </c>
      <c r="Y2" s="33" t="s">
        <v>1960</v>
      </c>
      <c r="Z2" s="33" t="s">
        <v>1961</v>
      </c>
      <c r="AA2" s="33" t="s">
        <v>1962</v>
      </c>
      <c r="AB2" s="33" t="s">
        <v>1963</v>
      </c>
      <c r="AC2" s="33" t="s">
        <v>1964</v>
      </c>
      <c r="AD2" s="33" t="s">
        <v>1965</v>
      </c>
      <c r="AE2" s="33" t="s">
        <v>1966</v>
      </c>
      <c r="AF2" s="33" t="s">
        <v>1967</v>
      </c>
      <c r="AG2" s="33" t="s">
        <v>1968</v>
      </c>
      <c r="AH2" s="33" t="s">
        <v>1969</v>
      </c>
      <c r="AI2" s="33" t="s">
        <v>1970</v>
      </c>
      <c r="AJ2" s="33" t="s">
        <v>1971</v>
      </c>
      <c r="AK2" s="33" t="s">
        <v>1972</v>
      </c>
      <c r="AL2" s="33" t="s">
        <v>1973</v>
      </c>
      <c r="AR2" s="34">
        <f xml:space="preserve"> 66837203 * 1000</f>
        <v>66837203000</v>
      </c>
      <c r="AS2" s="42"/>
      <c r="AT2" s="46">
        <f>AR2</f>
        <v>66837203000</v>
      </c>
      <c r="AU2" s="54">
        <f xml:space="preserve"> IFERROR(ROUND(AT2 / VLOOKUP(A2,Tabla1[#All],2,0),0),"s.i")</f>
        <v>84366777</v>
      </c>
      <c r="AV2" s="33">
        <f xml:space="preserve"> IF(AU2="s.i", "s.i", IF(AND(AU2&gt;=Deflactor!$BQ$298,AU2&lt;Deflactor!$BQ$299), Deflactor!$BP$298, IF(AND(AU2&gt;=Deflactor!$BQ$299,AU2&lt;Deflactor!$BQ$300), Deflactor!$BP$299, IF(AND(AU2&gt;=Deflactor!$BQ$300,AU2&lt;Deflactor!$BQ$301), Deflactor!$BP$300, IF(AND(AU2&gt;=Deflactor!$BQ$301,AU2&lt;Deflactor!$BQ$302), Deflactor!$BP$301, IF(AND(AU2&gt;=Deflactor!$BQ$302,AU2&lt;Deflactor!$BQ$303), Deflactor!$BP$302, IF(AND(AU2&gt;=Deflactor!$BQ$303,AU2&lt;Deflactor!$BQ$304), Deflactor!$BP$303, IF(AND(AU2&gt;=Deflactor!$BQ$304,AU2&lt;Deflactor!$BQ$305), Deflactor!$BP$304, IF(AND(AU2&gt;=Deflactor!$BQ$305,AU2&lt;Deflactor!$BQ$306), Deflactor!$BP$305, IF(AND(AU2&gt;=Deflactor!$BQ$306,AU2&lt;Deflactor!$BQ$307), Deflactor!$BP$306, Deflactor!$BP$307) ) ) ) ) ) ) ) ) )</f>
        <v>9</v>
      </c>
      <c r="AW2" s="57" t="str">
        <f>+IFERROR(VLOOKUP(AV2,Deflactor!$BP$298:$BU$307,6,0),"")</f>
        <v>50 a 100 millones USD</v>
      </c>
    </row>
    <row r="3" spans="1:49" s="33" customFormat="1" x14ac:dyDescent="0.3">
      <c r="A3" s="30">
        <v>2020</v>
      </c>
      <c r="B3" s="30" t="s">
        <v>1297</v>
      </c>
      <c r="C3" s="30" t="s">
        <v>7</v>
      </c>
      <c r="D3" s="30" t="s">
        <v>12</v>
      </c>
      <c r="E3" s="30" t="s">
        <v>13</v>
      </c>
      <c r="F3" s="30" t="s">
        <v>27</v>
      </c>
      <c r="G3" s="30" t="s">
        <v>723</v>
      </c>
      <c r="H3" s="30">
        <v>1993</v>
      </c>
      <c r="I3" s="30"/>
      <c r="J3" s="31">
        <f xml:space="preserve">  46695 * 1000000</f>
        <v>46695000000</v>
      </c>
      <c r="K3" s="30" t="s">
        <v>2311</v>
      </c>
      <c r="L3" s="30" t="s">
        <v>1680</v>
      </c>
      <c r="M3" s="30" t="s">
        <v>1681</v>
      </c>
      <c r="N3" s="30" t="s">
        <v>1682</v>
      </c>
      <c r="O3" s="30" t="s">
        <v>1683</v>
      </c>
      <c r="P3" s="30" t="s">
        <v>1684</v>
      </c>
      <c r="Q3" s="30"/>
      <c r="R3" s="32" t="s">
        <v>1678</v>
      </c>
      <c r="S3" s="32" t="s">
        <v>1679</v>
      </c>
      <c r="T3" s="30"/>
      <c r="U3" s="30" t="s">
        <v>1324</v>
      </c>
      <c r="V3" s="30"/>
      <c r="W3" s="31">
        <f>IF( J3="s.i", "s.i", IF(ISBLANK(J3),"Actualizando información",IFERROR(J3 / VLOOKUP(A3,Deflactor!$G$3:$H$64,2,0),"Revisar error" )))</f>
        <v>35832282216.134239</v>
      </c>
      <c r="X3" s="33" t="s">
        <v>1974</v>
      </c>
      <c r="Y3" s="33" t="s">
        <v>1975</v>
      </c>
      <c r="Z3" s="33" t="s">
        <v>1976</v>
      </c>
      <c r="AA3" s="33" t="s">
        <v>1977</v>
      </c>
      <c r="AB3" s="33" t="s">
        <v>1978</v>
      </c>
      <c r="AC3" s="33" t="s">
        <v>1979</v>
      </c>
      <c r="AD3" s="33" t="s">
        <v>1980</v>
      </c>
      <c r="AE3" s="33" t="s">
        <v>1981</v>
      </c>
      <c r="AF3" s="33" t="s">
        <v>1982</v>
      </c>
      <c r="AG3" s="33" t="s">
        <v>1983</v>
      </c>
      <c r="AH3" s="33" t="s">
        <v>1984</v>
      </c>
      <c r="AR3" s="10">
        <f xml:space="preserve"> 45528855 * 1000</f>
        <v>45528855000</v>
      </c>
      <c r="AS3" s="42"/>
      <c r="AT3" s="46">
        <f t="shared" ref="AT3:AT66" si="0">AR3</f>
        <v>45528855000</v>
      </c>
      <c r="AU3" s="54">
        <f xml:space="preserve"> IFERROR(ROUND(AT3 / VLOOKUP(A3,Tabla1[#All],2,0),0),"s.i")</f>
        <v>57469831</v>
      </c>
      <c r="AV3" s="33">
        <f xml:space="preserve"> IF(AU3="s.i", "s.i", IF(AND(AU3&gt;=Deflactor!$BQ$298,AU3&lt;Deflactor!$BQ$299), Deflactor!$BP$298, IF(AND(AU3&gt;=Deflactor!$BQ$299,AU3&lt;Deflactor!$BQ$300), Deflactor!$BP$299, IF(AND(AU3&gt;=Deflactor!$BQ$300,AU3&lt;Deflactor!$BQ$301), Deflactor!$BP$300, IF(AND(AU3&gt;=Deflactor!$BQ$301,AU3&lt;Deflactor!$BQ$302), Deflactor!$BP$301, IF(AND(AU3&gt;=Deflactor!$BQ$302,AU3&lt;Deflactor!$BQ$303), Deflactor!$BP$302, IF(AND(AU3&gt;=Deflactor!$BQ$303,AU3&lt;Deflactor!$BQ$304), Deflactor!$BP$303, IF(AND(AU3&gt;=Deflactor!$BQ$304,AU3&lt;Deflactor!$BQ$305), Deflactor!$BP$304, IF(AND(AU3&gt;=Deflactor!$BQ$305,AU3&lt;Deflactor!$BQ$306), Deflactor!$BP$305, IF(AND(AU3&gt;=Deflactor!$BQ$306,AU3&lt;Deflactor!$BQ$307), Deflactor!$BP$306, Deflactor!$BP$307) ) ) ) ) ) ) ) ) )</f>
        <v>9</v>
      </c>
      <c r="AW3" s="57" t="str">
        <f>+IFERROR(VLOOKUP(AV3,Deflactor!$BP$298:$BU$307,6,0),"")</f>
        <v>50 a 100 millones USD</v>
      </c>
    </row>
    <row r="4" spans="1:49" s="33" customFormat="1" x14ac:dyDescent="0.3">
      <c r="A4" s="30">
        <v>2020</v>
      </c>
      <c r="B4" s="30" t="s">
        <v>1298</v>
      </c>
      <c r="C4" s="30" t="s">
        <v>7</v>
      </c>
      <c r="D4" s="30" t="s">
        <v>20</v>
      </c>
      <c r="E4" s="30" t="s">
        <v>23</v>
      </c>
      <c r="F4" s="30" t="s">
        <v>27</v>
      </c>
      <c r="G4" s="30" t="s">
        <v>723</v>
      </c>
      <c r="H4" s="30">
        <v>2016</v>
      </c>
      <c r="I4" s="30"/>
      <c r="J4" s="31">
        <f xml:space="preserve">  6572.5 * 1000000</f>
        <v>6572500000</v>
      </c>
      <c r="K4" s="30"/>
      <c r="L4" s="30" t="s">
        <v>1685</v>
      </c>
      <c r="M4" s="30" t="s">
        <v>1686</v>
      </c>
      <c r="N4" s="30" t="s">
        <v>1687</v>
      </c>
      <c r="O4" s="30" t="s">
        <v>1689</v>
      </c>
      <c r="P4" s="30" t="s">
        <v>1690</v>
      </c>
      <c r="Q4" s="30" t="s">
        <v>1688</v>
      </c>
      <c r="R4" s="32" t="s">
        <v>1691</v>
      </c>
      <c r="S4" s="29" t="s">
        <v>1692</v>
      </c>
      <c r="T4" s="30"/>
      <c r="U4" s="30"/>
      <c r="V4" s="30"/>
      <c r="W4" s="31">
        <f>IF( J4="s.i", "s.i", IF(ISBLANK(J4),"Actualizando información",IFERROR(J4 / VLOOKUP(A4,Deflactor!$G$3:$H$64,2,0),"Revisar error" )))</f>
        <v>5043530889.0789652</v>
      </c>
      <c r="X4" s="33" t="s">
        <v>1985</v>
      </c>
      <c r="Y4" s="33" t="s">
        <v>1986</v>
      </c>
      <c r="Z4" s="33" t="s">
        <v>1987</v>
      </c>
      <c r="AA4" s="33" t="s">
        <v>1988</v>
      </c>
      <c r="AB4" s="33" t="s">
        <v>1989</v>
      </c>
      <c r="AC4" s="33" t="s">
        <v>1990</v>
      </c>
      <c r="AD4" s="33" t="s">
        <v>1991</v>
      </c>
      <c r="AE4" s="33" t="s">
        <v>1992</v>
      </c>
      <c r="AF4" s="33" t="s">
        <v>1993</v>
      </c>
      <c r="AG4" s="33" t="s">
        <v>1994</v>
      </c>
      <c r="AH4" s="33" t="s">
        <v>1995</v>
      </c>
      <c r="AI4" s="33" t="s">
        <v>1996</v>
      </c>
      <c r="AJ4" s="33" t="s">
        <v>1997</v>
      </c>
      <c r="AK4" s="33" t="s">
        <v>1998</v>
      </c>
      <c r="AL4" s="33" t="s">
        <v>1999</v>
      </c>
      <c r="AR4" s="34"/>
      <c r="AS4" s="42"/>
      <c r="AT4" s="46">
        <f>'Notas reunion'!T24</f>
        <v>6386405000</v>
      </c>
      <c r="AU4" s="54">
        <f xml:space="preserve"> IFERROR(ROUND(AT4 / VLOOKUP(A4,Tabla1[#All],2,0),0),"s.i")</f>
        <v>8061385</v>
      </c>
      <c r="AV4" s="33">
        <f xml:space="preserve"> IF(AU4="s.i", "s.i", IF(AND(AU4&gt;=Deflactor!$BQ$298,AU4&lt;Deflactor!$BQ$299), Deflactor!$BP$298, IF(AND(AU4&gt;=Deflactor!$BQ$299,AU4&lt;Deflactor!$BQ$300), Deflactor!$BP$299, IF(AND(AU4&gt;=Deflactor!$BQ$300,AU4&lt;Deflactor!$BQ$301), Deflactor!$BP$300, IF(AND(AU4&gt;=Deflactor!$BQ$301,AU4&lt;Deflactor!$BQ$302), Deflactor!$BP$301, IF(AND(AU4&gt;=Deflactor!$BQ$302,AU4&lt;Deflactor!$BQ$303), Deflactor!$BP$302, IF(AND(AU4&gt;=Deflactor!$BQ$303,AU4&lt;Deflactor!$BQ$304), Deflactor!$BP$303, IF(AND(AU4&gt;=Deflactor!$BQ$304,AU4&lt;Deflactor!$BQ$305), Deflactor!$BP$304, IF(AND(AU4&gt;=Deflactor!$BQ$305,AU4&lt;Deflactor!$BQ$306), Deflactor!$BP$305, IF(AND(AU4&gt;=Deflactor!$BQ$306,AU4&lt;Deflactor!$BQ$307), Deflactor!$BP$306, Deflactor!$BP$307) ) ) ) ) ) ) ) ) )</f>
        <v>4</v>
      </c>
      <c r="AW4" s="57" t="str">
        <f>+IFERROR(VLOOKUP(AV4,Deflactor!$BP$298:$BU$307,6,0),"")</f>
        <v>7,5 a 10 millones USD</v>
      </c>
    </row>
    <row r="5" spans="1:49" s="33" customFormat="1" x14ac:dyDescent="0.3">
      <c r="A5" s="30">
        <v>2020</v>
      </c>
      <c r="B5" s="30" t="s">
        <v>715</v>
      </c>
      <c r="C5" s="30" t="s">
        <v>67</v>
      </c>
      <c r="D5" s="30" t="s">
        <v>54</v>
      </c>
      <c r="E5" s="30" t="s">
        <v>236</v>
      </c>
      <c r="F5" s="30" t="s">
        <v>27</v>
      </c>
      <c r="G5" s="30" t="s">
        <v>723</v>
      </c>
      <c r="H5" s="30">
        <v>1954</v>
      </c>
      <c r="I5" s="30"/>
      <c r="J5" s="31">
        <f>74737 * 1000000</f>
        <v>74737000000</v>
      </c>
      <c r="K5" s="30" t="s">
        <v>1325</v>
      </c>
      <c r="L5" s="30" t="s">
        <v>1695</v>
      </c>
      <c r="M5" s="30" t="s">
        <v>1696</v>
      </c>
      <c r="N5" s="30" t="s">
        <v>1697</v>
      </c>
      <c r="O5" s="30" t="s">
        <v>1698</v>
      </c>
      <c r="P5" s="30" t="s">
        <v>1699</v>
      </c>
      <c r="Q5" s="30"/>
      <c r="R5" s="32" t="s">
        <v>1693</v>
      </c>
      <c r="S5" s="32" t="s">
        <v>1694</v>
      </c>
      <c r="T5" s="30"/>
      <c r="U5" s="30" t="s">
        <v>1325</v>
      </c>
      <c r="V5" s="30"/>
      <c r="W5" s="31">
        <f>IF( J5="s.i", "s.i", IF(ISBLANK(J5),"Actualizando información",IFERROR(J5 / VLOOKUP(A5,Deflactor!$G$3:$H$64,2,0),"Revisar error" )))</f>
        <v>57350835763.72683</v>
      </c>
      <c r="X5" s="33" t="s">
        <v>1850</v>
      </c>
      <c r="Y5" s="33" t="s">
        <v>1851</v>
      </c>
      <c r="Z5" s="33" t="s">
        <v>1852</v>
      </c>
      <c r="AA5" s="33" t="s">
        <v>1853</v>
      </c>
      <c r="AB5" s="33" t="s">
        <v>1854</v>
      </c>
      <c r="AC5" s="33" t="s">
        <v>1855</v>
      </c>
      <c r="AD5" s="33" t="s">
        <v>1856</v>
      </c>
      <c r="AE5" s="33" t="s">
        <v>1857</v>
      </c>
      <c r="AF5" s="33" t="s">
        <v>1858</v>
      </c>
      <c r="AG5" s="33" t="s">
        <v>1859</v>
      </c>
      <c r="AR5" s="10">
        <f xml:space="preserve"> 44937770 * 1000</f>
        <v>44937770000</v>
      </c>
      <c r="AS5" s="42"/>
      <c r="AT5" s="46">
        <f t="shared" si="0"/>
        <v>44937770000</v>
      </c>
      <c r="AU5" s="54">
        <f xml:space="preserve"> IFERROR(ROUND(AT5 / VLOOKUP(A5,Tabla1[#All],2,0),0),"s.i")</f>
        <v>56723721</v>
      </c>
      <c r="AV5" s="33">
        <f xml:space="preserve"> IF(AU5="s.i", "s.i", IF(AND(AU5&gt;=Deflactor!$BQ$298,AU5&lt;Deflactor!$BQ$299), Deflactor!$BP$298, IF(AND(AU5&gt;=Deflactor!$BQ$299,AU5&lt;Deflactor!$BQ$300), Deflactor!$BP$299, IF(AND(AU5&gt;=Deflactor!$BQ$300,AU5&lt;Deflactor!$BQ$301), Deflactor!$BP$300, IF(AND(AU5&gt;=Deflactor!$BQ$301,AU5&lt;Deflactor!$BQ$302), Deflactor!$BP$301, IF(AND(AU5&gt;=Deflactor!$BQ$302,AU5&lt;Deflactor!$BQ$303), Deflactor!$BP$302, IF(AND(AU5&gt;=Deflactor!$BQ$303,AU5&lt;Deflactor!$BQ$304), Deflactor!$BP$303, IF(AND(AU5&gt;=Deflactor!$BQ$304,AU5&lt;Deflactor!$BQ$305), Deflactor!$BP$304, IF(AND(AU5&gt;=Deflactor!$BQ$305,AU5&lt;Deflactor!$BQ$306), Deflactor!$BP$305, IF(AND(AU5&gt;=Deflactor!$BQ$306,AU5&lt;Deflactor!$BQ$307), Deflactor!$BP$306, Deflactor!$BP$307) ) ) ) ) ) ) ) ) )</f>
        <v>9</v>
      </c>
      <c r="AW5" s="57" t="str">
        <f>+IFERROR(VLOOKUP(AV5,Deflactor!$BP$298:$BU$307,6,0),"")</f>
        <v>50 a 100 millones USD</v>
      </c>
    </row>
    <row r="6" spans="1:49" x14ac:dyDescent="0.3">
      <c r="A6" s="3">
        <v>2020</v>
      </c>
      <c r="B6" s="3" t="s">
        <v>1299</v>
      </c>
      <c r="C6" s="3" t="s">
        <v>7</v>
      </c>
      <c r="D6" s="3" t="s">
        <v>36</v>
      </c>
      <c r="E6" s="3" t="s">
        <v>1300</v>
      </c>
      <c r="F6" s="3" t="s">
        <v>14</v>
      </c>
      <c r="G6" s="3" t="s">
        <v>723</v>
      </c>
      <c r="H6" s="3">
        <v>2011</v>
      </c>
      <c r="I6" s="3"/>
      <c r="J6" s="10">
        <f xml:space="preserve"> 20468909 * 1000</f>
        <v>20468909000</v>
      </c>
      <c r="K6" s="3" t="s">
        <v>1787</v>
      </c>
      <c r="L6" s="3" t="s">
        <v>1709</v>
      </c>
      <c r="M6" s="3" t="s">
        <v>1710</v>
      </c>
      <c r="N6" s="3" t="s">
        <v>1711</v>
      </c>
      <c r="O6" s="3" t="s">
        <v>1712</v>
      </c>
      <c r="P6" s="3" t="s">
        <v>1713</v>
      </c>
      <c r="Q6" s="3"/>
      <c r="R6" s="11" t="s">
        <v>1707</v>
      </c>
      <c r="S6" s="11" t="s">
        <v>1708</v>
      </c>
      <c r="T6" s="3"/>
      <c r="U6" s="3"/>
      <c r="V6" s="3"/>
      <c r="W6" s="10">
        <f>IF( J6="s.i", "s.i", IF(ISBLANK(J6),"Actualizando información",IFERROR(J6 / VLOOKUP(A6,Deflactor!$G$3:$H$64,2,0),"Revisar error" )))</f>
        <v>15707200427.120035</v>
      </c>
      <c r="X6" t="s">
        <v>1714</v>
      </c>
      <c r="Y6" t="s">
        <v>1715</v>
      </c>
      <c r="Z6" t="s">
        <v>1716</v>
      </c>
      <c r="AA6" t="s">
        <v>1717</v>
      </c>
      <c r="AB6" t="s">
        <v>1718</v>
      </c>
      <c r="AC6" t="s">
        <v>1719</v>
      </c>
      <c r="AR6" s="34">
        <f xml:space="preserve"> 505952 * 1000</f>
        <v>505952000</v>
      </c>
      <c r="AT6" s="46">
        <f t="shared" si="0"/>
        <v>505952000</v>
      </c>
      <c r="AU6" s="54">
        <f xml:space="preserve"> IFERROR(ROUND(AT6 / VLOOKUP(A6,Tabla1[#All],2,0),0),"s.i")</f>
        <v>638649</v>
      </c>
      <c r="AV6" s="33">
        <f xml:space="preserve"> IF(AU6="s.i", "s.i", IF(AND(AU6&gt;=Deflactor!$BQ$298,AU6&lt;Deflactor!$BQ$299), Deflactor!$BP$298, IF(AND(AU6&gt;=Deflactor!$BQ$299,AU6&lt;Deflactor!$BQ$300), Deflactor!$BP$299, IF(AND(AU6&gt;=Deflactor!$BQ$300,AU6&lt;Deflactor!$BQ$301), Deflactor!$BP$300, IF(AND(AU6&gt;=Deflactor!$BQ$301,AU6&lt;Deflactor!$BQ$302), Deflactor!$BP$301, IF(AND(AU6&gt;=Deflactor!$BQ$302,AU6&lt;Deflactor!$BQ$303), Deflactor!$BP$302, IF(AND(AU6&gt;=Deflactor!$BQ$303,AU6&lt;Deflactor!$BQ$304), Deflactor!$BP$303, IF(AND(AU6&gt;=Deflactor!$BQ$304,AU6&lt;Deflactor!$BQ$305), Deflactor!$BP$304, IF(AND(AU6&gt;=Deflactor!$BQ$305,AU6&lt;Deflactor!$BQ$306), Deflactor!$BP$305, IF(AND(AU6&gt;=Deflactor!$BQ$306,AU6&lt;Deflactor!$BQ$307), Deflactor!$BP$306, Deflactor!$BP$307) ) ) ) ) ) ) ) ) )</f>
        <v>1</v>
      </c>
      <c r="AW6" s="57" t="str">
        <f>+IFERROR(VLOOKUP(AV6,Deflactor!$BP$298:$BU$307,6,0),"")</f>
        <v>2 millones USD y menos</v>
      </c>
    </row>
    <row r="7" spans="1:49" x14ac:dyDescent="0.3">
      <c r="A7" s="3">
        <v>2020</v>
      </c>
      <c r="B7" s="3" t="s">
        <v>1301</v>
      </c>
      <c r="C7" s="3" t="s">
        <v>7</v>
      </c>
      <c r="D7" s="3" t="s">
        <v>36</v>
      </c>
      <c r="E7" s="3" t="s">
        <v>1302</v>
      </c>
      <c r="F7" s="3" t="s">
        <v>27</v>
      </c>
      <c r="G7" s="3" t="s">
        <v>723</v>
      </c>
      <c r="H7" s="3">
        <v>2019</v>
      </c>
      <c r="I7" s="3"/>
      <c r="J7" s="10">
        <f xml:space="preserve"> 84634.7 * 1000000</f>
        <v>84634700000</v>
      </c>
      <c r="K7" s="3" t="s">
        <v>763</v>
      </c>
      <c r="L7" s="3" t="s">
        <v>1722</v>
      </c>
      <c r="M7" s="3" t="s">
        <v>1723</v>
      </c>
      <c r="N7" s="3" t="s">
        <v>1724</v>
      </c>
      <c r="O7" s="3" t="s">
        <v>1725</v>
      </c>
      <c r="P7" s="3" t="s">
        <v>1726</v>
      </c>
      <c r="Q7" s="3"/>
      <c r="R7" s="11" t="s">
        <v>1720</v>
      </c>
      <c r="S7" s="11" t="s">
        <v>1721</v>
      </c>
      <c r="T7" s="3"/>
      <c r="U7" s="3"/>
      <c r="V7" s="3"/>
      <c r="W7" s="10">
        <f>IF( J7="s.i", "s.i", IF(ISBLANK(J7),"Actualizando información",IFERROR(J7 / VLOOKUP(A7,Deflactor!$G$3:$H$64,2,0),"Revisar error" )))</f>
        <v>64946021108.852257</v>
      </c>
      <c r="X7" t="s">
        <v>1728</v>
      </c>
      <c r="Y7" t="s">
        <v>1729</v>
      </c>
      <c r="Z7" t="s">
        <v>1730</v>
      </c>
      <c r="AA7" t="s">
        <v>1731</v>
      </c>
      <c r="AB7" t="s">
        <v>1732</v>
      </c>
      <c r="AC7" t="s">
        <v>1733</v>
      </c>
      <c r="AD7" t="s">
        <v>1734</v>
      </c>
      <c r="AE7" t="s">
        <v>1735</v>
      </c>
      <c r="AR7" s="10">
        <f xml:space="preserve"> (16343155 + 66460854) * 1000</f>
        <v>82804009000</v>
      </c>
      <c r="AT7" s="46">
        <f t="shared" si="0"/>
        <v>82804009000</v>
      </c>
      <c r="AU7" s="54">
        <f xml:space="preserve"> IFERROR(ROUND(AT7 / VLOOKUP(A7,Tabla1[#All],2,0),0),"s.i")</f>
        <v>104521241</v>
      </c>
      <c r="AV7" s="33">
        <f xml:space="preserve"> IF(AU7="s.i", "s.i", IF(AND(AU7&gt;=Deflactor!$BQ$298,AU7&lt;Deflactor!$BQ$299), Deflactor!$BP$298, IF(AND(AU7&gt;=Deflactor!$BQ$299,AU7&lt;Deflactor!$BQ$300), Deflactor!$BP$299, IF(AND(AU7&gt;=Deflactor!$BQ$300,AU7&lt;Deflactor!$BQ$301), Deflactor!$BP$300, IF(AND(AU7&gt;=Deflactor!$BQ$301,AU7&lt;Deflactor!$BQ$302), Deflactor!$BP$301, IF(AND(AU7&gt;=Deflactor!$BQ$302,AU7&lt;Deflactor!$BQ$303), Deflactor!$BP$302, IF(AND(AU7&gt;=Deflactor!$BQ$303,AU7&lt;Deflactor!$BQ$304), Deflactor!$BP$303, IF(AND(AU7&gt;=Deflactor!$BQ$304,AU7&lt;Deflactor!$BQ$305), Deflactor!$BP$304, IF(AND(AU7&gt;=Deflactor!$BQ$305,AU7&lt;Deflactor!$BQ$306), Deflactor!$BP$305, IF(AND(AU7&gt;=Deflactor!$BQ$306,AU7&lt;Deflactor!$BQ$307), Deflactor!$BP$306, Deflactor!$BP$307) ) ) ) ) ) ) ) ) )</f>
        <v>10</v>
      </c>
      <c r="AW7" s="57" t="str">
        <f>+IFERROR(VLOOKUP(AV7,Deflactor!$BP$298:$BU$307,6,0),"")</f>
        <v>100 millones USD y mas</v>
      </c>
    </row>
    <row r="8" spans="1:49" s="33" customFormat="1" x14ac:dyDescent="0.3">
      <c r="A8" s="30">
        <v>2020</v>
      </c>
      <c r="B8" s="30" t="s">
        <v>1303</v>
      </c>
      <c r="C8" s="30" t="s">
        <v>7</v>
      </c>
      <c r="D8" s="30" t="s">
        <v>36</v>
      </c>
      <c r="E8" s="30" t="s">
        <v>81</v>
      </c>
      <c r="F8" s="30" t="s">
        <v>10</v>
      </c>
      <c r="G8" s="30" t="s">
        <v>723</v>
      </c>
      <c r="H8" s="30">
        <v>1996</v>
      </c>
      <c r="I8" s="30"/>
      <c r="J8" s="31">
        <f xml:space="preserve"> 11541 * 1000000</f>
        <v>11541000000</v>
      </c>
      <c r="K8" s="3" t="s">
        <v>2297</v>
      </c>
      <c r="L8" s="30" t="s">
        <v>1738</v>
      </c>
      <c r="M8" s="30" t="s">
        <v>1739</v>
      </c>
      <c r="N8" s="30" t="s">
        <v>1740</v>
      </c>
      <c r="O8" s="30" t="s">
        <v>1741</v>
      </c>
      <c r="P8" s="30" t="s">
        <v>1742</v>
      </c>
      <c r="Q8" s="30"/>
      <c r="R8" s="32" t="s">
        <v>1736</v>
      </c>
      <c r="S8" s="32" t="s">
        <v>1737</v>
      </c>
      <c r="T8" s="30"/>
      <c r="U8" s="30"/>
      <c r="V8" s="30"/>
      <c r="W8" s="31">
        <f>IF( J8="s.i", "s.i", IF(ISBLANK(J8),"Actualizando información",IFERROR(J8 / VLOOKUP(A8,Deflactor!$G$3:$H$64,2,0),"Revisar error" )))</f>
        <v>8856202356.9205532</v>
      </c>
      <c r="X8" s="33" t="s">
        <v>1743</v>
      </c>
      <c r="Y8" s="33" t="s">
        <v>1749</v>
      </c>
      <c r="Z8" s="33" t="s">
        <v>1750</v>
      </c>
      <c r="AA8" s="33" t="s">
        <v>1751</v>
      </c>
      <c r="AB8" s="33" t="s">
        <v>1752</v>
      </c>
      <c r="AC8" s="33" t="s">
        <v>1753</v>
      </c>
      <c r="AD8" s="33" t="s">
        <v>1754</v>
      </c>
      <c r="AE8" s="33" t="s">
        <v>1755</v>
      </c>
      <c r="AF8" s="33" t="s">
        <v>1756</v>
      </c>
      <c r="AG8" s="33" t="s">
        <v>1757</v>
      </c>
      <c r="AR8" s="10">
        <f xml:space="preserve"> 11405939 * 1000</f>
        <v>11405939000</v>
      </c>
      <c r="AS8" s="42"/>
      <c r="AT8" s="46">
        <f t="shared" si="0"/>
        <v>11405939000</v>
      </c>
      <c r="AU8" s="54">
        <f xml:space="preserve"> IFERROR(ROUND(AT8 / VLOOKUP(A8,Tabla1[#All],2,0),0),"s.i")</f>
        <v>14397406</v>
      </c>
      <c r="AV8" s="33">
        <f xml:space="preserve"> IF(AU8="s.i", "s.i", IF(AND(AU8&gt;=Deflactor!$BQ$298,AU8&lt;Deflactor!$BQ$299), Deflactor!$BP$298, IF(AND(AU8&gt;=Deflactor!$BQ$299,AU8&lt;Deflactor!$BQ$300), Deflactor!$BP$299, IF(AND(AU8&gt;=Deflactor!$BQ$300,AU8&lt;Deflactor!$BQ$301), Deflactor!$BP$300, IF(AND(AU8&gt;=Deflactor!$BQ$301,AU8&lt;Deflactor!$BQ$302), Deflactor!$BP$301, IF(AND(AU8&gt;=Deflactor!$BQ$302,AU8&lt;Deflactor!$BQ$303), Deflactor!$BP$302, IF(AND(AU8&gt;=Deflactor!$BQ$303,AU8&lt;Deflactor!$BQ$304), Deflactor!$BP$303, IF(AND(AU8&gt;=Deflactor!$BQ$304,AU8&lt;Deflactor!$BQ$305), Deflactor!$BP$304, IF(AND(AU8&gt;=Deflactor!$BQ$305,AU8&lt;Deflactor!$BQ$306), Deflactor!$BP$305, IF(AND(AU8&gt;=Deflactor!$BQ$306,AU8&lt;Deflactor!$BQ$307), Deflactor!$BP$306, Deflactor!$BP$307) ) ) ) ) ) ) ) ) )</f>
        <v>5</v>
      </c>
      <c r="AW8" s="57" t="str">
        <f>+IFERROR(VLOOKUP(AV8,Deflactor!$BP$298:$BU$307,6,0),"")</f>
        <v>10 a 15 millones USD</v>
      </c>
    </row>
    <row r="9" spans="1:49" s="33" customFormat="1" x14ac:dyDescent="0.3">
      <c r="A9" s="30">
        <v>2020</v>
      </c>
      <c r="B9" s="30" t="s">
        <v>1304</v>
      </c>
      <c r="C9" s="30" t="s">
        <v>7</v>
      </c>
      <c r="D9" s="30" t="s">
        <v>54</v>
      </c>
      <c r="E9" s="30" t="s">
        <v>55</v>
      </c>
      <c r="F9" s="30" t="s">
        <v>10</v>
      </c>
      <c r="G9" s="30" t="s">
        <v>723</v>
      </c>
      <c r="H9" s="30">
        <v>2015</v>
      </c>
      <c r="I9" s="30"/>
      <c r="J9" s="31">
        <f xml:space="preserve"> 14064 * 1000000</f>
        <v>14064000000</v>
      </c>
      <c r="K9" s="30" t="s">
        <v>1762</v>
      </c>
      <c r="L9" s="30" t="s">
        <v>1760</v>
      </c>
      <c r="M9" s="30" t="s">
        <v>1764</v>
      </c>
      <c r="N9" s="30" t="s">
        <v>1763</v>
      </c>
      <c r="O9" s="30" t="s">
        <v>1767</v>
      </c>
      <c r="P9" s="30" t="s">
        <v>1766</v>
      </c>
      <c r="Q9" s="30" t="s">
        <v>1765</v>
      </c>
      <c r="R9" s="32" t="s">
        <v>1758</v>
      </c>
      <c r="S9" s="32" t="s">
        <v>1759</v>
      </c>
      <c r="T9" s="30"/>
      <c r="U9" s="30"/>
      <c r="V9" s="30"/>
      <c r="W9" s="31">
        <f>IF( J9="s.i", "s.i", IF(ISBLANK(J9),"Actualizando información",IFERROR(J9 / VLOOKUP(A9,Deflactor!$G$3:$H$64,2,0),"Revisar error" )))</f>
        <v>10792273628.60503</v>
      </c>
      <c r="X9" s="33" t="s">
        <v>1769</v>
      </c>
      <c r="Y9" s="33" t="s">
        <v>1770</v>
      </c>
      <c r="Z9" s="33" t="s">
        <v>1771</v>
      </c>
      <c r="AA9" s="33" t="s">
        <v>1772</v>
      </c>
      <c r="AB9" s="33" t="s">
        <v>1773</v>
      </c>
      <c r="AC9" s="33" t="s">
        <v>1774</v>
      </c>
      <c r="AD9" s="33" t="s">
        <v>1775</v>
      </c>
      <c r="AE9" s="33" t="s">
        <v>1776</v>
      </c>
      <c r="AF9" s="33" t="s">
        <v>1777</v>
      </c>
      <c r="AG9" s="33" t="s">
        <v>1778</v>
      </c>
      <c r="AH9" s="33" t="s">
        <v>1779</v>
      </c>
      <c r="AI9" s="33" t="s">
        <v>1780</v>
      </c>
      <c r="AJ9" s="33" t="s">
        <v>1781</v>
      </c>
      <c r="AK9" s="33" t="s">
        <v>1782</v>
      </c>
      <c r="AR9" s="34"/>
      <c r="AS9" s="42"/>
      <c r="AT9" s="46"/>
      <c r="AU9" s="54"/>
      <c r="AV9" s="33">
        <f xml:space="preserve"> IF(AU9="s.i", "s.i", IF(AND(AU9&gt;=Deflactor!$BQ$298,AU9&lt;Deflactor!$BQ$299), Deflactor!$BP$298, IF(AND(AU9&gt;=Deflactor!$BQ$299,AU9&lt;Deflactor!$BQ$300), Deflactor!$BP$299, IF(AND(AU9&gt;=Deflactor!$BQ$300,AU9&lt;Deflactor!$BQ$301), Deflactor!$BP$300, IF(AND(AU9&gt;=Deflactor!$BQ$301,AU9&lt;Deflactor!$BQ$302), Deflactor!$BP$301, IF(AND(AU9&gt;=Deflactor!$BQ$302,AU9&lt;Deflactor!$BQ$303), Deflactor!$BP$302, IF(AND(AU9&gt;=Deflactor!$BQ$303,AU9&lt;Deflactor!$BQ$304), Deflactor!$BP$303, IF(AND(AU9&gt;=Deflactor!$BQ$304,AU9&lt;Deflactor!$BQ$305), Deflactor!$BP$304, IF(AND(AU9&gt;=Deflactor!$BQ$305,AU9&lt;Deflactor!$BQ$306), Deflactor!$BP$305, IF(AND(AU9&gt;=Deflactor!$BQ$306,AU9&lt;Deflactor!$BQ$307), Deflactor!$BP$306, Deflactor!$BP$307) ) ) ) ) ) ) ) ) )</f>
        <v>10</v>
      </c>
      <c r="AW9" s="57" t="str">
        <f>+IFERROR(VLOOKUP(AV9,Deflactor!$BP$298:$BU$307,6,0),"")</f>
        <v>100 millones USD y mas</v>
      </c>
    </row>
    <row r="10" spans="1:49" s="33" customFormat="1" x14ac:dyDescent="0.3">
      <c r="A10" s="30">
        <v>2020</v>
      </c>
      <c r="B10" s="30" t="s">
        <v>1305</v>
      </c>
      <c r="C10" s="30" t="s">
        <v>7</v>
      </c>
      <c r="D10" s="30" t="s">
        <v>36</v>
      </c>
      <c r="E10" s="30" t="s">
        <v>1306</v>
      </c>
      <c r="F10" s="30" t="s">
        <v>10</v>
      </c>
      <c r="G10" s="30" t="s">
        <v>723</v>
      </c>
      <c r="H10" s="30">
        <v>1990</v>
      </c>
      <c r="I10" s="30"/>
      <c r="J10" s="31">
        <f xml:space="preserve"> 334703 * 1000000</f>
        <v>334703000000</v>
      </c>
      <c r="K10" s="30" t="s">
        <v>1787</v>
      </c>
      <c r="L10" s="30" t="s">
        <v>1785</v>
      </c>
      <c r="M10" s="30" t="s">
        <v>1786</v>
      </c>
      <c r="N10" s="30" t="s">
        <v>1788</v>
      </c>
      <c r="O10" s="30" t="s">
        <v>1791</v>
      </c>
      <c r="P10" s="30" t="s">
        <v>1792</v>
      </c>
      <c r="Q10" s="30"/>
      <c r="R10" s="32" t="s">
        <v>1783</v>
      </c>
      <c r="S10" s="32" t="s">
        <v>1784</v>
      </c>
      <c r="T10" s="30"/>
      <c r="U10" s="30"/>
      <c r="V10" s="30"/>
      <c r="W10" s="31">
        <f>IF( J10="s.i", "s.i", IF(ISBLANK(J10),"Actualizando información",IFERROR(J10 / VLOOKUP(A10,Deflactor!$G$3:$H$64,2,0),"Revisar error" )))</f>
        <v>256840611512.72678</v>
      </c>
      <c r="X10" s="33" t="s">
        <v>1793</v>
      </c>
      <c r="Y10" s="33" t="s">
        <v>1794</v>
      </c>
      <c r="Z10" s="33" t="s">
        <v>1795</v>
      </c>
      <c r="AA10" s="33" t="s">
        <v>1796</v>
      </c>
      <c r="AB10" s="33" t="s">
        <v>1797</v>
      </c>
      <c r="AC10" s="33" t="s">
        <v>1798</v>
      </c>
      <c r="AD10" s="33" t="s">
        <v>1799</v>
      </c>
      <c r="AE10" s="33" t="s">
        <v>1800</v>
      </c>
      <c r="AF10" s="33" t="s">
        <v>1801</v>
      </c>
      <c r="AG10" s="33" t="s">
        <v>1802</v>
      </c>
      <c r="AH10" s="33" t="s">
        <v>1806</v>
      </c>
      <c r="AI10" s="33" t="s">
        <v>1803</v>
      </c>
      <c r="AJ10" s="33" t="s">
        <v>1804</v>
      </c>
      <c r="AK10" s="33" t="s">
        <v>1805</v>
      </c>
      <c r="AR10" s="34">
        <f xml:space="preserve"> (340757129 + 13792128) * 1000</f>
        <v>354549257000</v>
      </c>
      <c r="AS10" s="42"/>
      <c r="AT10" s="46">
        <f t="shared" si="0"/>
        <v>354549257000</v>
      </c>
      <c r="AU10" s="54">
        <f xml:space="preserve"> IFERROR(ROUND(AT10 / VLOOKUP(A10,Tabla1[#All],2,0),0),"s.i")</f>
        <v>447537852</v>
      </c>
      <c r="AV10" s="33">
        <f xml:space="preserve"> IF(AU10="s.i", "s.i", IF(AND(AU10&gt;=Deflactor!$BQ$298,AU10&lt;Deflactor!$BQ$299), Deflactor!$BP$298, IF(AND(AU10&gt;=Deflactor!$BQ$299,AU10&lt;Deflactor!$BQ$300), Deflactor!$BP$299, IF(AND(AU10&gt;=Deflactor!$BQ$300,AU10&lt;Deflactor!$BQ$301), Deflactor!$BP$300, IF(AND(AU10&gt;=Deflactor!$BQ$301,AU10&lt;Deflactor!$BQ$302), Deflactor!$BP$301, IF(AND(AU10&gt;=Deflactor!$BQ$302,AU10&lt;Deflactor!$BQ$303), Deflactor!$BP$302, IF(AND(AU10&gt;=Deflactor!$BQ$303,AU10&lt;Deflactor!$BQ$304), Deflactor!$BP$303, IF(AND(AU10&gt;=Deflactor!$BQ$304,AU10&lt;Deflactor!$BQ$305), Deflactor!$BP$304, IF(AND(AU10&gt;=Deflactor!$BQ$305,AU10&lt;Deflactor!$BQ$306), Deflactor!$BP$305, IF(AND(AU10&gt;=Deflactor!$BQ$306,AU10&lt;Deflactor!$BQ$307), Deflactor!$BP$306, Deflactor!$BP$307) ) ) ) ) ) ) ) ) )</f>
        <v>10</v>
      </c>
      <c r="AW10" s="57" t="str">
        <f>+IFERROR(VLOOKUP(AV10,Deflactor!$BP$298:$BU$307,6,0),"")</f>
        <v>100 millones USD y mas</v>
      </c>
    </row>
    <row r="11" spans="1:49" s="33" customFormat="1" x14ac:dyDescent="0.3">
      <c r="A11" s="30">
        <v>2020</v>
      </c>
      <c r="B11" s="30" t="s">
        <v>390</v>
      </c>
      <c r="C11" s="30" t="s">
        <v>7</v>
      </c>
      <c r="D11" s="30" t="s">
        <v>17</v>
      </c>
      <c r="E11" s="30" t="s">
        <v>18</v>
      </c>
      <c r="F11" s="30" t="s">
        <v>10</v>
      </c>
      <c r="G11" s="30" t="s">
        <v>723</v>
      </c>
      <c r="H11" s="30">
        <v>1992</v>
      </c>
      <c r="I11" s="30"/>
      <c r="J11" s="31">
        <f xml:space="preserve"> 16035 * 1000000</f>
        <v>16035000000</v>
      </c>
      <c r="K11" s="30" t="s">
        <v>2279</v>
      </c>
      <c r="L11" s="30" t="s">
        <v>1809</v>
      </c>
      <c r="M11" s="30" t="s">
        <v>1810</v>
      </c>
      <c r="N11" s="30" t="s">
        <v>1811</v>
      </c>
      <c r="O11" s="30" t="s">
        <v>1812</v>
      </c>
      <c r="P11" s="30" t="s">
        <v>1813</v>
      </c>
      <c r="Q11" s="30"/>
      <c r="R11" s="32" t="s">
        <v>1807</v>
      </c>
      <c r="S11" s="32" t="s">
        <v>1808</v>
      </c>
      <c r="T11" s="30"/>
      <c r="U11" s="30"/>
      <c r="V11" s="30"/>
      <c r="W11" s="31">
        <f>IF( J11="s.i", "s.i", IF(ISBLANK(J11),"Actualizando información",IFERROR(J11 / VLOOKUP(A11,Deflactor!$G$3:$H$64,2,0),"Revisar error" )))</f>
        <v>12304757368.791359</v>
      </c>
      <c r="X11" s="33" t="s">
        <v>1814</v>
      </c>
      <c r="Y11" s="33" t="s">
        <v>1815</v>
      </c>
      <c r="Z11" s="33" t="s">
        <v>1816</v>
      </c>
      <c r="AA11" s="33" t="s">
        <v>1817</v>
      </c>
      <c r="AB11" s="33" t="s">
        <v>1818</v>
      </c>
      <c r="AC11" s="33" t="s">
        <v>1819</v>
      </c>
      <c r="AD11" s="33" t="s">
        <v>1820</v>
      </c>
      <c r="AE11" s="33" t="s">
        <v>1821</v>
      </c>
      <c r="AF11" s="33" t="s">
        <v>1822</v>
      </c>
      <c r="AG11" s="33" t="s">
        <v>1823</v>
      </c>
      <c r="AH11" s="33" t="s">
        <v>1824</v>
      </c>
      <c r="AR11" s="10">
        <f xml:space="preserve"> 15328954 * 1000</f>
        <v>15328954000</v>
      </c>
      <c r="AS11" s="42"/>
      <c r="AT11" s="46">
        <f t="shared" si="0"/>
        <v>15328954000</v>
      </c>
      <c r="AU11" s="54">
        <f xml:space="preserve"> IFERROR(ROUND(AT11 / VLOOKUP(A11,Tabla1[#All],2,0),0),"s.i")</f>
        <v>19349320</v>
      </c>
      <c r="AV11" s="33">
        <f xml:space="preserve"> IF(AU11="s.i", "s.i", IF(AND(AU11&gt;=Deflactor!$BQ$298,AU11&lt;Deflactor!$BQ$299), Deflactor!$BP$298, IF(AND(AU11&gt;=Deflactor!$BQ$299,AU11&lt;Deflactor!$BQ$300), Deflactor!$BP$299, IF(AND(AU11&gt;=Deflactor!$BQ$300,AU11&lt;Deflactor!$BQ$301), Deflactor!$BP$300, IF(AND(AU11&gt;=Deflactor!$BQ$301,AU11&lt;Deflactor!$BQ$302), Deflactor!$BP$301, IF(AND(AU11&gt;=Deflactor!$BQ$302,AU11&lt;Deflactor!$BQ$303), Deflactor!$BP$302, IF(AND(AU11&gt;=Deflactor!$BQ$303,AU11&lt;Deflactor!$BQ$304), Deflactor!$BP$303, IF(AND(AU11&gt;=Deflactor!$BQ$304,AU11&lt;Deflactor!$BQ$305), Deflactor!$BP$304, IF(AND(AU11&gt;=Deflactor!$BQ$305,AU11&lt;Deflactor!$BQ$306), Deflactor!$BP$305, IF(AND(AU11&gt;=Deflactor!$BQ$306,AU11&lt;Deflactor!$BQ$307), Deflactor!$BP$306, Deflactor!$BP$307) ) ) ) ) ) ) ) ) )</f>
        <v>6</v>
      </c>
      <c r="AW11" s="57" t="str">
        <f>+IFERROR(VLOOKUP(AV11,Deflactor!$BP$298:$BU$307,6,0),"")</f>
        <v>15 a 20 millones USD</v>
      </c>
    </row>
    <row r="12" spans="1:49" s="33" customFormat="1" x14ac:dyDescent="0.3">
      <c r="A12" s="30">
        <v>2020</v>
      </c>
      <c r="B12" s="30" t="s">
        <v>271</v>
      </c>
      <c r="C12" s="30" t="s">
        <v>7</v>
      </c>
      <c r="D12" s="30" t="s">
        <v>40</v>
      </c>
      <c r="E12" s="30" t="s">
        <v>1307</v>
      </c>
      <c r="F12" s="30" t="s">
        <v>10</v>
      </c>
      <c r="G12" s="30" t="s">
        <v>723</v>
      </c>
      <c r="H12" s="30">
        <v>2006</v>
      </c>
      <c r="I12" s="30"/>
      <c r="J12" s="31">
        <f xml:space="preserve"> 10919 * 1000000</f>
        <v>10919000000</v>
      </c>
      <c r="K12" s="30" t="s">
        <v>1831</v>
      </c>
      <c r="L12" s="30" t="s">
        <v>1827</v>
      </c>
      <c r="M12" s="30" t="s">
        <v>1552</v>
      </c>
      <c r="N12" s="30" t="s">
        <v>1828</v>
      </c>
      <c r="O12" s="30" t="s">
        <v>1829</v>
      </c>
      <c r="P12" s="30" t="s">
        <v>1830</v>
      </c>
      <c r="Q12" s="30"/>
      <c r="R12" s="32" t="s">
        <v>1825</v>
      </c>
      <c r="S12" s="32" t="s">
        <v>1826</v>
      </c>
      <c r="T12" s="30"/>
      <c r="U12" s="30"/>
      <c r="V12" s="30"/>
      <c r="W12" s="31">
        <f>IF( J12="s.i", "s.i", IF(ISBLANK(J12),"Actualizando información",IFERROR(J12 / VLOOKUP(A12,Deflactor!$G$3:$H$64,2,0),"Revisar error" )))</f>
        <v>8378899015.2686529</v>
      </c>
      <c r="X12" s="33" t="s">
        <v>1832</v>
      </c>
      <c r="Y12" s="33" t="s">
        <v>1833</v>
      </c>
      <c r="Z12" s="33" t="s">
        <v>1834</v>
      </c>
      <c r="AA12" s="33" t="s">
        <v>1835</v>
      </c>
      <c r="AB12" s="33" t="s">
        <v>1836</v>
      </c>
      <c r="AC12" s="33" t="s">
        <v>1837</v>
      </c>
      <c r="AD12" s="33" t="s">
        <v>1838</v>
      </c>
      <c r="AE12" s="33" t="s">
        <v>1839</v>
      </c>
      <c r="AF12" s="33" t="s">
        <v>1840</v>
      </c>
      <c r="AG12" s="33" t="s">
        <v>1841</v>
      </c>
      <c r="AH12" s="33" t="s">
        <v>1842</v>
      </c>
      <c r="AR12" s="10">
        <f xml:space="preserve"> 10105074 * 1000</f>
        <v>10105074000</v>
      </c>
      <c r="AS12" s="42"/>
      <c r="AT12" s="46">
        <f t="shared" si="0"/>
        <v>10105074000</v>
      </c>
      <c r="AU12" s="54">
        <f xml:space="preserve"> IFERROR(ROUND(AT12 / VLOOKUP(A12,Tabla1[#All],2,0),0),"s.i")</f>
        <v>12755359</v>
      </c>
      <c r="AV12" s="33">
        <f xml:space="preserve"> IF(AU12="s.i", "s.i", IF(AND(AU12&gt;=Deflactor!$BQ$298,AU12&lt;Deflactor!$BQ$299), Deflactor!$BP$298, IF(AND(AU12&gt;=Deflactor!$BQ$299,AU12&lt;Deflactor!$BQ$300), Deflactor!$BP$299, IF(AND(AU12&gt;=Deflactor!$BQ$300,AU12&lt;Deflactor!$BQ$301), Deflactor!$BP$300, IF(AND(AU12&gt;=Deflactor!$BQ$301,AU12&lt;Deflactor!$BQ$302), Deflactor!$BP$301, IF(AND(AU12&gt;=Deflactor!$BQ$302,AU12&lt;Deflactor!$BQ$303), Deflactor!$BP$302, IF(AND(AU12&gt;=Deflactor!$BQ$303,AU12&lt;Deflactor!$BQ$304), Deflactor!$BP$303, IF(AND(AU12&gt;=Deflactor!$BQ$304,AU12&lt;Deflactor!$BQ$305), Deflactor!$BP$304, IF(AND(AU12&gt;=Deflactor!$BQ$305,AU12&lt;Deflactor!$BQ$306), Deflactor!$BP$305, IF(AND(AU12&gt;=Deflactor!$BQ$306,AU12&lt;Deflactor!$BQ$307), Deflactor!$BP$306, Deflactor!$BP$307) ) ) ) ) ) ) ) ) )</f>
        <v>5</v>
      </c>
      <c r="AW12" s="57" t="str">
        <f>+IFERROR(VLOOKUP(AV12,Deflactor!$BP$298:$BU$307,6,0),"")</f>
        <v>10 a 15 millones USD</v>
      </c>
    </row>
    <row r="13" spans="1:49" s="33" customFormat="1" x14ac:dyDescent="0.3">
      <c r="A13" s="30">
        <v>2020</v>
      </c>
      <c r="B13" s="30" t="s">
        <v>1308</v>
      </c>
      <c r="C13" s="30" t="s">
        <v>67</v>
      </c>
      <c r="D13" s="30" t="s">
        <v>54</v>
      </c>
      <c r="E13" s="30" t="s">
        <v>236</v>
      </c>
      <c r="F13" s="30" t="s">
        <v>27</v>
      </c>
      <c r="G13" s="30" t="s">
        <v>723</v>
      </c>
      <c r="H13" s="30">
        <v>1954</v>
      </c>
      <c r="I13" s="30"/>
      <c r="J13" s="31">
        <f xml:space="preserve"> 74737 * 1000000</f>
        <v>74737000000</v>
      </c>
      <c r="K13" s="30" t="s">
        <v>1846</v>
      </c>
      <c r="L13" s="30" t="s">
        <v>1697</v>
      </c>
      <c r="M13" s="30" t="s">
        <v>1845</v>
      </c>
      <c r="N13" s="30" t="s">
        <v>1847</v>
      </c>
      <c r="O13" s="30" t="s">
        <v>1848</v>
      </c>
      <c r="P13" s="30" t="s">
        <v>1849</v>
      </c>
      <c r="Q13" s="30"/>
      <c r="R13" s="32" t="s">
        <v>1843</v>
      </c>
      <c r="S13" s="32" t="s">
        <v>1844</v>
      </c>
      <c r="T13" s="30"/>
      <c r="U13" s="30" t="s">
        <v>1325</v>
      </c>
      <c r="V13" s="30"/>
      <c r="W13" s="31">
        <f>IF( J13="s.i", "s.i", IF(ISBLANK(J13),"Actualizando información",IFERROR(J13 / VLOOKUP(A13,Deflactor!$G$3:$H$64,2,0),"Revisar error" )))</f>
        <v>57350835763.72683</v>
      </c>
      <c r="X13" s="33" t="s">
        <v>1850</v>
      </c>
      <c r="Y13" s="33" t="s">
        <v>1851</v>
      </c>
      <c r="Z13" s="33" t="s">
        <v>1852</v>
      </c>
      <c r="AA13" s="33" t="s">
        <v>1853</v>
      </c>
      <c r="AB13" s="33" t="s">
        <v>1854</v>
      </c>
      <c r="AC13" s="33" t="s">
        <v>1855</v>
      </c>
      <c r="AD13" s="33" t="s">
        <v>1856</v>
      </c>
      <c r="AE13" s="33" t="s">
        <v>1857</v>
      </c>
      <c r="AF13" s="33" t="s">
        <v>1858</v>
      </c>
      <c r="AG13" s="33" t="s">
        <v>1859</v>
      </c>
      <c r="AR13" s="34">
        <f xml:space="preserve"> 24562966 * 1000</f>
        <v>24562966000</v>
      </c>
      <c r="AS13" s="42"/>
      <c r="AT13" s="46">
        <f t="shared" si="0"/>
        <v>24562966000</v>
      </c>
      <c r="AU13" s="54">
        <f xml:space="preserve"> IFERROR(ROUND(AT13 / VLOOKUP(A13,Tabla1[#All],2,0),0),"s.i")</f>
        <v>31005162</v>
      </c>
      <c r="AV13" s="33">
        <f xml:space="preserve"> IF(AU13="s.i", "s.i", IF(AND(AU13&gt;=Deflactor!$BQ$298,AU13&lt;Deflactor!$BQ$299), Deflactor!$BP$298, IF(AND(AU13&gt;=Deflactor!$BQ$299,AU13&lt;Deflactor!$BQ$300), Deflactor!$BP$299, IF(AND(AU13&gt;=Deflactor!$BQ$300,AU13&lt;Deflactor!$BQ$301), Deflactor!$BP$300, IF(AND(AU13&gt;=Deflactor!$BQ$301,AU13&lt;Deflactor!$BQ$302), Deflactor!$BP$301, IF(AND(AU13&gt;=Deflactor!$BQ$302,AU13&lt;Deflactor!$BQ$303), Deflactor!$BP$302, IF(AND(AU13&gt;=Deflactor!$BQ$303,AU13&lt;Deflactor!$BQ$304), Deflactor!$BP$303, IF(AND(AU13&gt;=Deflactor!$BQ$304,AU13&lt;Deflactor!$BQ$305), Deflactor!$BP$304, IF(AND(AU13&gt;=Deflactor!$BQ$305,AU13&lt;Deflactor!$BQ$306), Deflactor!$BP$305, IF(AND(AU13&gt;=Deflactor!$BQ$306,AU13&lt;Deflactor!$BQ$307), Deflactor!$BP$306, Deflactor!$BP$307) ) ) ) ) ) ) ) ) )</f>
        <v>8</v>
      </c>
      <c r="AW13" s="57" t="str">
        <f>+IFERROR(VLOOKUP(AV13,Deflactor!$BP$298:$BU$307,6,0),"")</f>
        <v>30 a 50 millones USD</v>
      </c>
    </row>
    <row r="14" spans="1:49" s="33" customFormat="1" x14ac:dyDescent="0.3">
      <c r="A14" s="30">
        <v>2020</v>
      </c>
      <c r="B14" s="30" t="s">
        <v>1309</v>
      </c>
      <c r="C14" s="30" t="s">
        <v>67</v>
      </c>
      <c r="D14" s="30" t="s">
        <v>54</v>
      </c>
      <c r="E14" s="30" t="s">
        <v>55</v>
      </c>
      <c r="F14" s="30" t="s">
        <v>14</v>
      </c>
      <c r="G14" s="30" t="s">
        <v>723</v>
      </c>
      <c r="H14" s="30">
        <v>1998</v>
      </c>
      <c r="I14" s="30"/>
      <c r="J14" s="31" t="s">
        <v>623</v>
      </c>
      <c r="K14" s="30" t="s">
        <v>1865</v>
      </c>
      <c r="L14" s="30" t="s">
        <v>1869</v>
      </c>
      <c r="M14" s="30" t="s">
        <v>1862</v>
      </c>
      <c r="N14" s="30" t="s">
        <v>1866</v>
      </c>
      <c r="O14" s="30" t="s">
        <v>1867</v>
      </c>
      <c r="P14" s="30" t="s">
        <v>1868</v>
      </c>
      <c r="Q14" s="30"/>
      <c r="R14" s="32" t="s">
        <v>1860</v>
      </c>
      <c r="S14" s="32" t="s">
        <v>1861</v>
      </c>
      <c r="T14" s="30"/>
      <c r="U14" s="30"/>
      <c r="V14" s="30"/>
      <c r="W14" s="31" t="str">
        <f>IF( J14="s.i", "s.i", IF(ISBLANK(J14),"Actualizando información",IFERROR(J14 / VLOOKUP(A14,Deflactor!$G$3:$H$64,2,0),"Revisar error" )))</f>
        <v>s.i</v>
      </c>
      <c r="X14" s="33" t="s">
        <v>1870</v>
      </c>
      <c r="Y14" s="33" t="s">
        <v>1871</v>
      </c>
      <c r="Z14" s="33" t="s">
        <v>1872</v>
      </c>
      <c r="AA14" s="33" t="s">
        <v>1873</v>
      </c>
      <c r="AB14" s="33" t="s">
        <v>1874</v>
      </c>
      <c r="AC14" s="33" t="s">
        <v>1875</v>
      </c>
      <c r="AR14" s="34"/>
      <c r="AS14" s="42"/>
      <c r="AT14" s="46">
        <f>'Notas reunion'!T26</f>
        <v>10390000000</v>
      </c>
      <c r="AU14" s="54">
        <f xml:space="preserve"> IFERROR(ROUND(AT14 / VLOOKUP(A14,Tabla1[#All],2,0),0),"s.i")</f>
        <v>13115013</v>
      </c>
      <c r="AV14" s="33">
        <f xml:space="preserve"> IF(AU14="s.i", "s.i", IF(AND(AU14&gt;=Deflactor!$BQ$298,AU14&lt;Deflactor!$BQ$299), Deflactor!$BP$298, IF(AND(AU14&gt;=Deflactor!$BQ$299,AU14&lt;Deflactor!$BQ$300), Deflactor!$BP$299, IF(AND(AU14&gt;=Deflactor!$BQ$300,AU14&lt;Deflactor!$BQ$301), Deflactor!$BP$300, IF(AND(AU14&gt;=Deflactor!$BQ$301,AU14&lt;Deflactor!$BQ$302), Deflactor!$BP$301, IF(AND(AU14&gt;=Deflactor!$BQ$302,AU14&lt;Deflactor!$BQ$303), Deflactor!$BP$302, IF(AND(AU14&gt;=Deflactor!$BQ$303,AU14&lt;Deflactor!$BQ$304), Deflactor!$BP$303, IF(AND(AU14&gt;=Deflactor!$BQ$304,AU14&lt;Deflactor!$BQ$305), Deflactor!$BP$304, IF(AND(AU14&gt;=Deflactor!$BQ$305,AU14&lt;Deflactor!$BQ$306), Deflactor!$BP$305, IF(AND(AU14&gt;=Deflactor!$BQ$306,AU14&lt;Deflactor!$BQ$307), Deflactor!$BP$306, Deflactor!$BP$307) ) ) ) ) ) ) ) ) )</f>
        <v>5</v>
      </c>
      <c r="AW14" s="57" t="str">
        <f>+IFERROR(VLOOKUP(AV14,Deflactor!$BP$298:$BU$307,6,0),"")</f>
        <v>10 a 15 millones USD</v>
      </c>
    </row>
    <row r="15" spans="1:49" s="33" customFormat="1" x14ac:dyDescent="0.3">
      <c r="A15" s="30">
        <v>2020</v>
      </c>
      <c r="B15" s="30" t="s">
        <v>1310</v>
      </c>
      <c r="C15" s="30" t="s">
        <v>7</v>
      </c>
      <c r="D15" s="30" t="s">
        <v>233</v>
      </c>
      <c r="E15" s="30" t="s">
        <v>234</v>
      </c>
      <c r="F15" s="30" t="s">
        <v>14</v>
      </c>
      <c r="G15" s="30" t="s">
        <v>723</v>
      </c>
      <c r="H15" s="30">
        <v>2009</v>
      </c>
      <c r="I15" s="30"/>
      <c r="J15" s="31">
        <f xml:space="preserve"> 862718 * 1000000</f>
        <v>862718000000</v>
      </c>
      <c r="K15" s="30" t="s">
        <v>2280</v>
      </c>
      <c r="L15" s="30" t="s">
        <v>1878</v>
      </c>
      <c r="M15" s="30" t="s">
        <v>1879</v>
      </c>
      <c r="N15" s="30" t="s">
        <v>1880</v>
      </c>
      <c r="O15" s="30" t="s">
        <v>1881</v>
      </c>
      <c r="P15" s="30" t="s">
        <v>1882</v>
      </c>
      <c r="Q15" s="30" t="s">
        <v>1892</v>
      </c>
      <c r="R15" s="32" t="s">
        <v>1876</v>
      </c>
      <c r="S15" s="32" t="s">
        <v>1877</v>
      </c>
      <c r="T15" s="30"/>
      <c r="U15" s="30" t="s">
        <v>1326</v>
      </c>
      <c r="V15" s="30"/>
      <c r="W15" s="31">
        <f>IF( J15="s.i", "s.i", IF(ISBLANK(J15),"Actualizando información",IFERROR(J15 / VLOOKUP(A15,Deflactor!$G$3:$H$64,2,0),"Revisar error" )))</f>
        <v>662022804346.052</v>
      </c>
      <c r="X15" s="33" t="s">
        <v>1883</v>
      </c>
      <c r="Y15" s="33" t="s">
        <v>1884</v>
      </c>
      <c r="Z15" s="33" t="s">
        <v>1885</v>
      </c>
      <c r="AA15" s="33" t="s">
        <v>1886</v>
      </c>
      <c r="AB15" s="33" t="s">
        <v>1887</v>
      </c>
      <c r="AC15" s="33" t="s">
        <v>1888</v>
      </c>
      <c r="AD15" s="33" t="s">
        <v>1889</v>
      </c>
      <c r="AE15" s="33" t="s">
        <v>1890</v>
      </c>
      <c r="AF15" s="33" t="s">
        <v>1891</v>
      </c>
      <c r="AR15" s="10">
        <f xml:space="preserve"> 862640663 * 1000</f>
        <v>862640663000</v>
      </c>
      <c r="AS15" s="42"/>
      <c r="AT15" s="46">
        <f t="shared" si="0"/>
        <v>862640663000</v>
      </c>
      <c r="AU15" s="54">
        <f xml:space="preserve"> IFERROR(ROUND(AT15 / VLOOKUP(A15,Tabla1[#All],2,0),0),"s.i")</f>
        <v>1088887768</v>
      </c>
      <c r="AV15" s="33">
        <f xml:space="preserve"> IF(AU15="s.i", "s.i", IF(AND(AU15&gt;=Deflactor!$BQ$298,AU15&lt;Deflactor!$BQ$299), Deflactor!$BP$298, IF(AND(AU15&gt;=Deflactor!$BQ$299,AU15&lt;Deflactor!$BQ$300), Deflactor!$BP$299, IF(AND(AU15&gt;=Deflactor!$BQ$300,AU15&lt;Deflactor!$BQ$301), Deflactor!$BP$300, IF(AND(AU15&gt;=Deflactor!$BQ$301,AU15&lt;Deflactor!$BQ$302), Deflactor!$BP$301, IF(AND(AU15&gt;=Deflactor!$BQ$302,AU15&lt;Deflactor!$BQ$303), Deflactor!$BP$302, IF(AND(AU15&gt;=Deflactor!$BQ$303,AU15&lt;Deflactor!$BQ$304), Deflactor!$BP$303, IF(AND(AU15&gt;=Deflactor!$BQ$304,AU15&lt;Deflactor!$BQ$305), Deflactor!$BP$304, IF(AND(AU15&gt;=Deflactor!$BQ$305,AU15&lt;Deflactor!$BQ$306), Deflactor!$BP$305, IF(AND(AU15&gt;=Deflactor!$BQ$306,AU15&lt;Deflactor!$BQ$307), Deflactor!$BP$306, Deflactor!$BP$307) ) ) ) ) ) ) ) ) )</f>
        <v>10</v>
      </c>
      <c r="AW15" s="57" t="str">
        <f>+IFERROR(VLOOKUP(AV15,Deflactor!$BP$298:$BU$307,6,0),"")</f>
        <v>100 millones USD y mas</v>
      </c>
    </row>
    <row r="16" spans="1:49" s="33" customFormat="1" x14ac:dyDescent="0.3">
      <c r="A16" s="30">
        <v>2020</v>
      </c>
      <c r="B16" s="30" t="s">
        <v>1311</v>
      </c>
      <c r="C16" s="30" t="s">
        <v>67</v>
      </c>
      <c r="D16" s="30" t="s">
        <v>32</v>
      </c>
      <c r="E16" s="30" t="s">
        <v>33</v>
      </c>
      <c r="F16" s="30" t="s">
        <v>10</v>
      </c>
      <c r="G16" s="30" t="s">
        <v>723</v>
      </c>
      <c r="H16" s="30">
        <v>1995</v>
      </c>
      <c r="I16" s="30"/>
      <c r="J16" s="31">
        <f xml:space="preserve"> 10945 * 1000000</f>
        <v>10945000000</v>
      </c>
      <c r="K16" s="30" t="s">
        <v>1653</v>
      </c>
      <c r="L16" s="30" t="s">
        <v>1895</v>
      </c>
      <c r="M16" s="30" t="s">
        <v>1896</v>
      </c>
      <c r="N16" s="30" t="s">
        <v>1897</v>
      </c>
      <c r="O16" s="30" t="s">
        <v>1898</v>
      </c>
      <c r="P16" s="30" t="s">
        <v>1899</v>
      </c>
      <c r="Q16" s="30" t="s">
        <v>1900</v>
      </c>
      <c r="R16" s="32" t="s">
        <v>1893</v>
      </c>
      <c r="S16" s="32" t="s">
        <v>1894</v>
      </c>
      <c r="T16" s="30"/>
      <c r="U16" s="30" t="s">
        <v>1311</v>
      </c>
      <c r="V16" s="30"/>
      <c r="W16" s="31">
        <f>IF( J16="s.i", "s.i", IF(ISBLANK(J16),"Actualizando información",IFERROR(J16 / VLOOKUP(A16,Deflactor!$G$3:$H$64,2,0),"Revisar error" )))</f>
        <v>8398850601.8971882</v>
      </c>
      <c r="X16" s="33" t="s">
        <v>1901</v>
      </c>
      <c r="Y16" s="33" t="s">
        <v>1902</v>
      </c>
      <c r="Z16" s="33" t="s">
        <v>1903</v>
      </c>
      <c r="AA16" s="33" t="s">
        <v>1904</v>
      </c>
      <c r="AB16" s="33" t="s">
        <v>1905</v>
      </c>
      <c r="AC16" s="33" t="s">
        <v>1906</v>
      </c>
      <c r="AD16" s="33" t="s">
        <v>1907</v>
      </c>
      <c r="AE16" s="33" t="s">
        <v>1908</v>
      </c>
      <c r="AR16" s="34">
        <f xml:space="preserve"> 10064158 * 1000</f>
        <v>10064158000</v>
      </c>
      <c r="AS16" s="42"/>
      <c r="AT16" s="46">
        <f t="shared" si="0"/>
        <v>10064158000</v>
      </c>
      <c r="AU16" s="54">
        <f xml:space="preserve"> IFERROR(ROUND(AT16 / VLOOKUP(A16,Tabla1[#All],2,0),0),"s.i")</f>
        <v>12703712</v>
      </c>
      <c r="AV16" s="33">
        <f xml:space="preserve"> IF(AU16="s.i", "s.i", IF(AND(AU16&gt;=Deflactor!$BQ$298,AU16&lt;Deflactor!$BQ$299), Deflactor!$BP$298, IF(AND(AU16&gt;=Deflactor!$BQ$299,AU16&lt;Deflactor!$BQ$300), Deflactor!$BP$299, IF(AND(AU16&gt;=Deflactor!$BQ$300,AU16&lt;Deflactor!$BQ$301), Deflactor!$BP$300, IF(AND(AU16&gt;=Deflactor!$BQ$301,AU16&lt;Deflactor!$BQ$302), Deflactor!$BP$301, IF(AND(AU16&gt;=Deflactor!$BQ$302,AU16&lt;Deflactor!$BQ$303), Deflactor!$BP$302, IF(AND(AU16&gt;=Deflactor!$BQ$303,AU16&lt;Deflactor!$BQ$304), Deflactor!$BP$303, IF(AND(AU16&gt;=Deflactor!$BQ$304,AU16&lt;Deflactor!$BQ$305), Deflactor!$BP$304, IF(AND(AU16&gt;=Deflactor!$BQ$305,AU16&lt;Deflactor!$BQ$306), Deflactor!$BP$305, IF(AND(AU16&gt;=Deflactor!$BQ$306,AU16&lt;Deflactor!$BQ$307), Deflactor!$BP$306, Deflactor!$BP$307) ) ) ) ) ) ) ) ) )</f>
        <v>5</v>
      </c>
      <c r="AW16" s="57" t="str">
        <f>+IFERROR(VLOOKUP(AV16,Deflactor!$BP$298:$BU$307,6,0),"")</f>
        <v>10 a 15 millones USD</v>
      </c>
    </row>
    <row r="17" spans="1:49" s="33" customFormat="1" x14ac:dyDescent="0.3">
      <c r="A17" s="30">
        <v>2020</v>
      </c>
      <c r="B17" s="30" t="s">
        <v>1312</v>
      </c>
      <c r="C17" s="30" t="s">
        <v>7</v>
      </c>
      <c r="D17" s="30" t="s">
        <v>32</v>
      </c>
      <c r="E17" s="30" t="s">
        <v>33</v>
      </c>
      <c r="F17" s="30" t="s">
        <v>14</v>
      </c>
      <c r="G17" s="30" t="s">
        <v>723</v>
      </c>
      <c r="H17" s="30">
        <v>2011</v>
      </c>
      <c r="I17" s="30"/>
      <c r="J17" s="31">
        <f xml:space="preserve"> 643551 * 1000000</f>
        <v>643551000000</v>
      </c>
      <c r="K17" s="30" t="s">
        <v>1653</v>
      </c>
      <c r="L17" s="30" t="s">
        <v>1911</v>
      </c>
      <c r="M17" s="30" t="s">
        <v>1912</v>
      </c>
      <c r="N17" s="30" t="s">
        <v>1913</v>
      </c>
      <c r="O17" s="30" t="s">
        <v>1914</v>
      </c>
      <c r="P17" s="30" t="s">
        <v>1915</v>
      </c>
      <c r="Q17" s="30" t="s">
        <v>1916</v>
      </c>
      <c r="R17" s="32" t="s">
        <v>1909</v>
      </c>
      <c r="S17" s="32" t="s">
        <v>1910</v>
      </c>
      <c r="T17" s="30"/>
      <c r="U17" s="30"/>
      <c r="V17" s="30"/>
      <c r="W17" s="31">
        <f>IF( J17="s.i", "s.i", IF(ISBLANK(J17),"Actualizando información",IFERROR(J17 / VLOOKUP(A17,Deflactor!$G$3:$H$64,2,0),"Revisar error" )))</f>
        <v>493840904860.80743</v>
      </c>
      <c r="X17" s="33" t="s">
        <v>1920</v>
      </c>
      <c r="Y17" s="33" t="s">
        <v>1921</v>
      </c>
      <c r="Z17" s="33" t="s">
        <v>1936</v>
      </c>
      <c r="AA17" s="33" t="s">
        <v>1922</v>
      </c>
      <c r="AB17" s="33" t="s">
        <v>1923</v>
      </c>
      <c r="AC17" s="33" t="s">
        <v>1924</v>
      </c>
      <c r="AD17" s="33" t="s">
        <v>1925</v>
      </c>
      <c r="AE17" s="33" t="s">
        <v>1926</v>
      </c>
      <c r="AF17" s="33" t="s">
        <v>1927</v>
      </c>
      <c r="AG17" s="33" t="s">
        <v>1928</v>
      </c>
      <c r="AH17" s="33" t="s">
        <v>1929</v>
      </c>
      <c r="AI17" s="33" t="s">
        <v>1930</v>
      </c>
      <c r="AJ17" s="33" t="s">
        <v>1931</v>
      </c>
      <c r="AK17" s="33" t="s">
        <v>1932</v>
      </c>
      <c r="AL17" s="33" t="s">
        <v>1933</v>
      </c>
      <c r="AM17" s="33" t="s">
        <v>1934</v>
      </c>
      <c r="AN17" s="33" t="s">
        <v>1935</v>
      </c>
      <c r="AR17" s="10">
        <f xml:space="preserve"> (32778366 + 20781776 + 10617522 + 39769345 + 48889408 + 17148467 + 34765307 + 83852747 + 67677346 + 50891349 + 8154246 + 12532970 + 171153543 + 24647470 + 17678470 + 2212809) * 1000</f>
        <v>643551141000</v>
      </c>
      <c r="AS17" s="42"/>
      <c r="AT17" s="46">
        <f t="shared" si="0"/>
        <v>643551141000</v>
      </c>
      <c r="AU17" s="54">
        <f xml:space="preserve"> IFERROR(ROUND(AT17 / VLOOKUP(A17,Tabla1[#All],2,0),0),"s.i")</f>
        <v>812337043</v>
      </c>
      <c r="AV17" s="33">
        <f xml:space="preserve"> IF(AU17="s.i", "s.i", IF(AND(AU17&gt;=Deflactor!$BQ$298,AU17&lt;Deflactor!$BQ$299), Deflactor!$BP$298, IF(AND(AU17&gt;=Deflactor!$BQ$299,AU17&lt;Deflactor!$BQ$300), Deflactor!$BP$299, IF(AND(AU17&gt;=Deflactor!$BQ$300,AU17&lt;Deflactor!$BQ$301), Deflactor!$BP$300, IF(AND(AU17&gt;=Deflactor!$BQ$301,AU17&lt;Deflactor!$BQ$302), Deflactor!$BP$301, IF(AND(AU17&gt;=Deflactor!$BQ$302,AU17&lt;Deflactor!$BQ$303), Deflactor!$BP$302, IF(AND(AU17&gt;=Deflactor!$BQ$303,AU17&lt;Deflactor!$BQ$304), Deflactor!$BP$303, IF(AND(AU17&gt;=Deflactor!$BQ$304,AU17&lt;Deflactor!$BQ$305), Deflactor!$BP$304, IF(AND(AU17&gt;=Deflactor!$BQ$305,AU17&lt;Deflactor!$BQ$306), Deflactor!$BP$305, IF(AND(AU17&gt;=Deflactor!$BQ$306,AU17&lt;Deflactor!$BQ$307), Deflactor!$BP$306, Deflactor!$BP$307) ) ) ) ) ) ) ) ) )</f>
        <v>10</v>
      </c>
      <c r="AW17" s="57" t="str">
        <f>+IFERROR(VLOOKUP(AV17,Deflactor!$BP$298:$BU$307,6,0),"")</f>
        <v>100 millones USD y mas</v>
      </c>
    </row>
    <row r="18" spans="1:49" s="33" customFormat="1" x14ac:dyDescent="0.3">
      <c r="A18" s="30">
        <v>2020</v>
      </c>
      <c r="B18" s="30" t="s">
        <v>1313</v>
      </c>
      <c r="C18" s="30" t="s">
        <v>7</v>
      </c>
      <c r="D18" s="30" t="s">
        <v>12</v>
      </c>
      <c r="E18" s="30" t="s">
        <v>1314</v>
      </c>
      <c r="F18" s="30" t="s">
        <v>27</v>
      </c>
      <c r="G18" s="30" t="s">
        <v>723</v>
      </c>
      <c r="H18" s="30">
        <v>2008</v>
      </c>
      <c r="I18" s="30"/>
      <c r="J18" s="31">
        <f xml:space="preserve"> 56538 * 1000000</f>
        <v>56538000000</v>
      </c>
      <c r="K18" s="30" t="s">
        <v>2282</v>
      </c>
      <c r="L18" s="30" t="s">
        <v>2281</v>
      </c>
      <c r="M18" s="30" t="s">
        <v>1939</v>
      </c>
      <c r="N18" s="30" t="s">
        <v>1940</v>
      </c>
      <c r="O18" s="30" t="s">
        <v>1941</v>
      </c>
      <c r="P18" s="30" t="s">
        <v>1942</v>
      </c>
      <c r="Q18" s="30"/>
      <c r="R18" s="32" t="s">
        <v>1937</v>
      </c>
      <c r="S18" s="32" t="s">
        <v>1938</v>
      </c>
      <c r="T18" s="30"/>
      <c r="U18" s="30" t="s">
        <v>1328</v>
      </c>
      <c r="V18" s="30"/>
      <c r="W18" s="31">
        <f>IF( J18="s.i", "s.i", IF(ISBLANK(J18),"Actualizando información",IFERROR(J18 / VLOOKUP(A18,Deflactor!$G$3:$H$64,2,0),"Revisar error" )))</f>
        <v>43385492492.468094</v>
      </c>
      <c r="X18" s="33" t="s">
        <v>1943</v>
      </c>
      <c r="Y18" s="33" t="s">
        <v>1944</v>
      </c>
      <c r="Z18" s="33" t="s">
        <v>1945</v>
      </c>
      <c r="AA18" s="33" t="s">
        <v>1946</v>
      </c>
      <c r="AB18" s="33" t="s">
        <v>1947</v>
      </c>
      <c r="AC18" s="33" t="s">
        <v>1948</v>
      </c>
      <c r="AD18" s="33" t="s">
        <v>1949</v>
      </c>
      <c r="AE18" s="33" t="s">
        <v>1950</v>
      </c>
      <c r="AF18" s="33" t="s">
        <v>1951</v>
      </c>
      <c r="AG18" s="33" t="s">
        <v>1952</v>
      </c>
      <c r="AH18" s="33" t="s">
        <v>1953</v>
      </c>
      <c r="AI18" s="33" t="s">
        <v>1954</v>
      </c>
      <c r="AJ18" s="33" t="s">
        <v>1955</v>
      </c>
      <c r="AK18" s="33" t="s">
        <v>1956</v>
      </c>
      <c r="AL18" s="33" t="s">
        <v>1957</v>
      </c>
      <c r="AM18" s="33" t="s">
        <v>1958</v>
      </c>
      <c r="AR18" s="10">
        <f xml:space="preserve"> 41783171 * 1000</f>
        <v>41783171000</v>
      </c>
      <c r="AS18" s="42"/>
      <c r="AT18" s="46">
        <f t="shared" si="0"/>
        <v>41783171000</v>
      </c>
      <c r="AU18" s="54">
        <f xml:space="preserve"> IFERROR(ROUND(AT18 / VLOOKUP(A18,Tabla1[#All],2,0),0),"s.i")</f>
        <v>52741757</v>
      </c>
      <c r="AV18" s="33">
        <f xml:space="preserve"> IF(AU18="s.i", "s.i", IF(AND(AU18&gt;=Deflactor!$BQ$298,AU18&lt;Deflactor!$BQ$299), Deflactor!$BP$298, IF(AND(AU18&gt;=Deflactor!$BQ$299,AU18&lt;Deflactor!$BQ$300), Deflactor!$BP$299, IF(AND(AU18&gt;=Deflactor!$BQ$300,AU18&lt;Deflactor!$BQ$301), Deflactor!$BP$300, IF(AND(AU18&gt;=Deflactor!$BQ$301,AU18&lt;Deflactor!$BQ$302), Deflactor!$BP$301, IF(AND(AU18&gt;=Deflactor!$BQ$302,AU18&lt;Deflactor!$BQ$303), Deflactor!$BP$302, IF(AND(AU18&gt;=Deflactor!$BQ$303,AU18&lt;Deflactor!$BQ$304), Deflactor!$BP$303, IF(AND(AU18&gt;=Deflactor!$BQ$304,AU18&lt;Deflactor!$BQ$305), Deflactor!$BP$304, IF(AND(AU18&gt;=Deflactor!$BQ$305,AU18&lt;Deflactor!$BQ$306), Deflactor!$BP$305, IF(AND(AU18&gt;=Deflactor!$BQ$306,AU18&lt;Deflactor!$BQ$307), Deflactor!$BP$306, Deflactor!$BP$307) ) ) ) ) ) ) ) ) )</f>
        <v>9</v>
      </c>
      <c r="AW18" s="57" t="str">
        <f>+IFERROR(VLOOKUP(AV18,Deflactor!$BP$298:$BU$307,6,0),"")</f>
        <v>50 a 100 millones USD</v>
      </c>
    </row>
    <row r="19" spans="1:49" s="33" customFormat="1" x14ac:dyDescent="0.3">
      <c r="A19" s="30">
        <v>2019</v>
      </c>
      <c r="B19" s="30" t="s">
        <v>6</v>
      </c>
      <c r="C19" s="30" t="s">
        <v>7</v>
      </c>
      <c r="D19" s="30" t="s">
        <v>8</v>
      </c>
      <c r="E19" s="30" t="s">
        <v>9</v>
      </c>
      <c r="F19" s="30" t="s">
        <v>10</v>
      </c>
      <c r="G19" s="30" t="s">
        <v>723</v>
      </c>
      <c r="H19" s="36">
        <v>1985</v>
      </c>
      <c r="I19" s="37"/>
      <c r="J19" s="31">
        <v>68399379</v>
      </c>
      <c r="K19" s="30" t="s">
        <v>1043</v>
      </c>
      <c r="L19" s="30" t="s">
        <v>729</v>
      </c>
      <c r="M19" s="30" t="s">
        <v>730</v>
      </c>
      <c r="N19" s="30" t="s">
        <v>731</v>
      </c>
      <c r="O19" s="30" t="s">
        <v>732</v>
      </c>
      <c r="P19" s="30" t="s">
        <v>733</v>
      </c>
      <c r="Q19" s="30"/>
      <c r="R19" s="32" t="s">
        <v>739</v>
      </c>
      <c r="S19" s="32" t="s">
        <v>740</v>
      </c>
      <c r="T19" s="30"/>
      <c r="U19" s="30"/>
      <c r="V19" s="30"/>
      <c r="W19" s="31">
        <f>IF( J19="s.i", "s.i", IF(ISBLANK(J19),"Actualizando información",IFERROR(J19 / VLOOKUP(A19,Deflactor!$G$3:$H$64,2,0),"Revisar error" )))</f>
        <v>53491537.120826639</v>
      </c>
      <c r="X19" s="33" t="s">
        <v>2000</v>
      </c>
      <c r="Y19" s="33" t="s">
        <v>2001</v>
      </c>
      <c r="Z19" s="33" t="s">
        <v>2002</v>
      </c>
      <c r="AA19" s="33" t="s">
        <v>2003</v>
      </c>
      <c r="AB19" s="33" t="s">
        <v>2004</v>
      </c>
      <c r="AC19" s="33" t="s">
        <v>2005</v>
      </c>
      <c r="AD19" s="33" t="s">
        <v>2006</v>
      </c>
      <c r="AE19" s="33" t="s">
        <v>2007</v>
      </c>
      <c r="AF19" s="33" t="s">
        <v>2008</v>
      </c>
      <c r="AG19" s="33" t="s">
        <v>2009</v>
      </c>
      <c r="AH19" s="33" t="s">
        <v>2010</v>
      </c>
      <c r="AI19" s="33" t="s">
        <v>2011</v>
      </c>
      <c r="AJ19" s="33" t="s">
        <v>2012</v>
      </c>
      <c r="AK19" s="33" t="s">
        <v>2013</v>
      </c>
      <c r="AL19" s="33" t="s">
        <v>2014</v>
      </c>
      <c r="AM19" s="33" t="s">
        <v>2015</v>
      </c>
      <c r="AN19" s="33" t="s">
        <v>2016</v>
      </c>
      <c r="AR19" s="34">
        <f t="shared" ref="AR19:AR21" si="1" xml:space="preserve"> 1163741 * 1000</f>
        <v>1163741000</v>
      </c>
      <c r="AS19" s="42"/>
      <c r="AT19" s="46">
        <f t="shared" si="0"/>
        <v>1163741000</v>
      </c>
      <c r="AU19" s="54">
        <f xml:space="preserve"> IFERROR(ROUND(AT19 / VLOOKUP(A19,Tabla1[#All],2,0),0),"s.i")</f>
        <v>1656262</v>
      </c>
      <c r="AV19" s="33">
        <f xml:space="preserve"> IF(AU19="s.i", "s.i", IF(AND(AU19&gt;=Deflactor!$BQ$298,AU19&lt;Deflactor!$BQ$299), Deflactor!$BP$298, IF(AND(AU19&gt;=Deflactor!$BQ$299,AU19&lt;Deflactor!$BQ$300), Deflactor!$BP$299, IF(AND(AU19&gt;=Deflactor!$BQ$300,AU19&lt;Deflactor!$BQ$301), Deflactor!$BP$300, IF(AND(AU19&gt;=Deflactor!$BQ$301,AU19&lt;Deflactor!$BQ$302), Deflactor!$BP$301, IF(AND(AU19&gt;=Deflactor!$BQ$302,AU19&lt;Deflactor!$BQ$303), Deflactor!$BP$302, IF(AND(AU19&gt;=Deflactor!$BQ$303,AU19&lt;Deflactor!$BQ$304), Deflactor!$BP$303, IF(AND(AU19&gt;=Deflactor!$BQ$304,AU19&lt;Deflactor!$BQ$305), Deflactor!$BP$304, IF(AND(AU19&gt;=Deflactor!$BQ$305,AU19&lt;Deflactor!$BQ$306), Deflactor!$BP$305, IF(AND(AU19&gt;=Deflactor!$BQ$306,AU19&lt;Deflactor!$BQ$307), Deflactor!$BP$306, Deflactor!$BP$307) ) ) ) ) ) ) ) ) )</f>
        <v>1</v>
      </c>
      <c r="AW19" s="57" t="str">
        <f>+IFERROR(VLOOKUP(AV19,Deflactor!$BP$298:$BU$307,6,0),"")</f>
        <v>2 millones USD y menos</v>
      </c>
    </row>
    <row r="20" spans="1:49" s="33" customFormat="1" x14ac:dyDescent="0.3">
      <c r="A20" s="30">
        <v>2019</v>
      </c>
      <c r="B20" s="30" t="s">
        <v>11</v>
      </c>
      <c r="C20" s="30" t="s">
        <v>7</v>
      </c>
      <c r="D20" s="30" t="s">
        <v>12</v>
      </c>
      <c r="E20" s="30" t="s">
        <v>13</v>
      </c>
      <c r="F20" s="30" t="s">
        <v>14</v>
      </c>
      <c r="G20" s="30" t="s">
        <v>723</v>
      </c>
      <c r="H20" s="36">
        <v>2014</v>
      </c>
      <c r="I20" s="37"/>
      <c r="J20" s="31">
        <f xml:space="preserve"> 9964630 * 1000000</f>
        <v>9964630000000</v>
      </c>
      <c r="K20" s="30"/>
      <c r="L20" s="30" t="s">
        <v>846</v>
      </c>
      <c r="M20" s="30" t="s">
        <v>847</v>
      </c>
      <c r="N20" s="30" t="s">
        <v>848</v>
      </c>
      <c r="O20" s="30" t="s">
        <v>849</v>
      </c>
      <c r="P20" s="30" t="s">
        <v>850</v>
      </c>
      <c r="Q20" s="30"/>
      <c r="R20" s="32" t="s">
        <v>851</v>
      </c>
      <c r="S20" s="32" t="s">
        <v>852</v>
      </c>
      <c r="T20" s="30"/>
      <c r="U20" s="30"/>
      <c r="V20" s="30"/>
      <c r="W20" s="31">
        <f>IF( J20="s.i", "s.i", IF(ISBLANK(J20),"Actualizando información",IFERROR(J20 / VLOOKUP(A20,Deflactor!$G$3:$H$64,2,0),"Revisar error" )))</f>
        <v>7792810158997.2441</v>
      </c>
      <c r="X20" s="33" t="s">
        <v>2017</v>
      </c>
      <c r="Y20" s="33" t="s">
        <v>2018</v>
      </c>
      <c r="Z20" s="33" t="s">
        <v>2019</v>
      </c>
      <c r="AA20" s="33" t="s">
        <v>2020</v>
      </c>
      <c r="AB20" s="33" t="s">
        <v>2021</v>
      </c>
      <c r="AC20" s="30" t="s">
        <v>2022</v>
      </c>
      <c r="AD20" s="33" t="s">
        <v>2023</v>
      </c>
      <c r="AE20" s="33" t="s">
        <v>2024</v>
      </c>
      <c r="AF20" s="33" t="s">
        <v>2025</v>
      </c>
      <c r="AG20" s="33" t="s">
        <v>2026</v>
      </c>
      <c r="AH20" s="33" t="s">
        <v>2027</v>
      </c>
      <c r="AI20" s="33" t="s">
        <v>2028</v>
      </c>
      <c r="AJ20" s="33" t="s">
        <v>2032</v>
      </c>
      <c r="AK20" s="33" t="s">
        <v>2031</v>
      </c>
      <c r="AL20" s="33" t="s">
        <v>2030</v>
      </c>
      <c r="AM20" s="33" t="s">
        <v>2029</v>
      </c>
      <c r="AN20" s="33" t="s">
        <v>2036</v>
      </c>
      <c r="AO20" s="33" t="s">
        <v>2037</v>
      </c>
      <c r="AP20" s="33" t="s">
        <v>2038</v>
      </c>
      <c r="AQ20" s="33" t="s">
        <v>2039</v>
      </c>
      <c r="AR20" s="34">
        <f xml:space="preserve"> 6964632 * 1000</f>
        <v>6964632000</v>
      </c>
      <c r="AS20" s="42"/>
      <c r="AT20" s="46">
        <f t="shared" si="0"/>
        <v>6964632000</v>
      </c>
      <c r="AU20" s="54">
        <f xml:space="preserve"> IFERROR(ROUND(AT20 / VLOOKUP(A20,Tabla1[#All],2,0),0),"s.i")</f>
        <v>9912218</v>
      </c>
      <c r="AV20" s="33">
        <f xml:space="preserve"> IF(AU20="s.i", "s.i", IF(AND(AU20&gt;=Deflactor!$BQ$298,AU20&lt;Deflactor!$BQ$299), Deflactor!$BP$298, IF(AND(AU20&gt;=Deflactor!$BQ$299,AU20&lt;Deflactor!$BQ$300), Deflactor!$BP$299, IF(AND(AU20&gt;=Deflactor!$BQ$300,AU20&lt;Deflactor!$BQ$301), Deflactor!$BP$300, IF(AND(AU20&gt;=Deflactor!$BQ$301,AU20&lt;Deflactor!$BQ$302), Deflactor!$BP$301, IF(AND(AU20&gt;=Deflactor!$BQ$302,AU20&lt;Deflactor!$BQ$303), Deflactor!$BP$302, IF(AND(AU20&gt;=Deflactor!$BQ$303,AU20&lt;Deflactor!$BQ$304), Deflactor!$BP$303, IF(AND(AU20&gt;=Deflactor!$BQ$304,AU20&lt;Deflactor!$BQ$305), Deflactor!$BP$304, IF(AND(AU20&gt;=Deflactor!$BQ$305,AU20&lt;Deflactor!$BQ$306), Deflactor!$BP$305, IF(AND(AU20&gt;=Deflactor!$BQ$306,AU20&lt;Deflactor!$BQ$307), Deflactor!$BP$306, Deflactor!$BP$307) ) ) ) ) ) ) ) ) )</f>
        <v>4</v>
      </c>
      <c r="AW20" s="57" t="str">
        <f>+IFERROR(VLOOKUP(AV20,Deflactor!$BP$298:$BU$307,6,0),"")</f>
        <v>7,5 a 10 millones USD</v>
      </c>
    </row>
    <row r="21" spans="1:49" s="33" customFormat="1" x14ac:dyDescent="0.3">
      <c r="A21" s="30">
        <v>2019</v>
      </c>
      <c r="B21" s="30" t="s">
        <v>15</v>
      </c>
      <c r="C21" s="30" t="s">
        <v>7</v>
      </c>
      <c r="D21" s="30" t="s">
        <v>8</v>
      </c>
      <c r="E21" s="30" t="s">
        <v>9</v>
      </c>
      <c r="F21" s="30" t="s">
        <v>10</v>
      </c>
      <c r="G21" s="30" t="s">
        <v>723</v>
      </c>
      <c r="H21" s="36">
        <v>1985</v>
      </c>
      <c r="I21" s="37"/>
      <c r="J21" s="31">
        <f xml:space="preserve"> 68399379 * 1000</f>
        <v>68399379000</v>
      </c>
      <c r="K21" s="30" t="s">
        <v>1043</v>
      </c>
      <c r="L21" s="30" t="s">
        <v>729</v>
      </c>
      <c r="M21" s="30" t="s">
        <v>730</v>
      </c>
      <c r="N21" s="30" t="s">
        <v>731</v>
      </c>
      <c r="O21" s="30" t="s">
        <v>732</v>
      </c>
      <c r="P21" s="30" t="s">
        <v>733</v>
      </c>
      <c r="Q21" s="30"/>
      <c r="R21" s="32" t="s">
        <v>2040</v>
      </c>
      <c r="S21" s="32" t="s">
        <v>2041</v>
      </c>
      <c r="T21" s="30"/>
      <c r="U21" s="30"/>
      <c r="V21" s="30"/>
      <c r="W21" s="31">
        <f>IF( J21="s.i", "s.i", IF(ISBLANK(J21),"Actualizando información",IFERROR(J21 / VLOOKUP(A21,Deflactor!$G$3:$H$64,2,0),"Revisar error" )))</f>
        <v>53491537120.826637</v>
      </c>
      <c r="X21" s="33" t="s">
        <v>2000</v>
      </c>
      <c r="Y21" s="33" t="s">
        <v>2001</v>
      </c>
      <c r="Z21" s="33" t="s">
        <v>2002</v>
      </c>
      <c r="AR21" s="34">
        <f t="shared" si="1"/>
        <v>1163741000</v>
      </c>
      <c r="AS21" s="42"/>
      <c r="AT21" s="46">
        <f t="shared" si="0"/>
        <v>1163741000</v>
      </c>
      <c r="AU21" s="54">
        <f xml:space="preserve"> IFERROR(ROUND(AT21 / VLOOKUP(A21,Tabla1[#All],2,0),0),"s.i")</f>
        <v>1656262</v>
      </c>
      <c r="AV21" s="33">
        <f xml:space="preserve"> IF(AU21="s.i", "s.i", IF(AND(AU21&gt;=Deflactor!$BQ$298,AU21&lt;Deflactor!$BQ$299), Deflactor!$BP$298, IF(AND(AU21&gt;=Deflactor!$BQ$299,AU21&lt;Deflactor!$BQ$300), Deflactor!$BP$299, IF(AND(AU21&gt;=Deflactor!$BQ$300,AU21&lt;Deflactor!$BQ$301), Deflactor!$BP$300, IF(AND(AU21&gt;=Deflactor!$BQ$301,AU21&lt;Deflactor!$BQ$302), Deflactor!$BP$301, IF(AND(AU21&gt;=Deflactor!$BQ$302,AU21&lt;Deflactor!$BQ$303), Deflactor!$BP$302, IF(AND(AU21&gt;=Deflactor!$BQ$303,AU21&lt;Deflactor!$BQ$304), Deflactor!$BP$303, IF(AND(AU21&gt;=Deflactor!$BQ$304,AU21&lt;Deflactor!$BQ$305), Deflactor!$BP$304, IF(AND(AU21&gt;=Deflactor!$BQ$305,AU21&lt;Deflactor!$BQ$306), Deflactor!$BP$305, IF(AND(AU21&gt;=Deflactor!$BQ$306,AU21&lt;Deflactor!$BQ$307), Deflactor!$BP$306, Deflactor!$BP$307) ) ) ) ) ) ) ) ) )</f>
        <v>1</v>
      </c>
      <c r="AW21" s="57" t="str">
        <f>+IFERROR(VLOOKUP(AV21,Deflactor!$BP$298:$BU$307,6,0),"")</f>
        <v>2 millones USD y menos</v>
      </c>
    </row>
    <row r="22" spans="1:49" x14ac:dyDescent="0.3">
      <c r="A22" s="3">
        <v>2019</v>
      </c>
      <c r="B22" s="3" t="s">
        <v>16</v>
      </c>
      <c r="C22" s="3" t="s">
        <v>7</v>
      </c>
      <c r="D22" s="3" t="s">
        <v>17</v>
      </c>
      <c r="E22" s="3" t="s">
        <v>18</v>
      </c>
      <c r="F22" s="3" t="s">
        <v>10</v>
      </c>
      <c r="G22" s="3" t="s">
        <v>723</v>
      </c>
      <c r="H22" s="12">
        <v>2005</v>
      </c>
      <c r="I22" s="13"/>
      <c r="J22" s="10">
        <f xml:space="preserve"> 8900 * 1000000</f>
        <v>8900000000</v>
      </c>
      <c r="K22" s="3" t="s">
        <v>1650</v>
      </c>
      <c r="L22" s="3" t="s">
        <v>853</v>
      </c>
      <c r="M22" s="3" t="s">
        <v>854</v>
      </c>
      <c r="N22" s="3" t="s">
        <v>855</v>
      </c>
      <c r="O22" s="3" t="s">
        <v>856</v>
      </c>
      <c r="P22" s="3" t="s">
        <v>857</v>
      </c>
      <c r="Q22" s="3"/>
      <c r="R22" s="11" t="s">
        <v>858</v>
      </c>
      <c r="S22" s="11" t="s">
        <v>859</v>
      </c>
      <c r="T22" s="11" t="s">
        <v>860</v>
      </c>
      <c r="U22" s="3" t="s">
        <v>1141</v>
      </c>
      <c r="V22" s="3"/>
      <c r="W22" s="10">
        <f>IF( J22="s.i", "s.i", IF(ISBLANK(J22),"Actualizando información",IFERROR(J22 / VLOOKUP(A22,Deflactor!$G$3:$H$64,2,0),"Revisar error" )))</f>
        <v>6960219337.3035898</v>
      </c>
      <c r="AR22" s="10">
        <f xml:space="preserve"> 8900342 * 1000</f>
        <v>8900342000</v>
      </c>
      <c r="AT22" s="46">
        <f t="shared" si="0"/>
        <v>8900342000</v>
      </c>
      <c r="AU22" s="54">
        <f xml:space="preserve"> IFERROR(ROUND(AT22 / VLOOKUP(A22,Tabla1[#All],2,0),0),"s.i")</f>
        <v>12667163</v>
      </c>
      <c r="AV22" s="33">
        <f xml:space="preserve"> IF(AU22="s.i", "s.i", IF(AND(AU22&gt;=Deflactor!$BQ$298,AU22&lt;Deflactor!$BQ$299), Deflactor!$BP$298, IF(AND(AU22&gt;=Deflactor!$BQ$299,AU22&lt;Deflactor!$BQ$300), Deflactor!$BP$299, IF(AND(AU22&gt;=Deflactor!$BQ$300,AU22&lt;Deflactor!$BQ$301), Deflactor!$BP$300, IF(AND(AU22&gt;=Deflactor!$BQ$301,AU22&lt;Deflactor!$BQ$302), Deflactor!$BP$301, IF(AND(AU22&gt;=Deflactor!$BQ$302,AU22&lt;Deflactor!$BQ$303), Deflactor!$BP$302, IF(AND(AU22&gt;=Deflactor!$BQ$303,AU22&lt;Deflactor!$BQ$304), Deflactor!$BP$303, IF(AND(AU22&gt;=Deflactor!$BQ$304,AU22&lt;Deflactor!$BQ$305), Deflactor!$BP$304, IF(AND(AU22&gt;=Deflactor!$BQ$305,AU22&lt;Deflactor!$BQ$306), Deflactor!$BP$305, IF(AND(AU22&gt;=Deflactor!$BQ$306,AU22&lt;Deflactor!$BQ$307), Deflactor!$BP$306, Deflactor!$BP$307) ) ) ) ) ) ) ) ) )</f>
        <v>5</v>
      </c>
      <c r="AW22" s="57" t="str">
        <f>+IFERROR(VLOOKUP(AV22,Deflactor!$BP$298:$BU$307,6,0),"")</f>
        <v>10 a 15 millones USD</v>
      </c>
    </row>
    <row r="23" spans="1:49" x14ac:dyDescent="0.3">
      <c r="A23" s="3">
        <v>2019</v>
      </c>
      <c r="B23" s="3" t="s">
        <v>19</v>
      </c>
      <c r="C23" s="3" t="s">
        <v>7</v>
      </c>
      <c r="D23" s="3" t="s">
        <v>20</v>
      </c>
      <c r="E23" s="3" t="s">
        <v>21</v>
      </c>
      <c r="F23" s="3" t="s">
        <v>14</v>
      </c>
      <c r="G23" s="3" t="s">
        <v>723</v>
      </c>
      <c r="H23" s="12">
        <v>1994</v>
      </c>
      <c r="I23" s="13"/>
      <c r="J23" s="10">
        <f xml:space="preserve"> 11054977 * 1000</f>
        <v>11054977000</v>
      </c>
      <c r="K23" s="3" t="s">
        <v>861</v>
      </c>
      <c r="L23" s="3" t="s">
        <v>861</v>
      </c>
      <c r="M23" s="3" t="s">
        <v>862</v>
      </c>
      <c r="N23" s="3" t="s">
        <v>863</v>
      </c>
      <c r="O23" s="3" t="s">
        <v>864</v>
      </c>
      <c r="P23" s="3" t="s">
        <v>865</v>
      </c>
      <c r="Q23" s="3"/>
      <c r="R23" s="11" t="s">
        <v>866</v>
      </c>
      <c r="S23" s="11" t="s">
        <v>867</v>
      </c>
      <c r="T23" s="3"/>
      <c r="U23" s="3" t="s">
        <v>1142</v>
      </c>
      <c r="V23" s="3"/>
      <c r="W23" s="10">
        <f>IF( J23="s.i", "s.i", IF(ISBLANK(J23),"Actualizando información",IFERROR(J23 / VLOOKUP(A23,Deflactor!$G$3:$H$64,2,0),"Revisar error" )))</f>
        <v>8645512886.3872395</v>
      </c>
      <c r="AR23" s="10">
        <f xml:space="preserve"> 9352577 * 1000</f>
        <v>9352577000</v>
      </c>
      <c r="AT23" s="46">
        <f t="shared" si="0"/>
        <v>9352577000</v>
      </c>
      <c r="AU23" s="54">
        <f xml:space="preserve"> IFERROR(ROUND(AT23 / VLOOKUP(A23,Tabla1[#All],2,0),0),"s.i")</f>
        <v>13310794</v>
      </c>
      <c r="AV23" s="33">
        <f xml:space="preserve"> IF(AU23="s.i", "s.i", IF(AND(AU23&gt;=Deflactor!$BQ$298,AU23&lt;Deflactor!$BQ$299), Deflactor!$BP$298, IF(AND(AU23&gt;=Deflactor!$BQ$299,AU23&lt;Deflactor!$BQ$300), Deflactor!$BP$299, IF(AND(AU23&gt;=Deflactor!$BQ$300,AU23&lt;Deflactor!$BQ$301), Deflactor!$BP$300, IF(AND(AU23&gt;=Deflactor!$BQ$301,AU23&lt;Deflactor!$BQ$302), Deflactor!$BP$301, IF(AND(AU23&gt;=Deflactor!$BQ$302,AU23&lt;Deflactor!$BQ$303), Deflactor!$BP$302, IF(AND(AU23&gt;=Deflactor!$BQ$303,AU23&lt;Deflactor!$BQ$304), Deflactor!$BP$303, IF(AND(AU23&gt;=Deflactor!$BQ$304,AU23&lt;Deflactor!$BQ$305), Deflactor!$BP$304, IF(AND(AU23&gt;=Deflactor!$BQ$305,AU23&lt;Deflactor!$BQ$306), Deflactor!$BP$305, IF(AND(AU23&gt;=Deflactor!$BQ$306,AU23&lt;Deflactor!$BQ$307), Deflactor!$BP$306, Deflactor!$BP$307) ) ) ) ) ) ) ) ) )</f>
        <v>5</v>
      </c>
      <c r="AW23" s="57" t="str">
        <f>+IFERROR(VLOOKUP(AV23,Deflactor!$BP$298:$BU$307,6,0),"")</f>
        <v>10 a 15 millones USD</v>
      </c>
    </row>
    <row r="24" spans="1:49" x14ac:dyDescent="0.3">
      <c r="A24" s="3">
        <v>2019</v>
      </c>
      <c r="B24" s="3" t="s">
        <v>22</v>
      </c>
      <c r="C24" s="3" t="s">
        <v>7</v>
      </c>
      <c r="D24" s="3" t="s">
        <v>20</v>
      </c>
      <c r="E24" s="3" t="s">
        <v>23</v>
      </c>
      <c r="F24" s="3" t="s">
        <v>14</v>
      </c>
      <c r="G24" s="3" t="s">
        <v>723</v>
      </c>
      <c r="H24" s="12">
        <v>2016</v>
      </c>
      <c r="I24" s="13"/>
      <c r="J24" s="10">
        <v>3348243</v>
      </c>
      <c r="K24" s="3" t="s">
        <v>1652</v>
      </c>
      <c r="L24" s="3" t="s">
        <v>868</v>
      </c>
      <c r="M24" s="3" t="s">
        <v>869</v>
      </c>
      <c r="N24" s="3" t="s">
        <v>870</v>
      </c>
      <c r="O24" s="3" t="s">
        <v>871</v>
      </c>
      <c r="P24" s="3" t="s">
        <v>872</v>
      </c>
      <c r="Q24" s="3" t="s">
        <v>873</v>
      </c>
      <c r="R24" s="11" t="s">
        <v>874</v>
      </c>
      <c r="S24" s="11" t="s">
        <v>875</v>
      </c>
      <c r="T24" s="3"/>
      <c r="U24" s="3" t="s">
        <v>1143</v>
      </c>
      <c r="V24" s="3"/>
      <c r="W24" s="10">
        <f>IF( J24="s.i", "s.i", IF(ISBLANK(J24),"Actualizando información",IFERROR(J24 / VLOOKUP(A24,Deflactor!$G$3:$H$64,2,0),"Revisar error" )))</f>
        <v>2618483.7836619532</v>
      </c>
      <c r="AR24" s="34">
        <f xml:space="preserve"> 3348243 * 1000</f>
        <v>3348243000</v>
      </c>
      <c r="AT24" s="46">
        <f t="shared" si="0"/>
        <v>3348243000</v>
      </c>
      <c r="AU24" s="54">
        <f xml:space="preserve"> IFERROR(ROUND(AT24 / VLOOKUP(A24,Tabla1[#All],2,0),0),"s.i")</f>
        <v>4765293</v>
      </c>
      <c r="AV24" s="33">
        <f xml:space="preserve"> IF(AU24="s.i", "s.i", IF(AND(AU24&gt;=Deflactor!$BQ$298,AU24&lt;Deflactor!$BQ$299), Deflactor!$BP$298, IF(AND(AU24&gt;=Deflactor!$BQ$299,AU24&lt;Deflactor!$BQ$300), Deflactor!$BP$299, IF(AND(AU24&gt;=Deflactor!$BQ$300,AU24&lt;Deflactor!$BQ$301), Deflactor!$BP$300, IF(AND(AU24&gt;=Deflactor!$BQ$301,AU24&lt;Deflactor!$BQ$302), Deflactor!$BP$301, IF(AND(AU24&gt;=Deflactor!$BQ$302,AU24&lt;Deflactor!$BQ$303), Deflactor!$BP$302, IF(AND(AU24&gt;=Deflactor!$BQ$303,AU24&lt;Deflactor!$BQ$304), Deflactor!$BP$303, IF(AND(AU24&gt;=Deflactor!$BQ$304,AU24&lt;Deflactor!$BQ$305), Deflactor!$BP$304, IF(AND(AU24&gt;=Deflactor!$BQ$305,AU24&lt;Deflactor!$BQ$306), Deflactor!$BP$305, IF(AND(AU24&gt;=Deflactor!$BQ$306,AU24&lt;Deflactor!$BQ$307), Deflactor!$BP$306, Deflactor!$BP$307) ) ) ) ) ) ) ) ) )</f>
        <v>2</v>
      </c>
      <c r="AW24" s="57" t="str">
        <f>+IFERROR(VLOOKUP(AV24,Deflactor!$BP$298:$BU$307,6,0),"")</f>
        <v>2 a 5 millones USD</v>
      </c>
    </row>
    <row r="25" spans="1:49" x14ac:dyDescent="0.3">
      <c r="A25" s="3">
        <v>2019</v>
      </c>
      <c r="B25" s="3" t="s">
        <v>24</v>
      </c>
      <c r="C25" s="3" t="s">
        <v>7</v>
      </c>
      <c r="D25" s="3" t="s">
        <v>25</v>
      </c>
      <c r="E25" s="3" t="s">
        <v>26</v>
      </c>
      <c r="F25" s="3" t="s">
        <v>27</v>
      </c>
      <c r="G25" s="3" t="s">
        <v>723</v>
      </c>
      <c r="H25" s="12">
        <v>2014</v>
      </c>
      <c r="I25" s="13"/>
      <c r="J25" s="10">
        <f xml:space="preserve"> 18149 * 1000000</f>
        <v>18149000000</v>
      </c>
      <c r="K25" s="3" t="s">
        <v>2190</v>
      </c>
      <c r="L25" s="3" t="s">
        <v>876</v>
      </c>
      <c r="M25" s="3" t="s">
        <v>877</v>
      </c>
      <c r="N25" s="3" t="s">
        <v>878</v>
      </c>
      <c r="O25" s="3" t="s">
        <v>879</v>
      </c>
      <c r="P25" s="3" t="s">
        <v>880</v>
      </c>
      <c r="Q25" s="3"/>
      <c r="R25" s="11" t="s">
        <v>881</v>
      </c>
      <c r="S25" s="11" t="s">
        <v>882</v>
      </c>
      <c r="T25" s="11" t="s">
        <v>883</v>
      </c>
      <c r="U25" s="3" t="s">
        <v>877</v>
      </c>
      <c r="V25" s="3"/>
      <c r="W25" s="10">
        <f>IF( J25="s.i", "s.i", IF(ISBLANK(J25),"Actualizando información",IFERROR(J25 / VLOOKUP(A25,Deflactor!$G$3:$H$64,2,0),"Revisar error" )))</f>
        <v>14193373118.283466</v>
      </c>
      <c r="AR25" s="34">
        <f xml:space="preserve"> 3435061 * 1000</f>
        <v>3435061000</v>
      </c>
      <c r="AT25" s="46">
        <f t="shared" si="0"/>
        <v>3435061000</v>
      </c>
      <c r="AU25" s="54">
        <f xml:space="preserve"> IFERROR(ROUND(AT25 / VLOOKUP(A25,Tabla1[#All],2,0),0),"s.i")</f>
        <v>4888855</v>
      </c>
      <c r="AV25" s="33">
        <f xml:space="preserve"> IF(AU25="s.i", "s.i", IF(AND(AU25&gt;=Deflactor!$BQ$298,AU25&lt;Deflactor!$BQ$299), Deflactor!$BP$298, IF(AND(AU25&gt;=Deflactor!$BQ$299,AU25&lt;Deflactor!$BQ$300), Deflactor!$BP$299, IF(AND(AU25&gt;=Deflactor!$BQ$300,AU25&lt;Deflactor!$BQ$301), Deflactor!$BP$300, IF(AND(AU25&gt;=Deflactor!$BQ$301,AU25&lt;Deflactor!$BQ$302), Deflactor!$BP$301, IF(AND(AU25&gt;=Deflactor!$BQ$302,AU25&lt;Deflactor!$BQ$303), Deflactor!$BP$302, IF(AND(AU25&gt;=Deflactor!$BQ$303,AU25&lt;Deflactor!$BQ$304), Deflactor!$BP$303, IF(AND(AU25&gt;=Deflactor!$BQ$304,AU25&lt;Deflactor!$BQ$305), Deflactor!$BP$304, IF(AND(AU25&gt;=Deflactor!$BQ$305,AU25&lt;Deflactor!$BQ$306), Deflactor!$BP$305, IF(AND(AU25&gt;=Deflactor!$BQ$306,AU25&lt;Deflactor!$BQ$307), Deflactor!$BP$306, Deflactor!$BP$307) ) ) ) ) ) ) ) ) )</f>
        <v>2</v>
      </c>
      <c r="AW25" s="57" t="str">
        <f>+IFERROR(VLOOKUP(AV25,Deflactor!$BP$298:$BU$307,6,0),"")</f>
        <v>2 a 5 millones USD</v>
      </c>
    </row>
    <row r="26" spans="1:49" x14ac:dyDescent="0.3">
      <c r="A26" s="3">
        <v>2019</v>
      </c>
      <c r="B26" s="3" t="s">
        <v>28</v>
      </c>
      <c r="C26" s="3" t="s">
        <v>7</v>
      </c>
      <c r="D26" s="3" t="s">
        <v>25</v>
      </c>
      <c r="E26" s="3" t="s">
        <v>29</v>
      </c>
      <c r="F26" s="3" t="s">
        <v>30</v>
      </c>
      <c r="G26" s="3" t="s">
        <v>723</v>
      </c>
      <c r="H26" s="12">
        <v>2015</v>
      </c>
      <c r="I26" s="13"/>
      <c r="J26" s="10">
        <f xml:space="preserve"> 18900 * 1000000</f>
        <v>18900000000</v>
      </c>
      <c r="K26" s="3" t="s">
        <v>1648</v>
      </c>
      <c r="L26" s="3" t="s">
        <v>884</v>
      </c>
      <c r="M26" s="3" t="s">
        <v>885</v>
      </c>
      <c r="N26" s="3" t="s">
        <v>886</v>
      </c>
      <c r="O26" s="3" t="s">
        <v>887</v>
      </c>
      <c r="P26" s="3" t="s">
        <v>888</v>
      </c>
      <c r="Q26" s="3"/>
      <c r="R26" s="11" t="s">
        <v>889</v>
      </c>
      <c r="S26" s="11" t="s">
        <v>890</v>
      </c>
      <c r="T26" s="3"/>
      <c r="U26" s="3" t="s">
        <v>1144</v>
      </c>
      <c r="V26" s="3"/>
      <c r="W26" s="10">
        <f>IF( J26="s.i", "s.i", IF(ISBLANK(J26),"Actualizando información",IFERROR(J26 / VLOOKUP(A26,Deflactor!$G$3:$H$64,2,0),"Revisar error" )))</f>
        <v>14780690502.813242</v>
      </c>
      <c r="AR26" s="10">
        <f xml:space="preserve"> 13822440 * 1000</f>
        <v>13822440000</v>
      </c>
      <c r="AT26" s="46">
        <f t="shared" si="0"/>
        <v>13822440000</v>
      </c>
      <c r="AU26" s="54">
        <f xml:space="preserve"> IFERROR(ROUND(AT26 / VLOOKUP(A26,Tabla1[#All],2,0),0),"s.i")</f>
        <v>19672401</v>
      </c>
      <c r="AV26" s="33">
        <f xml:space="preserve"> IF(AU26="s.i", "s.i", IF(AND(AU26&gt;=Deflactor!$BQ$298,AU26&lt;Deflactor!$BQ$299), Deflactor!$BP$298, IF(AND(AU26&gt;=Deflactor!$BQ$299,AU26&lt;Deflactor!$BQ$300), Deflactor!$BP$299, IF(AND(AU26&gt;=Deflactor!$BQ$300,AU26&lt;Deflactor!$BQ$301), Deflactor!$BP$300, IF(AND(AU26&gt;=Deflactor!$BQ$301,AU26&lt;Deflactor!$BQ$302), Deflactor!$BP$301, IF(AND(AU26&gt;=Deflactor!$BQ$302,AU26&lt;Deflactor!$BQ$303), Deflactor!$BP$302, IF(AND(AU26&gt;=Deflactor!$BQ$303,AU26&lt;Deflactor!$BQ$304), Deflactor!$BP$303, IF(AND(AU26&gt;=Deflactor!$BQ$304,AU26&lt;Deflactor!$BQ$305), Deflactor!$BP$304, IF(AND(AU26&gt;=Deflactor!$BQ$305,AU26&lt;Deflactor!$BQ$306), Deflactor!$BP$305, IF(AND(AU26&gt;=Deflactor!$BQ$306,AU26&lt;Deflactor!$BQ$307), Deflactor!$BP$306, Deflactor!$BP$307) ) ) ) ) ) ) ) ) )</f>
        <v>6</v>
      </c>
      <c r="AW26" s="57" t="str">
        <f>+IFERROR(VLOOKUP(AV26,Deflactor!$BP$298:$BU$307,6,0),"")</f>
        <v>15 a 20 millones USD</v>
      </c>
    </row>
    <row r="27" spans="1:49" x14ac:dyDescent="0.3">
      <c r="A27" s="3">
        <v>2019</v>
      </c>
      <c r="B27" s="3" t="s">
        <v>31</v>
      </c>
      <c r="C27" s="3" t="s">
        <v>7</v>
      </c>
      <c r="D27" s="3" t="s">
        <v>32</v>
      </c>
      <c r="E27" s="3" t="s">
        <v>33</v>
      </c>
      <c r="F27" s="3" t="s">
        <v>27</v>
      </c>
      <c r="G27" s="3" t="s">
        <v>723</v>
      </c>
      <c r="H27" s="12">
        <v>2011</v>
      </c>
      <c r="I27" s="13"/>
      <c r="J27" s="10">
        <v>50263613</v>
      </c>
      <c r="K27" s="3" t="s">
        <v>1653</v>
      </c>
      <c r="L27" s="3" t="s">
        <v>938</v>
      </c>
      <c r="M27" s="3" t="s">
        <v>939</v>
      </c>
      <c r="N27" s="3" t="s">
        <v>940</v>
      </c>
      <c r="O27" s="3" t="s">
        <v>942</v>
      </c>
      <c r="P27" s="3" t="s">
        <v>941</v>
      </c>
      <c r="Q27" s="3" t="s">
        <v>943</v>
      </c>
      <c r="R27" s="11" t="s">
        <v>936</v>
      </c>
      <c r="S27" s="11" t="s">
        <v>937</v>
      </c>
      <c r="T27" s="3"/>
      <c r="U27" s="3" t="s">
        <v>1197</v>
      </c>
      <c r="V27" s="3"/>
      <c r="W27" s="10">
        <f>IF( J27="s.i", "s.i", IF(ISBLANK(J27),"Actualizando información",IFERROR(J27 / VLOOKUP(A27,Deflactor!$G$3:$H$64,2,0),"Revisar error" )))</f>
        <v>39308513.61408361</v>
      </c>
      <c r="AR27" s="34"/>
      <c r="AT27" s="46">
        <f>'Notas reunion'!T27</f>
        <v>16715000000</v>
      </c>
      <c r="AU27" s="54">
        <f xml:space="preserve"> IFERROR(ROUND(AT27 / VLOOKUP(A27,Tabla1[#All],2,0),0),"s.i")</f>
        <v>23789157</v>
      </c>
      <c r="AV27" s="33">
        <f xml:space="preserve"> IF(AU27="s.i", "s.i", IF(AND(AU27&gt;=Deflactor!$BQ$298,AU27&lt;Deflactor!$BQ$299), Deflactor!$BP$298, IF(AND(AU27&gt;=Deflactor!$BQ$299,AU27&lt;Deflactor!$BQ$300), Deflactor!$BP$299, IF(AND(AU27&gt;=Deflactor!$BQ$300,AU27&lt;Deflactor!$BQ$301), Deflactor!$BP$300, IF(AND(AU27&gt;=Deflactor!$BQ$301,AU27&lt;Deflactor!$BQ$302), Deflactor!$BP$301, IF(AND(AU27&gt;=Deflactor!$BQ$302,AU27&lt;Deflactor!$BQ$303), Deflactor!$BP$302, IF(AND(AU27&gt;=Deflactor!$BQ$303,AU27&lt;Deflactor!$BQ$304), Deflactor!$BP$303, IF(AND(AU27&gt;=Deflactor!$BQ$304,AU27&lt;Deflactor!$BQ$305), Deflactor!$BP$304, IF(AND(AU27&gt;=Deflactor!$BQ$305,AU27&lt;Deflactor!$BQ$306), Deflactor!$BP$305, IF(AND(AU27&gt;=Deflactor!$BQ$306,AU27&lt;Deflactor!$BQ$307), Deflactor!$BP$306, Deflactor!$BP$307) ) ) ) ) ) ) ) ) )</f>
        <v>7</v>
      </c>
      <c r="AW27" s="57" t="str">
        <f>+IFERROR(VLOOKUP(AV27,Deflactor!$BP$298:$BU$307,6,0),"")</f>
        <v>20 a 30 millones USD</v>
      </c>
    </row>
    <row r="28" spans="1:49" x14ac:dyDescent="0.3">
      <c r="A28" s="3">
        <v>2019</v>
      </c>
      <c r="B28" s="3" t="s">
        <v>34</v>
      </c>
      <c r="C28" s="3" t="s">
        <v>7</v>
      </c>
      <c r="D28" s="3" t="s">
        <v>8</v>
      </c>
      <c r="E28" s="3" t="s">
        <v>9</v>
      </c>
      <c r="F28" s="3" t="s">
        <v>10</v>
      </c>
      <c r="G28" s="3" t="s">
        <v>723</v>
      </c>
      <c r="H28" s="12">
        <v>1985</v>
      </c>
      <c r="I28" s="13"/>
      <c r="J28" s="10">
        <v>68399379</v>
      </c>
      <c r="K28" s="3" t="s">
        <v>1043</v>
      </c>
      <c r="L28" s="3" t="s">
        <v>729</v>
      </c>
      <c r="M28" s="3" t="s">
        <v>730</v>
      </c>
      <c r="N28" s="3" t="s">
        <v>731</v>
      </c>
      <c r="O28" s="3" t="s">
        <v>732</v>
      </c>
      <c r="P28" s="3" t="s">
        <v>733</v>
      </c>
      <c r="Q28" s="3"/>
      <c r="R28" s="11" t="s">
        <v>739</v>
      </c>
      <c r="S28" s="11" t="s">
        <v>740</v>
      </c>
      <c r="T28" s="3"/>
      <c r="U28" s="3"/>
      <c r="V28" s="3"/>
      <c r="W28" s="10">
        <f>IF( J28="s.i", "s.i", IF(ISBLANK(J28),"Actualizando información",IFERROR(J28 / VLOOKUP(A28,Deflactor!$G$3:$H$64,2,0),"Revisar error" )))</f>
        <v>53491537.120826639</v>
      </c>
      <c r="AR28" s="34">
        <f xml:space="preserve"> 1163741 * 1000</f>
        <v>1163741000</v>
      </c>
      <c r="AT28" s="46">
        <f t="shared" si="0"/>
        <v>1163741000</v>
      </c>
      <c r="AU28" s="54">
        <f xml:space="preserve"> IFERROR(ROUND(AT28 / VLOOKUP(A28,Tabla1[#All],2,0),0),"s.i")</f>
        <v>1656262</v>
      </c>
      <c r="AV28" s="33">
        <f xml:space="preserve"> IF(AU28="s.i", "s.i", IF(AND(AU28&gt;=Deflactor!$BQ$298,AU28&lt;Deflactor!$BQ$299), Deflactor!$BP$298, IF(AND(AU28&gt;=Deflactor!$BQ$299,AU28&lt;Deflactor!$BQ$300), Deflactor!$BP$299, IF(AND(AU28&gt;=Deflactor!$BQ$300,AU28&lt;Deflactor!$BQ$301), Deflactor!$BP$300, IF(AND(AU28&gt;=Deflactor!$BQ$301,AU28&lt;Deflactor!$BQ$302), Deflactor!$BP$301, IF(AND(AU28&gt;=Deflactor!$BQ$302,AU28&lt;Deflactor!$BQ$303), Deflactor!$BP$302, IF(AND(AU28&gt;=Deflactor!$BQ$303,AU28&lt;Deflactor!$BQ$304), Deflactor!$BP$303, IF(AND(AU28&gt;=Deflactor!$BQ$304,AU28&lt;Deflactor!$BQ$305), Deflactor!$BP$304, IF(AND(AU28&gt;=Deflactor!$BQ$305,AU28&lt;Deflactor!$BQ$306), Deflactor!$BP$305, IF(AND(AU28&gt;=Deflactor!$BQ$306,AU28&lt;Deflactor!$BQ$307), Deflactor!$BP$306, Deflactor!$BP$307) ) ) ) ) ) ) ) ) )</f>
        <v>1</v>
      </c>
      <c r="AW28" s="57" t="str">
        <f>+IFERROR(VLOOKUP(AV28,Deflactor!$BP$298:$BU$307,6,0),"")</f>
        <v>2 millones USD y menos</v>
      </c>
    </row>
    <row r="29" spans="1:49" x14ac:dyDescent="0.3">
      <c r="A29" s="3">
        <v>2019</v>
      </c>
      <c r="B29" s="3" t="s">
        <v>35</v>
      </c>
      <c r="C29" s="3" t="s">
        <v>7</v>
      </c>
      <c r="D29" s="3" t="s">
        <v>36</v>
      </c>
      <c r="E29" s="3" t="s">
        <v>37</v>
      </c>
      <c r="F29" s="3" t="s">
        <v>14</v>
      </c>
      <c r="G29" s="3" t="s">
        <v>723</v>
      </c>
      <c r="H29" s="13">
        <v>2003</v>
      </c>
      <c r="I29" s="13"/>
      <c r="J29" s="10">
        <f xml:space="preserve"> 6119 * 1000000</f>
        <v>6119000000</v>
      </c>
      <c r="K29" s="3" t="s">
        <v>763</v>
      </c>
      <c r="L29" s="3" t="s">
        <v>946</v>
      </c>
      <c r="M29" s="3" t="s">
        <v>949</v>
      </c>
      <c r="N29" s="3" t="s">
        <v>947</v>
      </c>
      <c r="O29" s="3" t="s">
        <v>948</v>
      </c>
      <c r="P29" s="3" t="s">
        <v>950</v>
      </c>
      <c r="Q29" s="3"/>
      <c r="R29" s="11" t="s">
        <v>944</v>
      </c>
      <c r="S29" s="11" t="s">
        <v>945</v>
      </c>
      <c r="T29" s="3"/>
      <c r="U29" s="3"/>
      <c r="V29" s="3"/>
      <c r="W29" s="10">
        <f>IF( J29="s.i", "s.i", IF(ISBLANK(J29),"Actualizando información",IFERROR(J29 / VLOOKUP(A29,Deflactor!$G$3:$H$64,2,0),"Revisar error" )))</f>
        <v>4785346306.1753559</v>
      </c>
      <c r="AR29" s="10">
        <f xml:space="preserve"> (4063743 + 3011254) * 1000</f>
        <v>7074997000</v>
      </c>
      <c r="AT29" s="46">
        <f t="shared" si="0"/>
        <v>7074997000</v>
      </c>
      <c r="AU29" s="54">
        <f xml:space="preserve"> IFERROR(ROUND(AT29 / VLOOKUP(A29,Tabla1[#All],2,0),0),"s.i")</f>
        <v>10069292</v>
      </c>
      <c r="AV29" s="33">
        <f xml:space="preserve"> IF(AU29="s.i", "s.i", IF(AND(AU29&gt;=Deflactor!$BQ$298,AU29&lt;Deflactor!$BQ$299), Deflactor!$BP$298, IF(AND(AU29&gt;=Deflactor!$BQ$299,AU29&lt;Deflactor!$BQ$300), Deflactor!$BP$299, IF(AND(AU29&gt;=Deflactor!$BQ$300,AU29&lt;Deflactor!$BQ$301), Deflactor!$BP$300, IF(AND(AU29&gt;=Deflactor!$BQ$301,AU29&lt;Deflactor!$BQ$302), Deflactor!$BP$301, IF(AND(AU29&gt;=Deflactor!$BQ$302,AU29&lt;Deflactor!$BQ$303), Deflactor!$BP$302, IF(AND(AU29&gt;=Deflactor!$BQ$303,AU29&lt;Deflactor!$BQ$304), Deflactor!$BP$303, IF(AND(AU29&gt;=Deflactor!$BQ$304,AU29&lt;Deflactor!$BQ$305), Deflactor!$BP$304, IF(AND(AU29&gt;=Deflactor!$BQ$305,AU29&lt;Deflactor!$BQ$306), Deflactor!$BP$305, IF(AND(AU29&gt;=Deflactor!$BQ$306,AU29&lt;Deflactor!$BQ$307), Deflactor!$BP$306, Deflactor!$BP$307) ) ) ) ) ) ) ) ) )</f>
        <v>5</v>
      </c>
      <c r="AW29" s="57" t="str">
        <f>+IFERROR(VLOOKUP(AV29,Deflactor!$BP$298:$BU$307,6,0),"")</f>
        <v>10 a 15 millones USD</v>
      </c>
    </row>
    <row r="30" spans="1:49" x14ac:dyDescent="0.3">
      <c r="A30" s="3">
        <v>2019</v>
      </c>
      <c r="B30" s="3" t="s">
        <v>38</v>
      </c>
      <c r="C30" s="3" t="s">
        <v>7</v>
      </c>
      <c r="D30" s="3" t="s">
        <v>36</v>
      </c>
      <c r="E30" s="3" t="s">
        <v>37</v>
      </c>
      <c r="F30" s="3" t="s">
        <v>14</v>
      </c>
      <c r="G30" s="3" t="s">
        <v>723</v>
      </c>
      <c r="H30" s="13">
        <v>1994</v>
      </c>
      <c r="I30" s="13"/>
      <c r="J30" s="10">
        <f xml:space="preserve"> 7721 * 1000000</f>
        <v>7721000000</v>
      </c>
      <c r="K30" s="3" t="s">
        <v>2294</v>
      </c>
      <c r="L30" s="3" t="s">
        <v>956</v>
      </c>
      <c r="M30" s="3" t="s">
        <v>957</v>
      </c>
      <c r="N30" s="3" t="s">
        <v>958</v>
      </c>
      <c r="O30" s="3" t="s">
        <v>959</v>
      </c>
      <c r="P30" s="3" t="s">
        <v>960</v>
      </c>
      <c r="Q30" s="3"/>
      <c r="R30" s="11" t="s">
        <v>951</v>
      </c>
      <c r="S30" s="11" t="s">
        <v>952</v>
      </c>
      <c r="T30" s="3"/>
      <c r="U30" s="3" t="s">
        <v>1145</v>
      </c>
      <c r="V30" s="3"/>
      <c r="W30" s="10">
        <f>IF( J30="s.i", "s.i", IF(ISBLANK(J30),"Actualizando información",IFERROR(J30 / VLOOKUP(A30,Deflactor!$G$3:$H$64,2,0),"Revisar error" )))</f>
        <v>6038185786.8900023</v>
      </c>
      <c r="AR30" s="10">
        <f xml:space="preserve"> 7390946 * 1000</f>
        <v>7390946000</v>
      </c>
      <c r="AT30" s="46">
        <f t="shared" si="0"/>
        <v>7390946000</v>
      </c>
      <c r="AU30" s="54">
        <f xml:space="preserve"> IFERROR(ROUND(AT30 / VLOOKUP(A30,Tabla1[#All],2,0),0),"s.i")</f>
        <v>10518957</v>
      </c>
      <c r="AV30" s="33">
        <f xml:space="preserve"> IF(AU30="s.i", "s.i", IF(AND(AU30&gt;=Deflactor!$BQ$298,AU30&lt;Deflactor!$BQ$299), Deflactor!$BP$298, IF(AND(AU30&gt;=Deflactor!$BQ$299,AU30&lt;Deflactor!$BQ$300), Deflactor!$BP$299, IF(AND(AU30&gt;=Deflactor!$BQ$300,AU30&lt;Deflactor!$BQ$301), Deflactor!$BP$300, IF(AND(AU30&gt;=Deflactor!$BQ$301,AU30&lt;Deflactor!$BQ$302), Deflactor!$BP$301, IF(AND(AU30&gt;=Deflactor!$BQ$302,AU30&lt;Deflactor!$BQ$303), Deflactor!$BP$302, IF(AND(AU30&gt;=Deflactor!$BQ$303,AU30&lt;Deflactor!$BQ$304), Deflactor!$BP$303, IF(AND(AU30&gt;=Deflactor!$BQ$304,AU30&lt;Deflactor!$BQ$305), Deflactor!$BP$304, IF(AND(AU30&gt;=Deflactor!$BQ$305,AU30&lt;Deflactor!$BQ$306), Deflactor!$BP$305, IF(AND(AU30&gt;=Deflactor!$BQ$306,AU30&lt;Deflactor!$BQ$307), Deflactor!$BP$306, Deflactor!$BP$307) ) ) ) ) ) ) ) ) )</f>
        <v>5</v>
      </c>
      <c r="AW30" s="57" t="str">
        <f>+IFERROR(VLOOKUP(AV30,Deflactor!$BP$298:$BU$307,6,0),"")</f>
        <v>10 a 15 millones USD</v>
      </c>
    </row>
    <row r="31" spans="1:49" x14ac:dyDescent="0.3">
      <c r="A31" s="3">
        <v>2019</v>
      </c>
      <c r="B31" s="3" t="s">
        <v>39</v>
      </c>
      <c r="C31" s="3" t="s">
        <v>7</v>
      </c>
      <c r="D31" s="3" t="s">
        <v>40</v>
      </c>
      <c r="E31" s="3" t="s">
        <v>41</v>
      </c>
      <c r="F31" s="3" t="s">
        <v>27</v>
      </c>
      <c r="G31" s="3" t="s">
        <v>723</v>
      </c>
      <c r="H31" s="13">
        <v>1994</v>
      </c>
      <c r="I31" s="13"/>
      <c r="J31" s="10">
        <f xml:space="preserve"> (29098 + 43337 + 7349) * 1000000</f>
        <v>79784000000</v>
      </c>
      <c r="K31" s="3" t="s">
        <v>1654</v>
      </c>
      <c r="L31" s="3" t="s">
        <v>965</v>
      </c>
      <c r="M31" s="3" t="s">
        <v>964</v>
      </c>
      <c r="N31" s="3" t="s">
        <v>968</v>
      </c>
      <c r="O31" s="3" t="s">
        <v>966</v>
      </c>
      <c r="P31" s="3" t="s">
        <v>967</v>
      </c>
      <c r="Q31" s="3"/>
      <c r="R31" s="11" t="s">
        <v>962</v>
      </c>
      <c r="S31" s="11" t="s">
        <v>963</v>
      </c>
      <c r="T31" s="3"/>
      <c r="U31" s="3"/>
      <c r="V31" s="3"/>
      <c r="W31" s="10">
        <f>IF( J31="s.i", "s.i", IF(ISBLANK(J31),"Actualizando información",IFERROR(J31 / VLOOKUP(A31,Deflactor!$G$3:$H$64,2,0),"Revisar error" )))</f>
        <v>62394847146.902206</v>
      </c>
      <c r="AR31" s="34">
        <f xml:space="preserve"> 40590781 * 1000</f>
        <v>40590781000</v>
      </c>
      <c r="AT31" s="46">
        <f t="shared" si="0"/>
        <v>40590781000</v>
      </c>
      <c r="AU31" s="54">
        <f xml:space="preserve"> IFERROR(ROUND(AT31 / VLOOKUP(A31,Tabla1[#All],2,0),0),"s.i")</f>
        <v>57769694</v>
      </c>
      <c r="AV31" s="33">
        <f xml:space="preserve"> IF(AU31="s.i", "s.i", IF(AND(AU31&gt;=Deflactor!$BQ$298,AU31&lt;Deflactor!$BQ$299), Deflactor!$BP$298, IF(AND(AU31&gt;=Deflactor!$BQ$299,AU31&lt;Deflactor!$BQ$300), Deflactor!$BP$299, IF(AND(AU31&gt;=Deflactor!$BQ$300,AU31&lt;Deflactor!$BQ$301), Deflactor!$BP$300, IF(AND(AU31&gt;=Deflactor!$BQ$301,AU31&lt;Deflactor!$BQ$302), Deflactor!$BP$301, IF(AND(AU31&gt;=Deflactor!$BQ$302,AU31&lt;Deflactor!$BQ$303), Deflactor!$BP$302, IF(AND(AU31&gt;=Deflactor!$BQ$303,AU31&lt;Deflactor!$BQ$304), Deflactor!$BP$303, IF(AND(AU31&gt;=Deflactor!$BQ$304,AU31&lt;Deflactor!$BQ$305), Deflactor!$BP$304, IF(AND(AU31&gt;=Deflactor!$BQ$305,AU31&lt;Deflactor!$BQ$306), Deflactor!$BP$305, IF(AND(AU31&gt;=Deflactor!$BQ$306,AU31&lt;Deflactor!$BQ$307), Deflactor!$BP$306, Deflactor!$BP$307) ) ) ) ) ) ) ) ) )</f>
        <v>9</v>
      </c>
      <c r="AW31" s="57" t="str">
        <f>+IFERROR(VLOOKUP(AV31,Deflactor!$BP$298:$BU$307,6,0),"")</f>
        <v>50 a 100 millones USD</v>
      </c>
    </row>
    <row r="32" spans="1:49" x14ac:dyDescent="0.3">
      <c r="A32" s="3">
        <v>2019</v>
      </c>
      <c r="B32" s="3" t="s">
        <v>42</v>
      </c>
      <c r="C32" s="3" t="s">
        <v>7</v>
      </c>
      <c r="D32" s="3" t="s">
        <v>40</v>
      </c>
      <c r="E32" s="3" t="s">
        <v>43</v>
      </c>
      <c r="F32" s="3" t="s">
        <v>14</v>
      </c>
      <c r="G32" s="3" t="s">
        <v>723</v>
      </c>
      <c r="H32" s="13">
        <v>2009</v>
      </c>
      <c r="I32" s="13"/>
      <c r="J32" s="10">
        <f xml:space="preserve"> 6224 * 1000000</f>
        <v>6224000000</v>
      </c>
      <c r="K32" s="3" t="s">
        <v>1047</v>
      </c>
      <c r="L32" s="3" t="s">
        <v>971</v>
      </c>
      <c r="M32" s="3" t="s">
        <v>972</v>
      </c>
      <c r="N32" s="3" t="s">
        <v>973</v>
      </c>
      <c r="O32" s="3" t="s">
        <v>974</v>
      </c>
      <c r="P32" s="3" t="s">
        <v>975</v>
      </c>
      <c r="Q32" s="3"/>
      <c r="R32" s="11" t="s">
        <v>969</v>
      </c>
      <c r="S32" s="11" t="s">
        <v>970</v>
      </c>
      <c r="T32" s="3"/>
      <c r="U32" s="3"/>
      <c r="V32" s="3"/>
      <c r="W32" s="10">
        <f>IF( J32="s.i", "s.i", IF(ISBLANK(J32),"Actualizando información",IFERROR(J32 / VLOOKUP(A32,Deflactor!$G$3:$H$64,2,0),"Revisar error" )))</f>
        <v>4867461253.4132071</v>
      </c>
      <c r="AR32" s="34"/>
      <c r="AT32" s="46"/>
      <c r="AU32" s="54"/>
      <c r="AV32" s="33">
        <f xml:space="preserve"> IF(AU32="s.i", "s.i", IF(AND(AU32&gt;=Deflactor!$BQ$298,AU32&lt;Deflactor!$BQ$299), Deflactor!$BP$298, IF(AND(AU32&gt;=Deflactor!$BQ$299,AU32&lt;Deflactor!$BQ$300), Deflactor!$BP$299, IF(AND(AU32&gt;=Deflactor!$BQ$300,AU32&lt;Deflactor!$BQ$301), Deflactor!$BP$300, IF(AND(AU32&gt;=Deflactor!$BQ$301,AU32&lt;Deflactor!$BQ$302), Deflactor!$BP$301, IF(AND(AU32&gt;=Deflactor!$BQ$302,AU32&lt;Deflactor!$BQ$303), Deflactor!$BP$302, IF(AND(AU32&gt;=Deflactor!$BQ$303,AU32&lt;Deflactor!$BQ$304), Deflactor!$BP$303, IF(AND(AU32&gt;=Deflactor!$BQ$304,AU32&lt;Deflactor!$BQ$305), Deflactor!$BP$304, IF(AND(AU32&gt;=Deflactor!$BQ$305,AU32&lt;Deflactor!$BQ$306), Deflactor!$BP$305, IF(AND(AU32&gt;=Deflactor!$BQ$306,AU32&lt;Deflactor!$BQ$307), Deflactor!$BP$306, Deflactor!$BP$307) ) ) ) ) ) ) ) ) )</f>
        <v>10</v>
      </c>
      <c r="AW32" s="57" t="str">
        <f>+IFERROR(VLOOKUP(AV32,Deflactor!$BP$298:$BU$307,6,0),"")</f>
        <v>100 millones USD y mas</v>
      </c>
    </row>
    <row r="33" spans="1:49" x14ac:dyDescent="0.3">
      <c r="A33" s="3">
        <v>2019</v>
      </c>
      <c r="B33" s="3" t="s">
        <v>44</v>
      </c>
      <c r="C33" s="3" t="s">
        <v>7</v>
      </c>
      <c r="D33" s="3" t="s">
        <v>45</v>
      </c>
      <c r="E33" s="3" t="s">
        <v>46</v>
      </c>
      <c r="F33" s="3" t="s">
        <v>10</v>
      </c>
      <c r="G33" s="3" t="s">
        <v>723</v>
      </c>
      <c r="H33" s="13">
        <v>1993</v>
      </c>
      <c r="I33" s="13"/>
      <c r="J33" s="10">
        <f xml:space="preserve"> 7150999 * 1000000</f>
        <v>7150999000000</v>
      </c>
      <c r="K33" s="3" t="s">
        <v>1655</v>
      </c>
      <c r="L33" s="3" t="s">
        <v>981</v>
      </c>
      <c r="M33" s="3" t="s">
        <v>978</v>
      </c>
      <c r="N33" s="3" t="s">
        <v>979</v>
      </c>
      <c r="O33" s="3" t="s">
        <v>980</v>
      </c>
      <c r="P33" s="3" t="s">
        <v>982</v>
      </c>
      <c r="Q33" s="3"/>
      <c r="R33" s="11" t="s">
        <v>976</v>
      </c>
      <c r="S33" s="11" t="s">
        <v>977</v>
      </c>
      <c r="T33" s="3"/>
      <c r="U33" s="3"/>
      <c r="V33" s="3"/>
      <c r="W33" s="10">
        <f>IF( J33="s.i", "s.i", IF(ISBLANK(J33),"Actualizando información",IFERROR(J33 / VLOOKUP(A33,Deflactor!$G$3:$H$64,2,0),"Revisar error" )))</f>
        <v>5592418148408.835</v>
      </c>
      <c r="AR33" s="34">
        <f xml:space="preserve"> 5251170 * 1000</f>
        <v>5251170000</v>
      </c>
      <c r="AT33" s="46">
        <f t="shared" si="0"/>
        <v>5251170000</v>
      </c>
      <c r="AU33" s="54">
        <f xml:space="preserve"> IFERROR(ROUND(AT33 / VLOOKUP(A33,Tabla1[#All],2,0),0),"s.i")</f>
        <v>7473581</v>
      </c>
      <c r="AV33" s="33">
        <f xml:space="preserve"> IF(AU33="s.i", "s.i", IF(AND(AU33&gt;=Deflactor!$BQ$298,AU33&lt;Deflactor!$BQ$299), Deflactor!$BP$298, IF(AND(AU33&gt;=Deflactor!$BQ$299,AU33&lt;Deflactor!$BQ$300), Deflactor!$BP$299, IF(AND(AU33&gt;=Deflactor!$BQ$300,AU33&lt;Deflactor!$BQ$301), Deflactor!$BP$300, IF(AND(AU33&gt;=Deflactor!$BQ$301,AU33&lt;Deflactor!$BQ$302), Deflactor!$BP$301, IF(AND(AU33&gt;=Deflactor!$BQ$302,AU33&lt;Deflactor!$BQ$303), Deflactor!$BP$302, IF(AND(AU33&gt;=Deflactor!$BQ$303,AU33&lt;Deflactor!$BQ$304), Deflactor!$BP$303, IF(AND(AU33&gt;=Deflactor!$BQ$304,AU33&lt;Deflactor!$BQ$305), Deflactor!$BP$304, IF(AND(AU33&gt;=Deflactor!$BQ$305,AU33&lt;Deflactor!$BQ$306), Deflactor!$BP$305, IF(AND(AU33&gt;=Deflactor!$BQ$306,AU33&lt;Deflactor!$BQ$307), Deflactor!$BP$306, Deflactor!$BP$307) ) ) ) ) ) ) ) ) )</f>
        <v>3</v>
      </c>
      <c r="AW33" s="57" t="str">
        <f>+IFERROR(VLOOKUP(AV33,Deflactor!$BP$298:$BU$307,6,0),"")</f>
        <v>5 a 7,5 millones USD</v>
      </c>
    </row>
    <row r="34" spans="1:49" x14ac:dyDescent="0.3">
      <c r="A34" s="3">
        <v>2019</v>
      </c>
      <c r="B34" s="3" t="s">
        <v>47</v>
      </c>
      <c r="C34" s="3" t="s">
        <v>7</v>
      </c>
      <c r="D34" s="3" t="s">
        <v>48</v>
      </c>
      <c r="E34" s="3" t="s">
        <v>49</v>
      </c>
      <c r="F34" s="3" t="s">
        <v>10</v>
      </c>
      <c r="G34" s="3" t="s">
        <v>723</v>
      </c>
      <c r="H34" s="13">
        <v>1992</v>
      </c>
      <c r="I34" s="13"/>
      <c r="J34" s="10">
        <f xml:space="preserve"> 4712 * 1000000</f>
        <v>4712000000</v>
      </c>
      <c r="K34" s="3" t="s">
        <v>1650</v>
      </c>
      <c r="L34" s="3" t="s">
        <v>986</v>
      </c>
      <c r="M34" s="3" t="s">
        <v>985</v>
      </c>
      <c r="N34" s="3" t="s">
        <v>987</v>
      </c>
      <c r="O34" s="3" t="s">
        <v>988</v>
      </c>
      <c r="P34" s="3" t="s">
        <v>989</v>
      </c>
      <c r="Q34" s="3"/>
      <c r="R34" s="11" t="s">
        <v>983</v>
      </c>
      <c r="S34" s="11" t="s">
        <v>984</v>
      </c>
      <c r="T34" s="3"/>
      <c r="U34" s="3"/>
      <c r="V34" s="3"/>
      <c r="W34" s="10">
        <f>IF( J34="s.i", "s.i", IF(ISBLANK(J34),"Actualizando información",IFERROR(J34 / VLOOKUP(A34,Deflactor!$G$3:$H$64,2,0),"Revisar error" )))</f>
        <v>3685006013.188148</v>
      </c>
      <c r="AR34" s="10">
        <f xml:space="preserve"> 3322121 * 1000</f>
        <v>3322121000</v>
      </c>
      <c r="AT34" s="46">
        <f t="shared" si="0"/>
        <v>3322121000</v>
      </c>
      <c r="AU34" s="54">
        <f xml:space="preserve"> IFERROR(ROUND(AT34 / VLOOKUP(A34,Tabla1[#All],2,0),0),"s.i")</f>
        <v>4728116</v>
      </c>
      <c r="AV34" s="33">
        <f xml:space="preserve"> IF(AU34="s.i", "s.i", IF(AND(AU34&gt;=Deflactor!$BQ$298,AU34&lt;Deflactor!$BQ$299), Deflactor!$BP$298, IF(AND(AU34&gt;=Deflactor!$BQ$299,AU34&lt;Deflactor!$BQ$300), Deflactor!$BP$299, IF(AND(AU34&gt;=Deflactor!$BQ$300,AU34&lt;Deflactor!$BQ$301), Deflactor!$BP$300, IF(AND(AU34&gt;=Deflactor!$BQ$301,AU34&lt;Deflactor!$BQ$302), Deflactor!$BP$301, IF(AND(AU34&gt;=Deflactor!$BQ$302,AU34&lt;Deflactor!$BQ$303), Deflactor!$BP$302, IF(AND(AU34&gt;=Deflactor!$BQ$303,AU34&lt;Deflactor!$BQ$304), Deflactor!$BP$303, IF(AND(AU34&gt;=Deflactor!$BQ$304,AU34&lt;Deflactor!$BQ$305), Deflactor!$BP$304, IF(AND(AU34&gt;=Deflactor!$BQ$305,AU34&lt;Deflactor!$BQ$306), Deflactor!$BP$305, IF(AND(AU34&gt;=Deflactor!$BQ$306,AU34&lt;Deflactor!$BQ$307), Deflactor!$BP$306, Deflactor!$BP$307) ) ) ) ) ) ) ) ) )</f>
        <v>2</v>
      </c>
      <c r="AW34" s="57" t="str">
        <f>+IFERROR(VLOOKUP(AV34,Deflactor!$BP$298:$BU$307,6,0),"")</f>
        <v>2 a 5 millones USD</v>
      </c>
    </row>
    <row r="35" spans="1:49" x14ac:dyDescent="0.3">
      <c r="A35" s="3">
        <v>2018</v>
      </c>
      <c r="B35" s="3" t="s">
        <v>50</v>
      </c>
      <c r="C35" s="3" t="s">
        <v>7</v>
      </c>
      <c r="D35" s="3" t="s">
        <v>8</v>
      </c>
      <c r="E35" s="3" t="s">
        <v>51</v>
      </c>
      <c r="F35" s="3" t="s">
        <v>14</v>
      </c>
      <c r="G35" s="3" t="s">
        <v>723</v>
      </c>
      <c r="H35" s="13">
        <v>1997</v>
      </c>
      <c r="I35" s="13" t="s">
        <v>623</v>
      </c>
      <c r="J35" s="10">
        <v>40543883</v>
      </c>
      <c r="K35" s="3" t="s">
        <v>741</v>
      </c>
      <c r="L35" s="3" t="s">
        <v>742</v>
      </c>
      <c r="M35" s="3" t="s">
        <v>741</v>
      </c>
      <c r="N35" s="3" t="s">
        <v>743</v>
      </c>
      <c r="O35" s="3"/>
      <c r="P35" s="3"/>
      <c r="Q35" s="3"/>
      <c r="R35" s="3"/>
      <c r="S35" s="3"/>
      <c r="T35" s="3"/>
      <c r="U35" s="3"/>
      <c r="V35" s="3"/>
      <c r="W35" s="10">
        <f>IF( J35="s.i", "s.i", IF(ISBLANK(J35),"Actualizando información",IFERROR(J35 / VLOOKUP(A35,Deflactor!$G$3:$H$64,2,0),"Revisar error" )))</f>
        <v>32553369.4451956</v>
      </c>
      <c r="AR35" s="34">
        <f xml:space="preserve"> 21671920 * 1000</f>
        <v>21671920000</v>
      </c>
      <c r="AT35" s="46">
        <f t="shared" si="0"/>
        <v>21671920000</v>
      </c>
      <c r="AU35" s="54">
        <f xml:space="preserve"> IFERROR(ROUND(AT35 / VLOOKUP(A35,Tabla1[#All],2,0),0),"s.i")</f>
        <v>33846997</v>
      </c>
      <c r="AV35" s="33">
        <f xml:space="preserve"> IF(AU35="s.i", "s.i", IF(AND(AU35&gt;=Deflactor!$BQ$298,AU35&lt;Deflactor!$BQ$299), Deflactor!$BP$298, IF(AND(AU35&gt;=Deflactor!$BQ$299,AU35&lt;Deflactor!$BQ$300), Deflactor!$BP$299, IF(AND(AU35&gt;=Deflactor!$BQ$300,AU35&lt;Deflactor!$BQ$301), Deflactor!$BP$300, IF(AND(AU35&gt;=Deflactor!$BQ$301,AU35&lt;Deflactor!$BQ$302), Deflactor!$BP$301, IF(AND(AU35&gt;=Deflactor!$BQ$302,AU35&lt;Deflactor!$BQ$303), Deflactor!$BP$302, IF(AND(AU35&gt;=Deflactor!$BQ$303,AU35&lt;Deflactor!$BQ$304), Deflactor!$BP$303, IF(AND(AU35&gt;=Deflactor!$BQ$304,AU35&lt;Deflactor!$BQ$305), Deflactor!$BP$304, IF(AND(AU35&gt;=Deflactor!$BQ$305,AU35&lt;Deflactor!$BQ$306), Deflactor!$BP$305, IF(AND(AU35&gt;=Deflactor!$BQ$306,AU35&lt;Deflactor!$BQ$307), Deflactor!$BP$306, Deflactor!$BP$307) ) ) ) ) ) ) ) ) )</f>
        <v>8</v>
      </c>
      <c r="AW35" s="57" t="str">
        <f>+IFERROR(VLOOKUP(AV35,Deflactor!$BP$298:$BU$307,6,0),"")</f>
        <v>30 a 50 millones USD</v>
      </c>
    </row>
    <row r="36" spans="1:49" x14ac:dyDescent="0.3">
      <c r="A36" s="3">
        <v>2018</v>
      </c>
      <c r="B36" s="3" t="s">
        <v>52</v>
      </c>
      <c r="C36" s="3" t="s">
        <v>7</v>
      </c>
      <c r="D36" s="3" t="s">
        <v>20</v>
      </c>
      <c r="E36" s="3" t="s">
        <v>23</v>
      </c>
      <c r="F36" s="3" t="s">
        <v>10</v>
      </c>
      <c r="G36" s="3" t="s">
        <v>623</v>
      </c>
      <c r="H36" s="13">
        <v>2012</v>
      </c>
      <c r="I36" s="13" t="s">
        <v>623</v>
      </c>
      <c r="J36" s="10">
        <f xml:space="preserve"> 9622.8 * 1000000</f>
        <v>9622800000</v>
      </c>
      <c r="K36" s="3" t="s">
        <v>1045</v>
      </c>
      <c r="L36" s="3" t="s">
        <v>762</v>
      </c>
      <c r="M36" s="3" t="s">
        <v>760</v>
      </c>
      <c r="N36" s="3" t="s">
        <v>761</v>
      </c>
      <c r="O36" s="3" t="s">
        <v>763</v>
      </c>
      <c r="P36" s="3"/>
      <c r="Q36" s="3"/>
      <c r="R36" s="3" t="s">
        <v>764</v>
      </c>
      <c r="S36" s="3" t="s">
        <v>765</v>
      </c>
      <c r="T36" s="3" t="s">
        <v>766</v>
      </c>
      <c r="U36" s="3"/>
      <c r="V36" s="3"/>
      <c r="W36" s="10">
        <f>IF( J36="s.i", "s.i", IF(ISBLANK(J36),"Actualizando información",IFERROR(J36 / VLOOKUP(A36,Deflactor!$G$3:$H$64,2,0),"Revisar error" )))</f>
        <v>7726308886.0341339</v>
      </c>
      <c r="AR36" s="34"/>
      <c r="AT36" s="46">
        <f>'Notas reunion'!T29</f>
        <v>8218000000</v>
      </c>
      <c r="AU36" s="54">
        <f xml:space="preserve"> IFERROR(ROUND(AT36 / VLOOKUP(A36,Tabla1[#All],2,0),0),"s.i")</f>
        <v>12834794</v>
      </c>
      <c r="AV36" s="33">
        <f xml:space="preserve"> IF(AU36="s.i", "s.i", IF(AND(AU36&gt;=Deflactor!$BQ$298,AU36&lt;Deflactor!$BQ$299), Deflactor!$BP$298, IF(AND(AU36&gt;=Deflactor!$BQ$299,AU36&lt;Deflactor!$BQ$300), Deflactor!$BP$299, IF(AND(AU36&gt;=Deflactor!$BQ$300,AU36&lt;Deflactor!$BQ$301), Deflactor!$BP$300, IF(AND(AU36&gt;=Deflactor!$BQ$301,AU36&lt;Deflactor!$BQ$302), Deflactor!$BP$301, IF(AND(AU36&gt;=Deflactor!$BQ$302,AU36&lt;Deflactor!$BQ$303), Deflactor!$BP$302, IF(AND(AU36&gt;=Deflactor!$BQ$303,AU36&lt;Deflactor!$BQ$304), Deflactor!$BP$303, IF(AND(AU36&gt;=Deflactor!$BQ$304,AU36&lt;Deflactor!$BQ$305), Deflactor!$BP$304, IF(AND(AU36&gt;=Deflactor!$BQ$305,AU36&lt;Deflactor!$BQ$306), Deflactor!$BP$305, IF(AND(AU36&gt;=Deflactor!$BQ$306,AU36&lt;Deflactor!$BQ$307), Deflactor!$BP$306, Deflactor!$BP$307) ) ) ) ) ) ) ) ) )</f>
        <v>5</v>
      </c>
      <c r="AW36" s="57" t="str">
        <f>+IFERROR(VLOOKUP(AV36,Deflactor!$BP$298:$BU$307,6,0),"")</f>
        <v>10 a 15 millones USD</v>
      </c>
    </row>
    <row r="37" spans="1:49" x14ac:dyDescent="0.3">
      <c r="A37" s="3">
        <v>2018</v>
      </c>
      <c r="B37" s="3" t="s">
        <v>53</v>
      </c>
      <c r="C37" s="3" t="s">
        <v>7</v>
      </c>
      <c r="D37" s="3" t="s">
        <v>54</v>
      </c>
      <c r="E37" s="3" t="s">
        <v>55</v>
      </c>
      <c r="F37" s="3" t="s">
        <v>10</v>
      </c>
      <c r="G37" s="3" t="s">
        <v>623</v>
      </c>
      <c r="H37" s="13">
        <v>2014</v>
      </c>
      <c r="I37" s="13" t="s">
        <v>623</v>
      </c>
      <c r="J37" s="10">
        <f xml:space="preserve"> 40949 * 1000000</f>
        <v>40949000000</v>
      </c>
      <c r="K37" s="3" t="s">
        <v>1657</v>
      </c>
      <c r="L37" s="3" t="s">
        <v>823</v>
      </c>
      <c r="M37" s="3" t="s">
        <v>824</v>
      </c>
      <c r="N37" s="3" t="s">
        <v>825</v>
      </c>
      <c r="O37" s="3" t="s">
        <v>826</v>
      </c>
      <c r="P37" s="3" t="s">
        <v>827</v>
      </c>
      <c r="Q37" s="3"/>
      <c r="R37" s="3" t="s">
        <v>820</v>
      </c>
      <c r="S37" s="3" t="s">
        <v>821</v>
      </c>
      <c r="T37" s="3" t="s">
        <v>822</v>
      </c>
      <c r="U37" s="3"/>
      <c r="V37" s="3"/>
      <c r="W37" s="10">
        <f>IF( J37="s.i", "s.i", IF(ISBLANK(J37),"Actualizando información",IFERROR(J37 / VLOOKUP(A37,Deflactor!$G$3:$H$64,2,0),"Revisar error" )))</f>
        <v>32878644736.896927</v>
      </c>
      <c r="AR37" s="34"/>
      <c r="AT37" s="46">
        <f>'Notas reunion'!T30</f>
        <v>37370000000</v>
      </c>
      <c r="AU37" s="54">
        <f xml:space="preserve"> IFERROR(ROUND(AT37 / VLOOKUP(A37,Tabla1[#All],2,0),0),"s.i")</f>
        <v>58364108</v>
      </c>
      <c r="AV37" s="33">
        <f xml:space="preserve"> IF(AU37="s.i", "s.i", IF(AND(AU37&gt;=Deflactor!$BQ$298,AU37&lt;Deflactor!$BQ$299), Deflactor!$BP$298, IF(AND(AU37&gt;=Deflactor!$BQ$299,AU37&lt;Deflactor!$BQ$300), Deflactor!$BP$299, IF(AND(AU37&gt;=Deflactor!$BQ$300,AU37&lt;Deflactor!$BQ$301), Deflactor!$BP$300, IF(AND(AU37&gt;=Deflactor!$BQ$301,AU37&lt;Deflactor!$BQ$302), Deflactor!$BP$301, IF(AND(AU37&gt;=Deflactor!$BQ$302,AU37&lt;Deflactor!$BQ$303), Deflactor!$BP$302, IF(AND(AU37&gt;=Deflactor!$BQ$303,AU37&lt;Deflactor!$BQ$304), Deflactor!$BP$303, IF(AND(AU37&gt;=Deflactor!$BQ$304,AU37&lt;Deflactor!$BQ$305), Deflactor!$BP$304, IF(AND(AU37&gt;=Deflactor!$BQ$305,AU37&lt;Deflactor!$BQ$306), Deflactor!$BP$305, IF(AND(AU37&gt;=Deflactor!$BQ$306,AU37&lt;Deflactor!$BQ$307), Deflactor!$BP$306, Deflactor!$BP$307) ) ) ) ) ) ) ) ) )</f>
        <v>9</v>
      </c>
      <c r="AW37" s="57" t="str">
        <f>+IFERROR(VLOOKUP(AV37,Deflactor!$BP$298:$BU$307,6,0),"")</f>
        <v>50 a 100 millones USD</v>
      </c>
    </row>
    <row r="38" spans="1:49" x14ac:dyDescent="0.3">
      <c r="A38" s="3">
        <v>2018</v>
      </c>
      <c r="B38" s="3" t="s">
        <v>56</v>
      </c>
      <c r="C38" s="3" t="s">
        <v>7</v>
      </c>
      <c r="D38" s="3" t="s">
        <v>54</v>
      </c>
      <c r="E38" s="3" t="s">
        <v>55</v>
      </c>
      <c r="F38" s="3" t="s">
        <v>14</v>
      </c>
      <c r="G38" s="3" t="s">
        <v>623</v>
      </c>
      <c r="H38" s="13">
        <v>2008</v>
      </c>
      <c r="I38" s="13" t="s">
        <v>623</v>
      </c>
      <c r="J38" s="10">
        <f xml:space="preserve"> 143807 * 1000000</f>
        <v>143807000000</v>
      </c>
      <c r="K38" s="3" t="s">
        <v>1659</v>
      </c>
      <c r="L38" s="3" t="s">
        <v>831</v>
      </c>
      <c r="M38" s="3" t="s">
        <v>832</v>
      </c>
      <c r="N38" s="3" t="s">
        <v>833</v>
      </c>
      <c r="O38" s="3" t="s">
        <v>834</v>
      </c>
      <c r="P38" s="3"/>
      <c r="Q38" s="3"/>
      <c r="R38" s="3" t="s">
        <v>828</v>
      </c>
      <c r="S38" s="3" t="s">
        <v>829</v>
      </c>
      <c r="T38" s="3" t="s">
        <v>830</v>
      </c>
      <c r="U38" s="3"/>
      <c r="V38" s="3"/>
      <c r="W38" s="10">
        <f>IF( J38="s.i", "s.i", IF(ISBLANK(J38),"Actualizando información",IFERROR(J38 / VLOOKUP(A38,Deflactor!$G$3:$H$64,2,0),"Revisar error" )))</f>
        <v>115465072741.18871</v>
      </c>
      <c r="AR38" s="34"/>
      <c r="AT38" s="46">
        <f>'Notas reunion'!T31</f>
        <v>142181835000</v>
      </c>
      <c r="AU38" s="54">
        <f xml:space="preserve"> IFERROR(ROUND(AT38 / VLOOKUP(A38,Tabla1[#All],2,0),0),"s.i")</f>
        <v>222058229</v>
      </c>
      <c r="AV38" s="33">
        <f xml:space="preserve"> IF(AU38="s.i", "s.i", IF(AND(AU38&gt;=Deflactor!$BQ$298,AU38&lt;Deflactor!$BQ$299), Deflactor!$BP$298, IF(AND(AU38&gt;=Deflactor!$BQ$299,AU38&lt;Deflactor!$BQ$300), Deflactor!$BP$299, IF(AND(AU38&gt;=Deflactor!$BQ$300,AU38&lt;Deflactor!$BQ$301), Deflactor!$BP$300, IF(AND(AU38&gt;=Deflactor!$BQ$301,AU38&lt;Deflactor!$BQ$302), Deflactor!$BP$301, IF(AND(AU38&gt;=Deflactor!$BQ$302,AU38&lt;Deflactor!$BQ$303), Deflactor!$BP$302, IF(AND(AU38&gt;=Deflactor!$BQ$303,AU38&lt;Deflactor!$BQ$304), Deflactor!$BP$303, IF(AND(AU38&gt;=Deflactor!$BQ$304,AU38&lt;Deflactor!$BQ$305), Deflactor!$BP$304, IF(AND(AU38&gt;=Deflactor!$BQ$305,AU38&lt;Deflactor!$BQ$306), Deflactor!$BP$305, IF(AND(AU38&gt;=Deflactor!$BQ$306,AU38&lt;Deflactor!$BQ$307), Deflactor!$BP$306, Deflactor!$BP$307) ) ) ) ) ) ) ) ) )</f>
        <v>10</v>
      </c>
      <c r="AW38" s="57" t="str">
        <f>+IFERROR(VLOOKUP(AV38,Deflactor!$BP$298:$BU$307,6,0),"")</f>
        <v>100 millones USD y mas</v>
      </c>
    </row>
    <row r="39" spans="1:49" x14ac:dyDescent="0.3">
      <c r="A39" s="3">
        <v>2018</v>
      </c>
      <c r="B39" s="3" t="s">
        <v>57</v>
      </c>
      <c r="C39" s="3" t="s">
        <v>7</v>
      </c>
      <c r="D39" s="3" t="s">
        <v>12</v>
      </c>
      <c r="E39" s="3" t="s">
        <v>58</v>
      </c>
      <c r="F39" s="3" t="s">
        <v>10</v>
      </c>
      <c r="G39" s="3" t="s">
        <v>723</v>
      </c>
      <c r="H39" s="13">
        <v>2015</v>
      </c>
      <c r="I39" s="13" t="s">
        <v>744</v>
      </c>
      <c r="J39" s="10">
        <v>7036128</v>
      </c>
      <c r="K39" s="3" t="s">
        <v>1660</v>
      </c>
      <c r="L39" s="3" t="s">
        <v>745</v>
      </c>
      <c r="M39" s="3" t="s">
        <v>746</v>
      </c>
      <c r="N39" s="3" t="s">
        <v>763</v>
      </c>
      <c r="O39" s="3" t="s">
        <v>747</v>
      </c>
      <c r="P39" s="3"/>
      <c r="Q39" s="3"/>
      <c r="R39" s="3" t="s">
        <v>739</v>
      </c>
      <c r="S39" s="3" t="s">
        <v>740</v>
      </c>
      <c r="T39" s="3"/>
      <c r="U39" s="3"/>
      <c r="V39" s="3"/>
      <c r="W39" s="10">
        <f>IF( J39="s.i", "s.i", IF(ISBLANK(J39),"Actualizando información",IFERROR(J39 / VLOOKUP(A39,Deflactor!$G$3:$H$64,2,0),"Revisar error" )))</f>
        <v>5649426.1846524477</v>
      </c>
      <c r="AR39" s="34"/>
      <c r="AT39" s="46">
        <f>'Notas reunion'!T32</f>
        <v>3000416000</v>
      </c>
      <c r="AU39" s="54">
        <f xml:space="preserve"> IFERROR(ROUND(AT39 / VLOOKUP(A39,Tabla1[#All],2,0),0),"s.i")</f>
        <v>4686021</v>
      </c>
      <c r="AV39" s="33">
        <f xml:space="preserve"> IF(AU39="s.i", "s.i", IF(AND(AU39&gt;=Deflactor!$BQ$298,AU39&lt;Deflactor!$BQ$299), Deflactor!$BP$298, IF(AND(AU39&gt;=Deflactor!$BQ$299,AU39&lt;Deflactor!$BQ$300), Deflactor!$BP$299, IF(AND(AU39&gt;=Deflactor!$BQ$300,AU39&lt;Deflactor!$BQ$301), Deflactor!$BP$300, IF(AND(AU39&gt;=Deflactor!$BQ$301,AU39&lt;Deflactor!$BQ$302), Deflactor!$BP$301, IF(AND(AU39&gt;=Deflactor!$BQ$302,AU39&lt;Deflactor!$BQ$303), Deflactor!$BP$302, IF(AND(AU39&gt;=Deflactor!$BQ$303,AU39&lt;Deflactor!$BQ$304), Deflactor!$BP$303, IF(AND(AU39&gt;=Deflactor!$BQ$304,AU39&lt;Deflactor!$BQ$305), Deflactor!$BP$304, IF(AND(AU39&gt;=Deflactor!$BQ$305,AU39&lt;Deflactor!$BQ$306), Deflactor!$BP$305, IF(AND(AU39&gt;=Deflactor!$BQ$306,AU39&lt;Deflactor!$BQ$307), Deflactor!$BP$306, Deflactor!$BP$307) ) ) ) ) ) ) ) ) )</f>
        <v>2</v>
      </c>
      <c r="AW39" s="57" t="str">
        <f>+IFERROR(VLOOKUP(AV39,Deflactor!$BP$298:$BU$307,6,0),"")</f>
        <v>2 a 5 millones USD</v>
      </c>
    </row>
    <row r="40" spans="1:49" x14ac:dyDescent="0.3">
      <c r="A40" s="3">
        <v>2018</v>
      </c>
      <c r="B40" s="3" t="s">
        <v>59</v>
      </c>
      <c r="C40" s="3" t="s">
        <v>7</v>
      </c>
      <c r="D40" s="3" t="s">
        <v>12</v>
      </c>
      <c r="E40" s="3" t="s">
        <v>58</v>
      </c>
      <c r="F40" s="3" t="s">
        <v>10</v>
      </c>
      <c r="G40" s="3" t="s">
        <v>723</v>
      </c>
      <c r="H40" s="13">
        <v>2015</v>
      </c>
      <c r="I40" s="13" t="s">
        <v>744</v>
      </c>
      <c r="J40" s="10">
        <v>7036128</v>
      </c>
      <c r="K40" s="3" t="s">
        <v>1660</v>
      </c>
      <c r="L40" s="3" t="s">
        <v>745</v>
      </c>
      <c r="M40" s="3" t="s">
        <v>746</v>
      </c>
      <c r="N40" s="3" t="s">
        <v>990</v>
      </c>
      <c r="O40" s="3"/>
      <c r="P40" s="3"/>
      <c r="Q40" s="3"/>
      <c r="R40" s="11" t="s">
        <v>2371</v>
      </c>
      <c r="S40" s="11" t="s">
        <v>2372</v>
      </c>
      <c r="T40" s="11" t="s">
        <v>2373</v>
      </c>
      <c r="U40" s="3"/>
      <c r="V40" s="3"/>
      <c r="W40" s="10">
        <f>IF( J40="s.i", "s.i", IF(ISBLANK(J40),"Actualizando información",IFERROR(J40 / VLOOKUP(A40,Deflactor!$G$3:$H$64,2,0),"Revisar error" )))</f>
        <v>5649426.1846524477</v>
      </c>
      <c r="AR40" s="34"/>
      <c r="AT40" s="46">
        <f>'Notas reunion'!T33</f>
        <v>821167000</v>
      </c>
      <c r="AU40" s="54">
        <f xml:space="preserve"> IFERROR(ROUND(AT40 / VLOOKUP(A40,Tabla1[#All],2,0),0),"s.i")</f>
        <v>1282491</v>
      </c>
      <c r="AV40" s="33">
        <f xml:space="preserve"> IF(AU40="s.i", "s.i", IF(AND(AU40&gt;=Deflactor!$BQ$298,AU40&lt;Deflactor!$BQ$299), Deflactor!$BP$298, IF(AND(AU40&gt;=Deflactor!$BQ$299,AU40&lt;Deflactor!$BQ$300), Deflactor!$BP$299, IF(AND(AU40&gt;=Deflactor!$BQ$300,AU40&lt;Deflactor!$BQ$301), Deflactor!$BP$300, IF(AND(AU40&gt;=Deflactor!$BQ$301,AU40&lt;Deflactor!$BQ$302), Deflactor!$BP$301, IF(AND(AU40&gt;=Deflactor!$BQ$302,AU40&lt;Deflactor!$BQ$303), Deflactor!$BP$302, IF(AND(AU40&gt;=Deflactor!$BQ$303,AU40&lt;Deflactor!$BQ$304), Deflactor!$BP$303, IF(AND(AU40&gt;=Deflactor!$BQ$304,AU40&lt;Deflactor!$BQ$305), Deflactor!$BP$304, IF(AND(AU40&gt;=Deflactor!$BQ$305,AU40&lt;Deflactor!$BQ$306), Deflactor!$BP$305, IF(AND(AU40&gt;=Deflactor!$BQ$306,AU40&lt;Deflactor!$BQ$307), Deflactor!$BP$306, Deflactor!$BP$307) ) ) ) ) ) ) ) ) )</f>
        <v>1</v>
      </c>
      <c r="AW40" s="57" t="str">
        <f>+IFERROR(VLOOKUP(AV40,Deflactor!$BP$298:$BU$307,6,0),"")</f>
        <v>2 millones USD y menos</v>
      </c>
    </row>
    <row r="41" spans="1:49" x14ac:dyDescent="0.3">
      <c r="A41" s="3">
        <v>2018</v>
      </c>
      <c r="B41" s="3" t="s">
        <v>60</v>
      </c>
      <c r="C41" s="3" t="s">
        <v>7</v>
      </c>
      <c r="D41" s="3" t="s">
        <v>12</v>
      </c>
      <c r="E41" s="3" t="s">
        <v>61</v>
      </c>
      <c r="F41" s="3" t="s">
        <v>30</v>
      </c>
      <c r="G41" s="3" t="s">
        <v>723</v>
      </c>
      <c r="H41" s="13">
        <v>2015</v>
      </c>
      <c r="I41" s="13" t="s">
        <v>744</v>
      </c>
      <c r="J41" s="10">
        <f xml:space="preserve"> 10960 * 1000000</f>
        <v>10960000000</v>
      </c>
      <c r="K41" s="3"/>
      <c r="L41" s="3" t="s">
        <v>748</v>
      </c>
      <c r="M41" s="3" t="s">
        <v>749</v>
      </c>
      <c r="N41" s="3" t="s">
        <v>750</v>
      </c>
      <c r="O41" s="3"/>
      <c r="P41" s="3"/>
      <c r="Q41" s="3"/>
      <c r="R41" s="3" t="s">
        <v>751</v>
      </c>
      <c r="S41" s="3" t="s">
        <v>752</v>
      </c>
      <c r="T41" s="3"/>
      <c r="U41" s="3"/>
      <c r="V41" s="3"/>
      <c r="W41" s="10">
        <f>IF( J41="s.i", "s.i", IF(ISBLANK(J41),"Actualizando información",IFERROR(J41 / VLOOKUP(A41,Deflactor!$G$3:$H$64,2,0),"Revisar error" )))</f>
        <v>8799969384.2679996</v>
      </c>
      <c r="AR41" s="34">
        <f xml:space="preserve"> 1057262 * 1000</f>
        <v>1057262000</v>
      </c>
      <c r="AT41" s="46">
        <f t="shared" si="0"/>
        <v>1057262000</v>
      </c>
      <c r="AU41" s="54">
        <f xml:space="preserve"> IFERROR(ROUND(AT41 / VLOOKUP(A41,Tabla1[#All],2,0),0),"s.i")</f>
        <v>1651222</v>
      </c>
      <c r="AV41" s="33">
        <f xml:space="preserve"> IF(AU41="s.i", "s.i", IF(AND(AU41&gt;=Deflactor!$BQ$298,AU41&lt;Deflactor!$BQ$299), Deflactor!$BP$298, IF(AND(AU41&gt;=Deflactor!$BQ$299,AU41&lt;Deflactor!$BQ$300), Deflactor!$BP$299, IF(AND(AU41&gt;=Deflactor!$BQ$300,AU41&lt;Deflactor!$BQ$301), Deflactor!$BP$300, IF(AND(AU41&gt;=Deflactor!$BQ$301,AU41&lt;Deflactor!$BQ$302), Deflactor!$BP$301, IF(AND(AU41&gt;=Deflactor!$BQ$302,AU41&lt;Deflactor!$BQ$303), Deflactor!$BP$302, IF(AND(AU41&gt;=Deflactor!$BQ$303,AU41&lt;Deflactor!$BQ$304), Deflactor!$BP$303, IF(AND(AU41&gt;=Deflactor!$BQ$304,AU41&lt;Deflactor!$BQ$305), Deflactor!$BP$304, IF(AND(AU41&gt;=Deflactor!$BQ$305,AU41&lt;Deflactor!$BQ$306), Deflactor!$BP$305, IF(AND(AU41&gt;=Deflactor!$BQ$306,AU41&lt;Deflactor!$BQ$307), Deflactor!$BP$306, Deflactor!$BP$307) ) ) ) ) ) ) ) ) )</f>
        <v>1</v>
      </c>
      <c r="AW41" s="57" t="str">
        <f>+IFERROR(VLOOKUP(AV41,Deflactor!$BP$298:$BU$307,6,0),"")</f>
        <v>2 millones USD y menos</v>
      </c>
    </row>
    <row r="42" spans="1:49" x14ac:dyDescent="0.3">
      <c r="A42" s="3">
        <v>2018</v>
      </c>
      <c r="B42" s="3" t="s">
        <v>62</v>
      </c>
      <c r="C42" s="3" t="s">
        <v>7</v>
      </c>
      <c r="D42" s="3" t="s">
        <v>12</v>
      </c>
      <c r="E42" s="3" t="s">
        <v>61</v>
      </c>
      <c r="F42" s="3" t="s">
        <v>14</v>
      </c>
      <c r="G42" s="3" t="s">
        <v>623</v>
      </c>
      <c r="H42" s="13">
        <v>2014</v>
      </c>
      <c r="I42" s="13" t="s">
        <v>623</v>
      </c>
      <c r="J42" s="10">
        <f xml:space="preserve"> 28402 * 1000000</f>
        <v>28402000000</v>
      </c>
      <c r="K42" s="3" t="s">
        <v>1661</v>
      </c>
      <c r="L42" s="3" t="s">
        <v>753</v>
      </c>
      <c r="M42" s="3" t="s">
        <v>754</v>
      </c>
      <c r="N42" s="3" t="s">
        <v>757</v>
      </c>
      <c r="O42" s="3" t="s">
        <v>758</v>
      </c>
      <c r="P42" s="3" t="s">
        <v>759</v>
      </c>
      <c r="Q42" s="3"/>
      <c r="R42" s="11" t="s">
        <v>755</v>
      </c>
      <c r="S42" s="3" t="s">
        <v>756</v>
      </c>
      <c r="T42" s="3"/>
      <c r="U42" s="3"/>
      <c r="V42" s="3"/>
      <c r="W42" s="10">
        <f>IF( J42="s.i", "s.i", IF(ISBLANK(J42),"Actualizando información",IFERROR(J42 / VLOOKUP(A42,Deflactor!$G$3:$H$64,2,0),"Revisar error" )))</f>
        <v>22804446209.122238</v>
      </c>
      <c r="AR42" s="34">
        <f xml:space="preserve"> (1356365 + 1453073) * 1000</f>
        <v>2809438000</v>
      </c>
      <c r="AT42" s="46">
        <f t="shared" si="0"/>
        <v>2809438000</v>
      </c>
      <c r="AU42" s="54">
        <f xml:space="preserve"> IFERROR(ROUND(AT42 / VLOOKUP(A42,Tabla1[#All],2,0),0),"s.i")</f>
        <v>4387753</v>
      </c>
      <c r="AV42" s="33">
        <f xml:space="preserve"> IF(AU42="s.i", "s.i", IF(AND(AU42&gt;=Deflactor!$BQ$298,AU42&lt;Deflactor!$BQ$299), Deflactor!$BP$298, IF(AND(AU42&gt;=Deflactor!$BQ$299,AU42&lt;Deflactor!$BQ$300), Deflactor!$BP$299, IF(AND(AU42&gt;=Deflactor!$BQ$300,AU42&lt;Deflactor!$BQ$301), Deflactor!$BP$300, IF(AND(AU42&gt;=Deflactor!$BQ$301,AU42&lt;Deflactor!$BQ$302), Deflactor!$BP$301, IF(AND(AU42&gt;=Deflactor!$BQ$302,AU42&lt;Deflactor!$BQ$303), Deflactor!$BP$302, IF(AND(AU42&gt;=Deflactor!$BQ$303,AU42&lt;Deflactor!$BQ$304), Deflactor!$BP$303, IF(AND(AU42&gt;=Deflactor!$BQ$304,AU42&lt;Deflactor!$BQ$305), Deflactor!$BP$304, IF(AND(AU42&gt;=Deflactor!$BQ$305,AU42&lt;Deflactor!$BQ$306), Deflactor!$BP$305, IF(AND(AU42&gt;=Deflactor!$BQ$306,AU42&lt;Deflactor!$BQ$307), Deflactor!$BP$306, Deflactor!$BP$307) ) ) ) ) ) ) ) ) )</f>
        <v>2</v>
      </c>
      <c r="AW42" s="57" t="str">
        <f>+IFERROR(VLOOKUP(AV42,Deflactor!$BP$298:$BU$307,6,0),"")</f>
        <v>2 a 5 millones USD</v>
      </c>
    </row>
    <row r="43" spans="1:49" x14ac:dyDescent="0.3">
      <c r="A43" s="3">
        <v>2018</v>
      </c>
      <c r="B43" s="3" t="s">
        <v>63</v>
      </c>
      <c r="C43" s="3" t="s">
        <v>7</v>
      </c>
      <c r="D43" s="3" t="s">
        <v>64</v>
      </c>
      <c r="E43" s="3" t="s">
        <v>65</v>
      </c>
      <c r="F43" s="3" t="s">
        <v>27</v>
      </c>
      <c r="G43" s="3" t="s">
        <v>623</v>
      </c>
      <c r="H43" s="3">
        <v>2009</v>
      </c>
      <c r="I43" s="13" t="s">
        <v>623</v>
      </c>
      <c r="J43" s="10">
        <f xml:space="preserve"> 70930 * 1000000</f>
        <v>70930000000</v>
      </c>
      <c r="K43" s="3" t="s">
        <v>1668</v>
      </c>
      <c r="L43" s="3" t="s">
        <v>838</v>
      </c>
      <c r="M43" s="3" t="s">
        <v>839</v>
      </c>
      <c r="N43" s="3" t="s">
        <v>840</v>
      </c>
      <c r="O43" s="3" t="s">
        <v>841</v>
      </c>
      <c r="P43" s="3"/>
      <c r="Q43" s="3"/>
      <c r="R43" s="3" t="s">
        <v>835</v>
      </c>
      <c r="S43" s="3" t="s">
        <v>836</v>
      </c>
      <c r="T43" s="3" t="s">
        <v>837</v>
      </c>
      <c r="U43" s="3"/>
      <c r="V43" s="3"/>
      <c r="W43" s="10">
        <f>IF( J43="s.i", "s.i", IF(ISBLANK(J43),"Actualizando información",IFERROR(J43 / VLOOKUP(A43,Deflactor!$G$3:$H$64,2,0),"Revisar error" )))</f>
        <v>56950896754.20887</v>
      </c>
      <c r="AR43" s="10">
        <f xml:space="preserve"> 70242219 * 1000</f>
        <v>70242219000</v>
      </c>
      <c r="AT43" s="46">
        <f t="shared" si="0"/>
        <v>70242219000</v>
      </c>
      <c r="AU43" s="54">
        <f xml:space="preserve"> IFERROR(ROUND(AT43 / VLOOKUP(A43,Tabla1[#All],2,0),0),"s.i")</f>
        <v>109703625</v>
      </c>
      <c r="AV43" s="33">
        <f xml:space="preserve"> IF(AU43="s.i", "s.i", IF(AND(AU43&gt;=Deflactor!$BQ$298,AU43&lt;Deflactor!$BQ$299), Deflactor!$BP$298, IF(AND(AU43&gt;=Deflactor!$BQ$299,AU43&lt;Deflactor!$BQ$300), Deflactor!$BP$299, IF(AND(AU43&gt;=Deflactor!$BQ$300,AU43&lt;Deflactor!$BQ$301), Deflactor!$BP$300, IF(AND(AU43&gt;=Deflactor!$BQ$301,AU43&lt;Deflactor!$BQ$302), Deflactor!$BP$301, IF(AND(AU43&gt;=Deflactor!$BQ$302,AU43&lt;Deflactor!$BQ$303), Deflactor!$BP$302, IF(AND(AU43&gt;=Deflactor!$BQ$303,AU43&lt;Deflactor!$BQ$304), Deflactor!$BP$303, IF(AND(AU43&gt;=Deflactor!$BQ$304,AU43&lt;Deflactor!$BQ$305), Deflactor!$BP$304, IF(AND(AU43&gt;=Deflactor!$BQ$305,AU43&lt;Deflactor!$BQ$306), Deflactor!$BP$305, IF(AND(AU43&gt;=Deflactor!$BQ$306,AU43&lt;Deflactor!$BQ$307), Deflactor!$BP$306, Deflactor!$BP$307) ) ) ) ) ) ) ) ) )</f>
        <v>10</v>
      </c>
      <c r="AW43" s="57" t="str">
        <f>+IFERROR(VLOOKUP(AV43,Deflactor!$BP$298:$BU$307,6,0),"")</f>
        <v>100 millones USD y mas</v>
      </c>
    </row>
    <row r="44" spans="1:49" x14ac:dyDescent="0.3">
      <c r="A44" s="3">
        <v>2018</v>
      </c>
      <c r="B44" s="3" t="s">
        <v>66</v>
      </c>
      <c r="C44" s="3" t="s">
        <v>67</v>
      </c>
      <c r="D44" s="3" t="s">
        <v>36</v>
      </c>
      <c r="E44" s="3" t="s">
        <v>68</v>
      </c>
      <c r="F44" s="3" t="s">
        <v>10</v>
      </c>
      <c r="G44" s="3" t="s">
        <v>623</v>
      </c>
      <c r="H44" s="3">
        <v>1993</v>
      </c>
      <c r="I44" s="13" t="s">
        <v>623</v>
      </c>
      <c r="J44" s="10">
        <f xml:space="preserve"> 6815 * 1000</f>
        <v>6815000</v>
      </c>
      <c r="K44" s="3"/>
      <c r="L44" s="3" t="s">
        <v>791</v>
      </c>
      <c r="M44" s="3" t="s">
        <v>792</v>
      </c>
      <c r="N44" s="3" t="s">
        <v>781</v>
      </c>
      <c r="O44" s="3" t="s">
        <v>782</v>
      </c>
      <c r="P44" s="3" t="s">
        <v>783</v>
      </c>
      <c r="Q44" s="3"/>
      <c r="R44" s="3" t="s">
        <v>784</v>
      </c>
      <c r="S44" s="3" t="s">
        <v>785</v>
      </c>
      <c r="T44" s="3" t="s">
        <v>786</v>
      </c>
      <c r="U44" s="3"/>
      <c r="V44" s="3"/>
      <c r="W44" s="10">
        <f>IF( J44="s.i", "s.i", IF(ISBLANK(J44),"Actualizando información",IFERROR(J44 / VLOOKUP(A44,Deflactor!$G$3:$H$64,2,0),"Revisar error" )))</f>
        <v>5471878.7731556948</v>
      </c>
      <c r="AR44" s="34">
        <f xml:space="preserve"> 6992399 * 1000</f>
        <v>6992399000</v>
      </c>
      <c r="AT44" s="46">
        <f t="shared" si="0"/>
        <v>6992399000</v>
      </c>
      <c r="AU44" s="54">
        <f xml:space="preserve"> IFERROR(ROUND(AT44 / VLOOKUP(A44,Tabla1[#All],2,0),0),"s.i")</f>
        <v>10920662</v>
      </c>
      <c r="AV44" s="33">
        <f xml:space="preserve"> IF(AU44="s.i", "s.i", IF(AND(AU44&gt;=Deflactor!$BQ$298,AU44&lt;Deflactor!$BQ$299), Deflactor!$BP$298, IF(AND(AU44&gt;=Deflactor!$BQ$299,AU44&lt;Deflactor!$BQ$300), Deflactor!$BP$299, IF(AND(AU44&gt;=Deflactor!$BQ$300,AU44&lt;Deflactor!$BQ$301), Deflactor!$BP$300, IF(AND(AU44&gt;=Deflactor!$BQ$301,AU44&lt;Deflactor!$BQ$302), Deflactor!$BP$301, IF(AND(AU44&gt;=Deflactor!$BQ$302,AU44&lt;Deflactor!$BQ$303), Deflactor!$BP$302, IF(AND(AU44&gt;=Deflactor!$BQ$303,AU44&lt;Deflactor!$BQ$304), Deflactor!$BP$303, IF(AND(AU44&gt;=Deflactor!$BQ$304,AU44&lt;Deflactor!$BQ$305), Deflactor!$BP$304, IF(AND(AU44&gt;=Deflactor!$BQ$305,AU44&lt;Deflactor!$BQ$306), Deflactor!$BP$305, IF(AND(AU44&gt;=Deflactor!$BQ$306,AU44&lt;Deflactor!$BQ$307), Deflactor!$BP$306, Deflactor!$BP$307) ) ) ) ) ) ) ) ) )</f>
        <v>5</v>
      </c>
      <c r="AW44" s="57" t="str">
        <f>+IFERROR(VLOOKUP(AV44,Deflactor!$BP$298:$BU$307,6,0),"")</f>
        <v>10 a 15 millones USD</v>
      </c>
    </row>
    <row r="45" spans="1:49" x14ac:dyDescent="0.3">
      <c r="A45" s="3">
        <v>2018</v>
      </c>
      <c r="B45" s="3" t="s">
        <v>69</v>
      </c>
      <c r="C45" s="3" t="s">
        <v>7</v>
      </c>
      <c r="D45" s="3" t="s">
        <v>20</v>
      </c>
      <c r="E45" s="3" t="s">
        <v>21</v>
      </c>
      <c r="F45" s="3" t="s">
        <v>14</v>
      </c>
      <c r="G45" s="3" t="s">
        <v>623</v>
      </c>
      <c r="H45" s="13">
        <v>2013</v>
      </c>
      <c r="I45" s="13" t="s">
        <v>623</v>
      </c>
      <c r="J45" s="10">
        <f xml:space="preserve"> 5764 * 1000000</f>
        <v>5764000000</v>
      </c>
      <c r="K45" s="3" t="s">
        <v>861</v>
      </c>
      <c r="L45" s="3" t="s">
        <v>767</v>
      </c>
      <c r="M45" s="3" t="s">
        <v>768</v>
      </c>
      <c r="N45" s="3" t="s">
        <v>769</v>
      </c>
      <c r="O45" s="3" t="s">
        <v>770</v>
      </c>
      <c r="P45" s="3" t="s">
        <v>771</v>
      </c>
      <c r="Q45" s="3"/>
      <c r="R45" s="3" t="s">
        <v>772</v>
      </c>
      <c r="S45" s="3" t="s">
        <v>773</v>
      </c>
      <c r="T45" s="3" t="s">
        <v>774</v>
      </c>
      <c r="U45" s="3"/>
      <c r="V45" s="3"/>
      <c r="W45" s="10">
        <f>IF( J45="s.i", "s.i", IF(ISBLANK(J45),"Actualizando información",IFERROR(J45 / VLOOKUP(A45,Deflactor!$G$3:$H$64,2,0),"Revisar error" )))</f>
        <v>4628013095.8869295</v>
      </c>
      <c r="AR45" s="10">
        <f xml:space="preserve"> 5616319 * 1000</f>
        <v>5616319000</v>
      </c>
      <c r="AT45" s="46">
        <f t="shared" si="0"/>
        <v>5616319000</v>
      </c>
      <c r="AU45" s="54">
        <f xml:space="preserve"> IFERROR(ROUND(AT45 / VLOOKUP(A45,Tabla1[#All],2,0),0),"s.i")</f>
        <v>8771513</v>
      </c>
      <c r="AV45" s="33">
        <f xml:space="preserve"> IF(AU45="s.i", "s.i", IF(AND(AU45&gt;=Deflactor!$BQ$298,AU45&lt;Deflactor!$BQ$299), Deflactor!$BP$298, IF(AND(AU45&gt;=Deflactor!$BQ$299,AU45&lt;Deflactor!$BQ$300), Deflactor!$BP$299, IF(AND(AU45&gt;=Deflactor!$BQ$300,AU45&lt;Deflactor!$BQ$301), Deflactor!$BP$300, IF(AND(AU45&gt;=Deflactor!$BQ$301,AU45&lt;Deflactor!$BQ$302), Deflactor!$BP$301, IF(AND(AU45&gt;=Deflactor!$BQ$302,AU45&lt;Deflactor!$BQ$303), Deflactor!$BP$302, IF(AND(AU45&gt;=Deflactor!$BQ$303,AU45&lt;Deflactor!$BQ$304), Deflactor!$BP$303, IF(AND(AU45&gt;=Deflactor!$BQ$304,AU45&lt;Deflactor!$BQ$305), Deflactor!$BP$304, IF(AND(AU45&gt;=Deflactor!$BQ$305,AU45&lt;Deflactor!$BQ$306), Deflactor!$BP$305, IF(AND(AU45&gt;=Deflactor!$BQ$306,AU45&lt;Deflactor!$BQ$307), Deflactor!$BP$306, Deflactor!$BP$307) ) ) ) ) ) ) ) ) )</f>
        <v>4</v>
      </c>
      <c r="AW45" s="57" t="str">
        <f>+IFERROR(VLOOKUP(AV45,Deflactor!$BP$298:$BU$307,6,0),"")</f>
        <v>7,5 a 10 millones USD</v>
      </c>
    </row>
    <row r="46" spans="1:49" x14ac:dyDescent="0.3">
      <c r="A46" s="3">
        <v>2018</v>
      </c>
      <c r="B46" s="3" t="s">
        <v>70</v>
      </c>
      <c r="C46" s="3" t="s">
        <v>7</v>
      </c>
      <c r="D46" s="3" t="s">
        <v>71</v>
      </c>
      <c r="E46" s="3" t="s">
        <v>72</v>
      </c>
      <c r="F46" s="3" t="s">
        <v>27</v>
      </c>
      <c r="G46" s="3" t="s">
        <v>623</v>
      </c>
      <c r="H46" s="13">
        <v>2000</v>
      </c>
      <c r="I46" s="13" t="s">
        <v>623</v>
      </c>
      <c r="J46" s="10">
        <f xml:space="preserve"> 61757322 * 1000</f>
        <v>61757322000</v>
      </c>
      <c r="K46" s="3" t="s">
        <v>1044</v>
      </c>
      <c r="L46" s="3" t="s">
        <v>842</v>
      </c>
      <c r="M46" s="3" t="s">
        <v>991</v>
      </c>
      <c r="N46" s="3" t="s">
        <v>992</v>
      </c>
      <c r="O46" s="3"/>
      <c r="P46" s="3"/>
      <c r="Q46" s="3"/>
      <c r="R46" s="3" t="s">
        <v>843</v>
      </c>
      <c r="S46" s="3" t="s">
        <v>844</v>
      </c>
      <c r="T46" s="3" t="s">
        <v>845</v>
      </c>
      <c r="U46" s="3"/>
      <c r="V46" s="3"/>
      <c r="W46" s="10">
        <f>IF( J46="s.i", "s.i", IF(ISBLANK(J46),"Actualizando información",IFERROR(J46 / VLOOKUP(A46,Deflactor!$G$3:$H$64,2,0),"Revisar error" )))</f>
        <v>49585998435.618668</v>
      </c>
      <c r="AR46" s="34"/>
      <c r="AT46" s="46">
        <f>'Notas reunion'!T34</f>
        <v>54296263000</v>
      </c>
      <c r="AU46" s="54">
        <f xml:space="preserve"> IFERROR(ROUND(AT46 / VLOOKUP(A46,Tabla1[#All],2,0),0),"s.i")</f>
        <v>84799384</v>
      </c>
      <c r="AV46" s="33">
        <f xml:space="preserve"> IF(AU46="s.i", "s.i", IF(AND(AU46&gt;=Deflactor!$BQ$298,AU46&lt;Deflactor!$BQ$299), Deflactor!$BP$298, IF(AND(AU46&gt;=Deflactor!$BQ$299,AU46&lt;Deflactor!$BQ$300), Deflactor!$BP$299, IF(AND(AU46&gt;=Deflactor!$BQ$300,AU46&lt;Deflactor!$BQ$301), Deflactor!$BP$300, IF(AND(AU46&gt;=Deflactor!$BQ$301,AU46&lt;Deflactor!$BQ$302), Deflactor!$BP$301, IF(AND(AU46&gt;=Deflactor!$BQ$302,AU46&lt;Deflactor!$BQ$303), Deflactor!$BP$302, IF(AND(AU46&gt;=Deflactor!$BQ$303,AU46&lt;Deflactor!$BQ$304), Deflactor!$BP$303, IF(AND(AU46&gt;=Deflactor!$BQ$304,AU46&lt;Deflactor!$BQ$305), Deflactor!$BP$304, IF(AND(AU46&gt;=Deflactor!$BQ$305,AU46&lt;Deflactor!$BQ$306), Deflactor!$BP$305, IF(AND(AU46&gt;=Deflactor!$BQ$306,AU46&lt;Deflactor!$BQ$307), Deflactor!$BP$306, Deflactor!$BP$307) ) ) ) ) ) ) ) ) )</f>
        <v>9</v>
      </c>
      <c r="AW46" s="57" t="str">
        <f>+IFERROR(VLOOKUP(AV46,Deflactor!$BP$298:$BU$307,6,0),"")</f>
        <v>50 a 100 millones USD</v>
      </c>
    </row>
    <row r="47" spans="1:49" x14ac:dyDescent="0.3">
      <c r="A47" s="3">
        <v>2018</v>
      </c>
      <c r="B47" s="3" t="s">
        <v>73</v>
      </c>
      <c r="C47" s="3" t="s">
        <v>7</v>
      </c>
      <c r="D47" s="3" t="s">
        <v>74</v>
      </c>
      <c r="E47" s="3" t="s">
        <v>75</v>
      </c>
      <c r="F47" s="3" t="s">
        <v>30</v>
      </c>
      <c r="G47" s="3" t="s">
        <v>623</v>
      </c>
      <c r="H47" s="13">
        <v>2014</v>
      </c>
      <c r="I47" s="13" t="s">
        <v>623</v>
      </c>
      <c r="J47" s="10">
        <f xml:space="preserve"> 9599944 * 1000</f>
        <v>9599944000</v>
      </c>
      <c r="K47" s="3"/>
      <c r="L47" s="3" t="s">
        <v>993</v>
      </c>
      <c r="M47" s="3" t="s">
        <v>994</v>
      </c>
      <c r="N47" s="3" t="s">
        <v>995</v>
      </c>
      <c r="O47" s="3" t="s">
        <v>996</v>
      </c>
      <c r="P47" s="3" t="s">
        <v>997</v>
      </c>
      <c r="Q47" s="3"/>
      <c r="R47" s="3"/>
      <c r="S47" s="3"/>
      <c r="T47" s="3"/>
      <c r="U47" s="3"/>
      <c r="V47" s="3"/>
      <c r="W47" s="10">
        <f>IF( J47="s.i", "s.i", IF(ISBLANK(J47),"Actualizando información",IFERROR(J47 / VLOOKUP(A47,Deflactor!$G$3:$H$64,2,0),"Revisar error" )))</f>
        <v>7707957417.0335102</v>
      </c>
      <c r="AR47" s="34"/>
      <c r="AT47" s="46"/>
      <c r="AU47" s="54"/>
      <c r="AV47" s="33">
        <f xml:space="preserve"> IF(AU47="s.i", "s.i", IF(AND(AU47&gt;=Deflactor!$BQ$298,AU47&lt;Deflactor!$BQ$299), Deflactor!$BP$298, IF(AND(AU47&gt;=Deflactor!$BQ$299,AU47&lt;Deflactor!$BQ$300), Deflactor!$BP$299, IF(AND(AU47&gt;=Deflactor!$BQ$300,AU47&lt;Deflactor!$BQ$301), Deflactor!$BP$300, IF(AND(AU47&gt;=Deflactor!$BQ$301,AU47&lt;Deflactor!$BQ$302), Deflactor!$BP$301, IF(AND(AU47&gt;=Deflactor!$BQ$302,AU47&lt;Deflactor!$BQ$303), Deflactor!$BP$302, IF(AND(AU47&gt;=Deflactor!$BQ$303,AU47&lt;Deflactor!$BQ$304), Deflactor!$BP$303, IF(AND(AU47&gt;=Deflactor!$BQ$304,AU47&lt;Deflactor!$BQ$305), Deflactor!$BP$304, IF(AND(AU47&gt;=Deflactor!$BQ$305,AU47&lt;Deflactor!$BQ$306), Deflactor!$BP$305, IF(AND(AU47&gt;=Deflactor!$BQ$306,AU47&lt;Deflactor!$BQ$307), Deflactor!$BP$306, Deflactor!$BP$307) ) ) ) ) ) ) ) ) )</f>
        <v>10</v>
      </c>
      <c r="AW47" s="57" t="str">
        <f>+IFERROR(VLOOKUP(AV47,Deflactor!$BP$298:$BU$307,6,0),"")</f>
        <v>100 millones USD y mas</v>
      </c>
    </row>
    <row r="48" spans="1:49" x14ac:dyDescent="0.3">
      <c r="A48" s="3">
        <v>2018</v>
      </c>
      <c r="B48" s="3" t="s">
        <v>76</v>
      </c>
      <c r="C48" s="3" t="s">
        <v>7</v>
      </c>
      <c r="D48" s="3" t="s">
        <v>25</v>
      </c>
      <c r="E48" s="3" t="s">
        <v>26</v>
      </c>
      <c r="F48" s="3" t="s">
        <v>27</v>
      </c>
      <c r="G48" s="3" t="s">
        <v>623</v>
      </c>
      <c r="H48" s="13">
        <v>2014</v>
      </c>
      <c r="I48" s="13" t="s">
        <v>623</v>
      </c>
      <c r="J48" s="10">
        <f xml:space="preserve"> 13140 * 1000000</f>
        <v>13140000000</v>
      </c>
      <c r="K48" s="3" t="s">
        <v>1662</v>
      </c>
      <c r="L48" s="3" t="s">
        <v>775</v>
      </c>
      <c r="M48" s="3" t="s">
        <v>776</v>
      </c>
      <c r="N48" s="3" t="s">
        <v>777</v>
      </c>
      <c r="O48" s="3"/>
      <c r="P48" s="3"/>
      <c r="Q48" s="3"/>
      <c r="R48" s="3" t="s">
        <v>778</v>
      </c>
      <c r="S48" s="3" t="s">
        <v>779</v>
      </c>
      <c r="T48" s="3" t="s">
        <v>780</v>
      </c>
      <c r="U48" s="3"/>
      <c r="V48" s="3"/>
      <c r="W48" s="10">
        <f>IF( J48="s.i", "s.i", IF(ISBLANK(J48),"Actualizando información",IFERROR(J48 / VLOOKUP(A48,Deflactor!$G$3:$H$64,2,0),"Revisar error" )))</f>
        <v>10550328258.146124</v>
      </c>
      <c r="AR48" s="34">
        <f xml:space="preserve"> 3591821 * 1000</f>
        <v>3591821000</v>
      </c>
      <c r="AT48" s="46">
        <f t="shared" si="0"/>
        <v>3591821000</v>
      </c>
      <c r="AU48" s="54">
        <f xml:space="preserve"> IFERROR(ROUND(AT48 / VLOOKUP(A48,Tabla1[#All],2,0),0),"s.i")</f>
        <v>5609672</v>
      </c>
      <c r="AV48" s="33">
        <f xml:space="preserve"> IF(AU48="s.i", "s.i", IF(AND(AU48&gt;=Deflactor!$BQ$298,AU48&lt;Deflactor!$BQ$299), Deflactor!$BP$298, IF(AND(AU48&gt;=Deflactor!$BQ$299,AU48&lt;Deflactor!$BQ$300), Deflactor!$BP$299, IF(AND(AU48&gt;=Deflactor!$BQ$300,AU48&lt;Deflactor!$BQ$301), Deflactor!$BP$300, IF(AND(AU48&gt;=Deflactor!$BQ$301,AU48&lt;Deflactor!$BQ$302), Deflactor!$BP$301, IF(AND(AU48&gt;=Deflactor!$BQ$302,AU48&lt;Deflactor!$BQ$303), Deflactor!$BP$302, IF(AND(AU48&gt;=Deflactor!$BQ$303,AU48&lt;Deflactor!$BQ$304), Deflactor!$BP$303, IF(AND(AU48&gt;=Deflactor!$BQ$304,AU48&lt;Deflactor!$BQ$305), Deflactor!$BP$304, IF(AND(AU48&gt;=Deflactor!$BQ$305,AU48&lt;Deflactor!$BQ$306), Deflactor!$BP$305, IF(AND(AU48&gt;=Deflactor!$BQ$306,AU48&lt;Deflactor!$BQ$307), Deflactor!$BP$306, Deflactor!$BP$307) ) ) ) ) ) ) ) ) )</f>
        <v>3</v>
      </c>
      <c r="AW48" s="57" t="str">
        <f>+IFERROR(VLOOKUP(AV48,Deflactor!$BP$298:$BU$307,6,0),"")</f>
        <v>5 a 7,5 millones USD</v>
      </c>
    </row>
    <row r="49" spans="1:49" x14ac:dyDescent="0.3">
      <c r="A49" s="3">
        <v>2018</v>
      </c>
      <c r="B49" s="3" t="s">
        <v>77</v>
      </c>
      <c r="C49" s="3" t="s">
        <v>7</v>
      </c>
      <c r="D49" s="3" t="s">
        <v>25</v>
      </c>
      <c r="E49" s="3" t="s">
        <v>26</v>
      </c>
      <c r="F49" s="3" t="s">
        <v>10</v>
      </c>
      <c r="G49" s="3" t="s">
        <v>623</v>
      </c>
      <c r="H49" s="13">
        <v>2014</v>
      </c>
      <c r="I49" s="13" t="s">
        <v>623</v>
      </c>
      <c r="J49" s="10">
        <f xml:space="preserve"> 13140 * 1000000</f>
        <v>13140000000</v>
      </c>
      <c r="K49" s="3" t="s">
        <v>1662</v>
      </c>
      <c r="L49" s="3" t="s">
        <v>775</v>
      </c>
      <c r="M49" s="3" t="s">
        <v>776</v>
      </c>
      <c r="N49" s="3" t="s">
        <v>777</v>
      </c>
      <c r="O49" s="3"/>
      <c r="P49" s="3"/>
      <c r="Q49" s="3"/>
      <c r="R49" s="3" t="s">
        <v>778</v>
      </c>
      <c r="S49" s="3" t="s">
        <v>779</v>
      </c>
      <c r="T49" s="3" t="s">
        <v>780</v>
      </c>
      <c r="U49" s="3"/>
      <c r="V49" s="3"/>
      <c r="W49" s="10">
        <f>IF( J49="s.i", "s.i", IF(ISBLANK(J49),"Actualizando información",IFERROR(J49 / VLOOKUP(A49,Deflactor!$G$3:$H$64,2,0),"Revisar error" )))</f>
        <v>10550328258.146124</v>
      </c>
      <c r="AR49" s="10">
        <f xml:space="preserve"> 12766518 * 1000</f>
        <v>12766518000</v>
      </c>
      <c r="AT49" s="46">
        <f t="shared" si="0"/>
        <v>12766518000</v>
      </c>
      <c r="AU49" s="54">
        <f xml:space="preserve"> IFERROR(ROUND(AT49 / VLOOKUP(A49,Tabla1[#All],2,0),0),"s.i")</f>
        <v>19938626</v>
      </c>
      <c r="AV49" s="33">
        <f xml:space="preserve"> IF(AU49="s.i", "s.i", IF(AND(AU49&gt;=Deflactor!$BQ$298,AU49&lt;Deflactor!$BQ$299), Deflactor!$BP$298, IF(AND(AU49&gt;=Deflactor!$BQ$299,AU49&lt;Deflactor!$BQ$300), Deflactor!$BP$299, IF(AND(AU49&gt;=Deflactor!$BQ$300,AU49&lt;Deflactor!$BQ$301), Deflactor!$BP$300, IF(AND(AU49&gt;=Deflactor!$BQ$301,AU49&lt;Deflactor!$BQ$302), Deflactor!$BP$301, IF(AND(AU49&gt;=Deflactor!$BQ$302,AU49&lt;Deflactor!$BQ$303), Deflactor!$BP$302, IF(AND(AU49&gt;=Deflactor!$BQ$303,AU49&lt;Deflactor!$BQ$304), Deflactor!$BP$303, IF(AND(AU49&gt;=Deflactor!$BQ$304,AU49&lt;Deflactor!$BQ$305), Deflactor!$BP$304, IF(AND(AU49&gt;=Deflactor!$BQ$305,AU49&lt;Deflactor!$BQ$306), Deflactor!$BP$305, IF(AND(AU49&gt;=Deflactor!$BQ$306,AU49&lt;Deflactor!$BQ$307), Deflactor!$BP$306, Deflactor!$BP$307) ) ) ) ) ) ) ) ) )</f>
        <v>6</v>
      </c>
      <c r="AW49" s="57" t="str">
        <f>+IFERROR(VLOOKUP(AV49,Deflactor!$BP$298:$BU$307,6,0),"")</f>
        <v>15 a 20 millones USD</v>
      </c>
    </row>
    <row r="50" spans="1:49" x14ac:dyDescent="0.3">
      <c r="A50" s="3">
        <v>2018</v>
      </c>
      <c r="B50" s="3" t="s">
        <v>78</v>
      </c>
      <c r="C50" s="3" t="s">
        <v>7</v>
      </c>
      <c r="D50" s="3" t="s">
        <v>25</v>
      </c>
      <c r="E50" s="3" t="s">
        <v>26</v>
      </c>
      <c r="F50" s="3" t="s">
        <v>10</v>
      </c>
      <c r="G50" s="3" t="s">
        <v>623</v>
      </c>
      <c r="H50" s="13">
        <v>2014</v>
      </c>
      <c r="I50" s="13" t="s">
        <v>623</v>
      </c>
      <c r="J50" s="10">
        <f xml:space="preserve"> 13140 * 1000000</f>
        <v>13140000000</v>
      </c>
      <c r="K50" s="3" t="s">
        <v>1662</v>
      </c>
      <c r="L50" s="3" t="s">
        <v>775</v>
      </c>
      <c r="M50" s="3" t="s">
        <v>776</v>
      </c>
      <c r="N50" s="3" t="s">
        <v>777</v>
      </c>
      <c r="O50" s="3"/>
      <c r="P50" s="3"/>
      <c r="Q50" s="3"/>
      <c r="R50" s="3" t="s">
        <v>778</v>
      </c>
      <c r="S50" s="3" t="s">
        <v>779</v>
      </c>
      <c r="T50" s="3" t="s">
        <v>780</v>
      </c>
      <c r="U50" s="3"/>
      <c r="V50" s="3"/>
      <c r="W50" s="10">
        <f>IF( J50="s.i", "s.i", IF(ISBLANK(J50),"Actualizando información",IFERROR(J50 / VLOOKUP(A50,Deflactor!$G$3:$H$64,2,0),"Revisar error" )))</f>
        <v>10550328258.146124</v>
      </c>
      <c r="AR50" s="34">
        <f xml:space="preserve"> 4951278 * 1000</f>
        <v>4951278000</v>
      </c>
      <c r="AT50" s="46">
        <f t="shared" si="0"/>
        <v>4951278000</v>
      </c>
      <c r="AU50" s="54">
        <f xml:space="preserve"> IFERROR(ROUND(AT50 / VLOOKUP(A50,Tabla1[#All],2,0),0),"s.i")</f>
        <v>7732859</v>
      </c>
      <c r="AV50" s="33">
        <f xml:space="preserve"> IF(AU50="s.i", "s.i", IF(AND(AU50&gt;=Deflactor!$BQ$298,AU50&lt;Deflactor!$BQ$299), Deflactor!$BP$298, IF(AND(AU50&gt;=Deflactor!$BQ$299,AU50&lt;Deflactor!$BQ$300), Deflactor!$BP$299, IF(AND(AU50&gt;=Deflactor!$BQ$300,AU50&lt;Deflactor!$BQ$301), Deflactor!$BP$300, IF(AND(AU50&gt;=Deflactor!$BQ$301,AU50&lt;Deflactor!$BQ$302), Deflactor!$BP$301, IF(AND(AU50&gt;=Deflactor!$BQ$302,AU50&lt;Deflactor!$BQ$303), Deflactor!$BP$302, IF(AND(AU50&gt;=Deflactor!$BQ$303,AU50&lt;Deflactor!$BQ$304), Deflactor!$BP$303, IF(AND(AU50&gt;=Deflactor!$BQ$304,AU50&lt;Deflactor!$BQ$305), Deflactor!$BP$304, IF(AND(AU50&gt;=Deflactor!$BQ$305,AU50&lt;Deflactor!$BQ$306), Deflactor!$BP$305, IF(AND(AU50&gt;=Deflactor!$BQ$306,AU50&lt;Deflactor!$BQ$307), Deflactor!$BP$306, Deflactor!$BP$307) ) ) ) ) ) ) ) ) )</f>
        <v>4</v>
      </c>
      <c r="AW50" s="57" t="str">
        <f>+IFERROR(VLOOKUP(AV50,Deflactor!$BP$298:$BU$307,6,0),"")</f>
        <v>7,5 a 10 millones USD</v>
      </c>
    </row>
    <row r="51" spans="1:49" x14ac:dyDescent="0.3">
      <c r="A51" s="3">
        <v>2018</v>
      </c>
      <c r="B51" s="3" t="s">
        <v>79</v>
      </c>
      <c r="C51" s="3" t="s">
        <v>7</v>
      </c>
      <c r="D51" s="3" t="s">
        <v>36</v>
      </c>
      <c r="E51" s="3" t="s">
        <v>37</v>
      </c>
      <c r="F51" s="3" t="s">
        <v>27</v>
      </c>
      <c r="G51" s="3" t="s">
        <v>623</v>
      </c>
      <c r="H51" s="3">
        <v>2004</v>
      </c>
      <c r="I51" s="13" t="s">
        <v>623</v>
      </c>
      <c r="J51" s="10">
        <f xml:space="preserve"> 40497491 * 1000</f>
        <v>40497491000</v>
      </c>
      <c r="K51" s="3" t="s">
        <v>1048</v>
      </c>
      <c r="L51" s="3" t="s">
        <v>790</v>
      </c>
      <c r="M51" s="3" t="s">
        <v>788</v>
      </c>
      <c r="N51" s="3" t="s">
        <v>787</v>
      </c>
      <c r="O51" s="3" t="s">
        <v>789</v>
      </c>
      <c r="P51" s="3"/>
      <c r="Q51" s="3"/>
      <c r="R51" s="3" t="s">
        <v>778</v>
      </c>
      <c r="S51" s="3" t="s">
        <v>779</v>
      </c>
      <c r="T51" s="3" t="s">
        <v>780</v>
      </c>
      <c r="U51" s="3"/>
      <c r="V51" s="3"/>
      <c r="W51" s="10">
        <f>IF( J51="s.i", "s.i", IF(ISBLANK(J51),"Actualizando información",IFERROR(J51 / VLOOKUP(A51,Deflactor!$G$3:$H$64,2,0),"Revisar error" )))</f>
        <v>32516120523.692413</v>
      </c>
      <c r="AR51" s="10">
        <f xml:space="preserve"> 40465981 * 1000</f>
        <v>40465981000</v>
      </c>
      <c r="AT51" s="46">
        <f t="shared" si="0"/>
        <v>40465981000</v>
      </c>
      <c r="AU51" s="54">
        <f xml:space="preserve"> IFERROR(ROUND(AT51 / VLOOKUP(A51,Tabla1[#All],2,0),0),"s.i")</f>
        <v>63199382</v>
      </c>
      <c r="AV51" s="33">
        <f xml:space="preserve"> IF(AU51="s.i", "s.i", IF(AND(AU51&gt;=Deflactor!$BQ$298,AU51&lt;Deflactor!$BQ$299), Deflactor!$BP$298, IF(AND(AU51&gt;=Deflactor!$BQ$299,AU51&lt;Deflactor!$BQ$300), Deflactor!$BP$299, IF(AND(AU51&gt;=Deflactor!$BQ$300,AU51&lt;Deflactor!$BQ$301), Deflactor!$BP$300, IF(AND(AU51&gt;=Deflactor!$BQ$301,AU51&lt;Deflactor!$BQ$302), Deflactor!$BP$301, IF(AND(AU51&gt;=Deflactor!$BQ$302,AU51&lt;Deflactor!$BQ$303), Deflactor!$BP$302, IF(AND(AU51&gt;=Deflactor!$BQ$303,AU51&lt;Deflactor!$BQ$304), Deflactor!$BP$303, IF(AND(AU51&gt;=Deflactor!$BQ$304,AU51&lt;Deflactor!$BQ$305), Deflactor!$BP$304, IF(AND(AU51&gt;=Deflactor!$BQ$305,AU51&lt;Deflactor!$BQ$306), Deflactor!$BP$305, IF(AND(AU51&gt;=Deflactor!$BQ$306,AU51&lt;Deflactor!$BQ$307), Deflactor!$BP$306, Deflactor!$BP$307) ) ) ) ) ) ) ) ) )</f>
        <v>9</v>
      </c>
      <c r="AW51" s="57" t="str">
        <f>+IFERROR(VLOOKUP(AV51,Deflactor!$BP$298:$BU$307,6,0),"")</f>
        <v>50 a 100 millones USD</v>
      </c>
    </row>
    <row r="52" spans="1:49" x14ac:dyDescent="0.3">
      <c r="A52" s="3">
        <v>2018</v>
      </c>
      <c r="B52" s="3" t="s">
        <v>80</v>
      </c>
      <c r="C52" s="3" t="s">
        <v>7</v>
      </c>
      <c r="D52" s="3" t="s">
        <v>36</v>
      </c>
      <c r="E52" s="3" t="s">
        <v>81</v>
      </c>
      <c r="F52" s="3" t="s">
        <v>10</v>
      </c>
      <c r="G52" s="3" t="s">
        <v>623</v>
      </c>
      <c r="H52" s="13">
        <v>2009</v>
      </c>
      <c r="I52" s="13" t="s">
        <v>623</v>
      </c>
      <c r="J52" s="10">
        <f xml:space="preserve"> 1263672 * 1000</f>
        <v>1263672000</v>
      </c>
      <c r="K52" s="3" t="s">
        <v>763</v>
      </c>
      <c r="L52" s="3" t="s">
        <v>793</v>
      </c>
      <c r="M52" s="3" t="s">
        <v>794</v>
      </c>
      <c r="N52" s="3" t="s">
        <v>795</v>
      </c>
      <c r="O52" s="3" t="s">
        <v>796</v>
      </c>
      <c r="P52" s="3"/>
      <c r="Q52" s="3"/>
      <c r="R52" s="3" t="s">
        <v>797</v>
      </c>
      <c r="S52" s="3" t="s">
        <v>798</v>
      </c>
      <c r="T52" s="3"/>
      <c r="U52" s="3"/>
      <c r="V52" s="3"/>
      <c r="W52" s="10">
        <f>IF( J52="s.i", "s.i", IF(ISBLANK(J52),"Actualizando información",IFERROR(J52 / VLOOKUP(A52,Deflactor!$G$3:$H$64,2,0),"Revisar error" )))</f>
        <v>1014623623.3354664</v>
      </c>
      <c r="AR52" s="34"/>
      <c r="AT52" s="46">
        <f>'Notas reunion'!T36</f>
        <v>1263672000</v>
      </c>
      <c r="AU52" s="54">
        <f xml:space="preserve"> IFERROR(ROUND(AT52 / VLOOKUP(A52,Tabla1[#All],2,0),0),"s.i")</f>
        <v>1973591</v>
      </c>
      <c r="AV52" s="33">
        <f xml:space="preserve"> IF(AU52="s.i", "s.i", IF(AND(AU52&gt;=Deflactor!$BQ$298,AU52&lt;Deflactor!$BQ$299), Deflactor!$BP$298, IF(AND(AU52&gt;=Deflactor!$BQ$299,AU52&lt;Deflactor!$BQ$300), Deflactor!$BP$299, IF(AND(AU52&gt;=Deflactor!$BQ$300,AU52&lt;Deflactor!$BQ$301), Deflactor!$BP$300, IF(AND(AU52&gt;=Deflactor!$BQ$301,AU52&lt;Deflactor!$BQ$302), Deflactor!$BP$301, IF(AND(AU52&gt;=Deflactor!$BQ$302,AU52&lt;Deflactor!$BQ$303), Deflactor!$BP$302, IF(AND(AU52&gt;=Deflactor!$BQ$303,AU52&lt;Deflactor!$BQ$304), Deflactor!$BP$303, IF(AND(AU52&gt;=Deflactor!$BQ$304,AU52&lt;Deflactor!$BQ$305), Deflactor!$BP$304, IF(AND(AU52&gt;=Deflactor!$BQ$305,AU52&lt;Deflactor!$BQ$306), Deflactor!$BP$305, IF(AND(AU52&gt;=Deflactor!$BQ$306,AU52&lt;Deflactor!$BQ$307), Deflactor!$BP$306, Deflactor!$BP$307) ) ) ) ) ) ) ) ) )</f>
        <v>1</v>
      </c>
      <c r="AW52" s="57" t="str">
        <f>+IFERROR(VLOOKUP(AV52,Deflactor!$BP$298:$BU$307,6,0),"")</f>
        <v>2 millones USD y menos</v>
      </c>
    </row>
    <row r="53" spans="1:49" x14ac:dyDescent="0.3">
      <c r="A53" s="3">
        <v>2018</v>
      </c>
      <c r="B53" s="3" t="s">
        <v>82</v>
      </c>
      <c r="C53" s="3" t="s">
        <v>7</v>
      </c>
      <c r="D53" s="3" t="s">
        <v>36</v>
      </c>
      <c r="E53" s="3" t="s">
        <v>81</v>
      </c>
      <c r="F53" s="3" t="s">
        <v>14</v>
      </c>
      <c r="G53" s="3" t="s">
        <v>623</v>
      </c>
      <c r="H53" s="13">
        <v>2009</v>
      </c>
      <c r="I53" s="13" t="s">
        <v>623</v>
      </c>
      <c r="J53" s="10">
        <f xml:space="preserve"> 4983191 * 1000</f>
        <v>4983191000</v>
      </c>
      <c r="K53" s="3" t="s">
        <v>1665</v>
      </c>
      <c r="L53" s="3" t="s">
        <v>799</v>
      </c>
      <c r="M53" s="3" t="s">
        <v>800</v>
      </c>
      <c r="N53" s="3" t="s">
        <v>801</v>
      </c>
      <c r="O53" s="3" t="s">
        <v>802</v>
      </c>
      <c r="P53" s="3" t="s">
        <v>804</v>
      </c>
      <c r="Q53" s="3"/>
      <c r="R53" s="3" t="s">
        <v>803</v>
      </c>
      <c r="S53" s="3"/>
      <c r="T53" s="3"/>
      <c r="U53" s="3"/>
      <c r="V53" s="3"/>
      <c r="W53" s="10">
        <f>IF( J53="s.i", "s.i", IF(ISBLANK(J53),"Actualizando información",IFERROR(J53 / VLOOKUP(A53,Deflactor!$G$3:$H$64,2,0),"Revisar error" )))</f>
        <v>4001088342.6970654</v>
      </c>
      <c r="AR53" s="10">
        <f xml:space="preserve"> 4983191 * 1000</f>
        <v>4983191000</v>
      </c>
      <c r="AT53" s="46">
        <f t="shared" si="0"/>
        <v>4983191000</v>
      </c>
      <c r="AU53" s="54">
        <f xml:space="preserve"> IFERROR(ROUND(AT53 / VLOOKUP(A53,Tabla1[#All],2,0),0),"s.i")</f>
        <v>7782700</v>
      </c>
      <c r="AV53" s="33">
        <f xml:space="preserve"> IF(AU53="s.i", "s.i", IF(AND(AU53&gt;=Deflactor!$BQ$298,AU53&lt;Deflactor!$BQ$299), Deflactor!$BP$298, IF(AND(AU53&gt;=Deflactor!$BQ$299,AU53&lt;Deflactor!$BQ$300), Deflactor!$BP$299, IF(AND(AU53&gt;=Deflactor!$BQ$300,AU53&lt;Deflactor!$BQ$301), Deflactor!$BP$300, IF(AND(AU53&gt;=Deflactor!$BQ$301,AU53&lt;Deflactor!$BQ$302), Deflactor!$BP$301, IF(AND(AU53&gt;=Deflactor!$BQ$302,AU53&lt;Deflactor!$BQ$303), Deflactor!$BP$302, IF(AND(AU53&gt;=Deflactor!$BQ$303,AU53&lt;Deflactor!$BQ$304), Deflactor!$BP$303, IF(AND(AU53&gt;=Deflactor!$BQ$304,AU53&lt;Deflactor!$BQ$305), Deflactor!$BP$304, IF(AND(AU53&gt;=Deflactor!$BQ$305,AU53&lt;Deflactor!$BQ$306), Deflactor!$BP$305, IF(AND(AU53&gt;=Deflactor!$BQ$306,AU53&lt;Deflactor!$BQ$307), Deflactor!$BP$306, Deflactor!$BP$307) ) ) ) ) ) ) ) ) )</f>
        <v>4</v>
      </c>
      <c r="AW53" s="57" t="str">
        <f>+IFERROR(VLOOKUP(AV53,Deflactor!$BP$298:$BU$307,6,0),"")</f>
        <v>7,5 a 10 millones USD</v>
      </c>
    </row>
    <row r="54" spans="1:49" x14ac:dyDescent="0.3">
      <c r="A54" s="3">
        <v>2018</v>
      </c>
      <c r="B54" s="3" t="s">
        <v>83</v>
      </c>
      <c r="C54" s="3" t="s">
        <v>7</v>
      </c>
      <c r="D54" s="3" t="s">
        <v>36</v>
      </c>
      <c r="E54" s="3" t="s">
        <v>81</v>
      </c>
      <c r="F54" s="3" t="s">
        <v>27</v>
      </c>
      <c r="G54" s="3" t="s">
        <v>623</v>
      </c>
      <c r="H54" s="13">
        <v>2009</v>
      </c>
      <c r="I54" s="13" t="s">
        <v>623</v>
      </c>
      <c r="J54" s="10">
        <f xml:space="preserve"> 10259 * 1000000</f>
        <v>10259000000</v>
      </c>
      <c r="K54" s="3" t="s">
        <v>1046</v>
      </c>
      <c r="L54" s="3" t="s">
        <v>805</v>
      </c>
      <c r="M54" s="3" t="s">
        <v>808</v>
      </c>
      <c r="N54" s="3" t="s">
        <v>806</v>
      </c>
      <c r="O54" s="3" t="s">
        <v>807</v>
      </c>
      <c r="P54" s="3"/>
      <c r="Q54" s="3"/>
      <c r="R54" s="11" t="s">
        <v>809</v>
      </c>
      <c r="S54" s="3" t="s">
        <v>810</v>
      </c>
      <c r="T54" s="3" t="s">
        <v>811</v>
      </c>
      <c r="U54" s="3" t="s">
        <v>1606</v>
      </c>
      <c r="V54" s="3"/>
      <c r="W54" s="10">
        <f>IF( J54="s.i", "s.i", IF(ISBLANK(J54),"Actualizando información",IFERROR(J54 / VLOOKUP(A54,Deflactor!$G$3:$H$64,2,0),"Revisar error" )))</f>
        <v>8237124627.117281</v>
      </c>
      <c r="AR54" s="10">
        <f xml:space="preserve"> 10050435 * 1000</f>
        <v>10050435000</v>
      </c>
      <c r="AT54" s="46">
        <f t="shared" si="0"/>
        <v>10050435000</v>
      </c>
      <c r="AU54" s="54">
        <f xml:space="preserve"> IFERROR(ROUND(AT54 / VLOOKUP(A54,Tabla1[#All],2,0),0),"s.i")</f>
        <v>15696673</v>
      </c>
      <c r="AV54" s="33">
        <f xml:space="preserve"> IF(AU54="s.i", "s.i", IF(AND(AU54&gt;=Deflactor!$BQ$298,AU54&lt;Deflactor!$BQ$299), Deflactor!$BP$298, IF(AND(AU54&gt;=Deflactor!$BQ$299,AU54&lt;Deflactor!$BQ$300), Deflactor!$BP$299, IF(AND(AU54&gt;=Deflactor!$BQ$300,AU54&lt;Deflactor!$BQ$301), Deflactor!$BP$300, IF(AND(AU54&gt;=Deflactor!$BQ$301,AU54&lt;Deflactor!$BQ$302), Deflactor!$BP$301, IF(AND(AU54&gt;=Deflactor!$BQ$302,AU54&lt;Deflactor!$BQ$303), Deflactor!$BP$302, IF(AND(AU54&gt;=Deflactor!$BQ$303,AU54&lt;Deflactor!$BQ$304), Deflactor!$BP$303, IF(AND(AU54&gt;=Deflactor!$BQ$304,AU54&lt;Deflactor!$BQ$305), Deflactor!$BP$304, IF(AND(AU54&gt;=Deflactor!$BQ$305,AU54&lt;Deflactor!$BQ$306), Deflactor!$BP$305, IF(AND(AU54&gt;=Deflactor!$BQ$306,AU54&lt;Deflactor!$BQ$307), Deflactor!$BP$306, Deflactor!$BP$307) ) ) ) ) ) ) ) ) )</f>
        <v>6</v>
      </c>
      <c r="AW54" s="57" t="str">
        <f>+IFERROR(VLOOKUP(AV54,Deflactor!$BP$298:$BU$307,6,0),"")</f>
        <v>15 a 20 millones USD</v>
      </c>
    </row>
    <row r="55" spans="1:49" x14ac:dyDescent="0.3">
      <c r="A55" s="3">
        <v>2018</v>
      </c>
      <c r="B55" s="3" t="s">
        <v>84</v>
      </c>
      <c r="C55" s="3" t="s">
        <v>7</v>
      </c>
      <c r="D55" s="3" t="s">
        <v>36</v>
      </c>
      <c r="E55" s="3" t="s">
        <v>81</v>
      </c>
      <c r="F55" s="3" t="s">
        <v>10</v>
      </c>
      <c r="G55" s="3" t="s">
        <v>623</v>
      </c>
      <c r="H55" s="13">
        <v>2015</v>
      </c>
      <c r="I55" s="13" t="s">
        <v>623</v>
      </c>
      <c r="J55" s="10">
        <f xml:space="preserve"> 34248 * 1000000</f>
        <v>34248000000</v>
      </c>
      <c r="K55" s="3" t="s">
        <v>1046</v>
      </c>
      <c r="L55" s="3" t="s">
        <v>805</v>
      </c>
      <c r="M55" s="3" t="s">
        <v>808</v>
      </c>
      <c r="N55" s="3" t="s">
        <v>806</v>
      </c>
      <c r="O55" s="3" t="s">
        <v>807</v>
      </c>
      <c r="P55" s="3"/>
      <c r="Q55" s="3"/>
      <c r="R55" s="11" t="s">
        <v>809</v>
      </c>
      <c r="S55" s="3" t="s">
        <v>810</v>
      </c>
      <c r="T55" s="3" t="s">
        <v>811</v>
      </c>
      <c r="U55" s="3" t="s">
        <v>1606</v>
      </c>
      <c r="V55" s="3"/>
      <c r="W55" s="10">
        <f>IF( J55="s.i", "s.i", IF(ISBLANK(J55),"Actualizando información",IFERROR(J55 / VLOOKUP(A55,Deflactor!$G$3:$H$64,2,0),"Revisar error" )))</f>
        <v>27498298492.008251</v>
      </c>
      <c r="AR55" s="10">
        <f xml:space="preserve"> 33552627 * 1000</f>
        <v>33552627000</v>
      </c>
      <c r="AT55" s="46">
        <f t="shared" si="0"/>
        <v>33552627000</v>
      </c>
      <c r="AU55" s="54">
        <f xml:space="preserve"> IFERROR(ROUND(AT55 / VLOOKUP(A55,Tabla1[#All],2,0),0),"s.i")</f>
        <v>52402172</v>
      </c>
      <c r="AV55" s="33">
        <f xml:space="preserve"> IF(AU55="s.i", "s.i", IF(AND(AU55&gt;=Deflactor!$BQ$298,AU55&lt;Deflactor!$BQ$299), Deflactor!$BP$298, IF(AND(AU55&gt;=Deflactor!$BQ$299,AU55&lt;Deflactor!$BQ$300), Deflactor!$BP$299, IF(AND(AU55&gt;=Deflactor!$BQ$300,AU55&lt;Deflactor!$BQ$301), Deflactor!$BP$300, IF(AND(AU55&gt;=Deflactor!$BQ$301,AU55&lt;Deflactor!$BQ$302), Deflactor!$BP$301, IF(AND(AU55&gt;=Deflactor!$BQ$302,AU55&lt;Deflactor!$BQ$303), Deflactor!$BP$302, IF(AND(AU55&gt;=Deflactor!$BQ$303,AU55&lt;Deflactor!$BQ$304), Deflactor!$BP$303, IF(AND(AU55&gt;=Deflactor!$BQ$304,AU55&lt;Deflactor!$BQ$305), Deflactor!$BP$304, IF(AND(AU55&gt;=Deflactor!$BQ$305,AU55&lt;Deflactor!$BQ$306), Deflactor!$BP$305, IF(AND(AU55&gt;=Deflactor!$BQ$306,AU55&lt;Deflactor!$BQ$307), Deflactor!$BP$306, Deflactor!$BP$307) ) ) ) ) ) ) ) ) )</f>
        <v>9</v>
      </c>
      <c r="AW55" s="57" t="str">
        <f>+IFERROR(VLOOKUP(AV55,Deflactor!$BP$298:$BU$307,6,0),"")</f>
        <v>50 a 100 millones USD</v>
      </c>
    </row>
    <row r="56" spans="1:49" x14ac:dyDescent="0.3">
      <c r="A56" s="3">
        <v>2018</v>
      </c>
      <c r="B56" s="3" t="s">
        <v>85</v>
      </c>
      <c r="C56" s="3" t="s">
        <v>7</v>
      </c>
      <c r="D56" s="3" t="s">
        <v>40</v>
      </c>
      <c r="E56" s="3" t="s">
        <v>41</v>
      </c>
      <c r="F56" s="3" t="s">
        <v>10</v>
      </c>
      <c r="G56" s="3" t="s">
        <v>623</v>
      </c>
      <c r="H56" s="13">
        <v>2012</v>
      </c>
      <c r="I56" s="13" t="s">
        <v>623</v>
      </c>
      <c r="J56" s="10">
        <f xml:space="preserve"> 39178854 * 1000</f>
        <v>39178854000</v>
      </c>
      <c r="K56" s="3" t="s">
        <v>2285</v>
      </c>
      <c r="L56" s="3" t="s">
        <v>812</v>
      </c>
      <c r="M56" s="3" t="s">
        <v>813</v>
      </c>
      <c r="N56" s="3" t="s">
        <v>814</v>
      </c>
      <c r="O56" s="3" t="s">
        <v>815</v>
      </c>
      <c r="P56" s="3" t="s">
        <v>816</v>
      </c>
      <c r="Q56" s="3"/>
      <c r="R56" s="3" t="s">
        <v>817</v>
      </c>
      <c r="S56" s="3" t="s">
        <v>818</v>
      </c>
      <c r="T56" s="3" t="s">
        <v>819</v>
      </c>
      <c r="U56" s="3"/>
      <c r="V56" s="3"/>
      <c r="W56" s="10">
        <f>IF( J56="s.i", "s.i", IF(ISBLANK(J56),"Actualizando información",IFERROR(J56 / VLOOKUP(A56,Deflactor!$G$3:$H$64,2,0),"Revisar error" )))</f>
        <v>31457364572.144691</v>
      </c>
      <c r="AR56" s="10">
        <f xml:space="preserve"> 39954549 * 1000</f>
        <v>39954549000</v>
      </c>
      <c r="AT56" s="46">
        <f t="shared" si="0"/>
        <v>39954549000</v>
      </c>
      <c r="AU56" s="54">
        <f xml:space="preserve"> IFERROR(ROUND(AT56 / VLOOKUP(A56,Tabla1[#All],2,0),0),"s.i")</f>
        <v>62400632</v>
      </c>
      <c r="AV56" s="33">
        <f xml:space="preserve"> IF(AU56="s.i", "s.i", IF(AND(AU56&gt;=Deflactor!$BQ$298,AU56&lt;Deflactor!$BQ$299), Deflactor!$BP$298, IF(AND(AU56&gt;=Deflactor!$BQ$299,AU56&lt;Deflactor!$BQ$300), Deflactor!$BP$299, IF(AND(AU56&gt;=Deflactor!$BQ$300,AU56&lt;Deflactor!$BQ$301), Deflactor!$BP$300, IF(AND(AU56&gt;=Deflactor!$BQ$301,AU56&lt;Deflactor!$BQ$302), Deflactor!$BP$301, IF(AND(AU56&gt;=Deflactor!$BQ$302,AU56&lt;Deflactor!$BQ$303), Deflactor!$BP$302, IF(AND(AU56&gt;=Deflactor!$BQ$303,AU56&lt;Deflactor!$BQ$304), Deflactor!$BP$303, IF(AND(AU56&gt;=Deflactor!$BQ$304,AU56&lt;Deflactor!$BQ$305), Deflactor!$BP$304, IF(AND(AU56&gt;=Deflactor!$BQ$305,AU56&lt;Deflactor!$BQ$306), Deflactor!$BP$305, IF(AND(AU56&gt;=Deflactor!$BQ$306,AU56&lt;Deflactor!$BQ$307), Deflactor!$BP$306, Deflactor!$BP$307) ) ) ) ) ) ) ) ) )</f>
        <v>9</v>
      </c>
      <c r="AW56" s="57" t="str">
        <f>+IFERROR(VLOOKUP(AV56,Deflactor!$BP$298:$BU$307,6,0),"")</f>
        <v>50 a 100 millones USD</v>
      </c>
    </row>
    <row r="57" spans="1:49" x14ac:dyDescent="0.3">
      <c r="A57" s="3">
        <v>2017</v>
      </c>
      <c r="B57" s="3" t="s">
        <v>86</v>
      </c>
      <c r="C57" s="3" t="s">
        <v>7</v>
      </c>
      <c r="D57" s="3" t="s">
        <v>87</v>
      </c>
      <c r="E57" s="3" t="s">
        <v>88</v>
      </c>
      <c r="F57" s="3" t="s">
        <v>89</v>
      </c>
      <c r="G57" s="3" t="s">
        <v>723</v>
      </c>
      <c r="H57" s="13">
        <v>2013</v>
      </c>
      <c r="I57" s="13"/>
      <c r="J57" s="10">
        <f xml:space="preserve"> 13058655 * 1000000</f>
        <v>13058655000000</v>
      </c>
      <c r="K57" s="3" t="s">
        <v>1669</v>
      </c>
      <c r="L57" s="3" t="s">
        <v>1016</v>
      </c>
      <c r="M57" s="3" t="s">
        <v>1018</v>
      </c>
      <c r="N57" s="3" t="s">
        <v>1017</v>
      </c>
      <c r="O57" s="3" t="s">
        <v>1014</v>
      </c>
      <c r="P57" s="3" t="s">
        <v>1015</v>
      </c>
      <c r="Q57" s="3"/>
      <c r="R57" s="11" t="s">
        <v>1012</v>
      </c>
      <c r="S57" s="11" t="s">
        <v>1013</v>
      </c>
      <c r="T57" s="3"/>
      <c r="U57" s="3" t="s">
        <v>1198</v>
      </c>
      <c r="V57" s="3"/>
      <c r="W57" s="10">
        <f>IF( J57="s.i", "s.i", IF(ISBLANK(J57),"Actualizando información",IFERROR(J57 / VLOOKUP(A57,Deflactor!$G$3:$H$64,2,0),"Revisar error" )))</f>
        <v>10732511591624.725</v>
      </c>
      <c r="AR57" s="34">
        <f xml:space="preserve"> 11725662 * 1000</f>
        <v>11725662000</v>
      </c>
      <c r="AT57" s="46">
        <f t="shared" si="0"/>
        <v>11725662000</v>
      </c>
      <c r="AU57" s="54">
        <f xml:space="preserve"> IFERROR(ROUND(AT57 / VLOOKUP(A57,Tabla1[#All],2,0),0),"s.i")</f>
        <v>18058128</v>
      </c>
      <c r="AV57" s="33">
        <f xml:space="preserve"> IF(AU57="s.i", "s.i", IF(AND(AU57&gt;=Deflactor!$BQ$298,AU57&lt;Deflactor!$BQ$299), Deflactor!$BP$298, IF(AND(AU57&gt;=Deflactor!$BQ$299,AU57&lt;Deflactor!$BQ$300), Deflactor!$BP$299, IF(AND(AU57&gt;=Deflactor!$BQ$300,AU57&lt;Deflactor!$BQ$301), Deflactor!$BP$300, IF(AND(AU57&gt;=Deflactor!$BQ$301,AU57&lt;Deflactor!$BQ$302), Deflactor!$BP$301, IF(AND(AU57&gt;=Deflactor!$BQ$302,AU57&lt;Deflactor!$BQ$303), Deflactor!$BP$302, IF(AND(AU57&gt;=Deflactor!$BQ$303,AU57&lt;Deflactor!$BQ$304), Deflactor!$BP$303, IF(AND(AU57&gt;=Deflactor!$BQ$304,AU57&lt;Deflactor!$BQ$305), Deflactor!$BP$304, IF(AND(AU57&gt;=Deflactor!$BQ$305,AU57&lt;Deflactor!$BQ$306), Deflactor!$BP$305, IF(AND(AU57&gt;=Deflactor!$BQ$306,AU57&lt;Deflactor!$BQ$307), Deflactor!$BP$306, Deflactor!$BP$307) ) ) ) ) ) ) ) ) )</f>
        <v>6</v>
      </c>
      <c r="AW57" s="57" t="str">
        <f>+IFERROR(VLOOKUP(AV57,Deflactor!$BP$298:$BU$307,6,0),"")</f>
        <v>15 a 20 millones USD</v>
      </c>
    </row>
    <row r="58" spans="1:49" x14ac:dyDescent="0.3">
      <c r="A58" s="3">
        <v>2017</v>
      </c>
      <c r="B58" s="3" t="s">
        <v>90</v>
      </c>
      <c r="C58" s="3" t="s">
        <v>67</v>
      </c>
      <c r="D58" s="3" t="s">
        <v>32</v>
      </c>
      <c r="E58" s="3" t="s">
        <v>33</v>
      </c>
      <c r="F58" s="3" t="s">
        <v>10</v>
      </c>
      <c r="G58" s="3" t="s">
        <v>723</v>
      </c>
      <c r="H58" s="13">
        <v>2013</v>
      </c>
      <c r="I58" s="13"/>
      <c r="J58" s="10">
        <f xml:space="preserve"> 8868820 * 1000</f>
        <v>8868820000</v>
      </c>
      <c r="K58" s="3" t="s">
        <v>1653</v>
      </c>
      <c r="L58" s="3" t="s">
        <v>1136</v>
      </c>
      <c r="M58" s="3" t="s">
        <v>1135</v>
      </c>
      <c r="N58" s="3" t="s">
        <v>1137</v>
      </c>
      <c r="O58" s="3" t="s">
        <v>1138</v>
      </c>
      <c r="P58" s="3" t="s">
        <v>1139</v>
      </c>
      <c r="Q58" s="3"/>
      <c r="R58" s="11" t="s">
        <v>1133</v>
      </c>
      <c r="S58" s="11" t="s">
        <v>1134</v>
      </c>
      <c r="T58" s="3"/>
      <c r="U58" s="3"/>
      <c r="V58" s="3"/>
      <c r="W58" s="10">
        <f>IF( J58="s.i", "s.i", IF(ISBLANK(J58),"Actualizando información",IFERROR(J58 / VLOOKUP(A58,Deflactor!$G$3:$H$64,2,0),"Revisar error" )))</f>
        <v>7289013566.4073505</v>
      </c>
      <c r="AR58" s="10">
        <f xml:space="preserve"> 11322478 * 1000</f>
        <v>11322478000</v>
      </c>
      <c r="AT58" s="46">
        <f t="shared" si="0"/>
        <v>11322478000</v>
      </c>
      <c r="AU58" s="54">
        <f xml:space="preserve"> IFERROR(ROUND(AT58 / VLOOKUP(A58,Tabla1[#All],2,0),0),"s.i")</f>
        <v>17437203</v>
      </c>
      <c r="AV58" s="33">
        <f xml:space="preserve"> IF(AU58="s.i", "s.i", IF(AND(AU58&gt;=Deflactor!$BQ$298,AU58&lt;Deflactor!$BQ$299), Deflactor!$BP$298, IF(AND(AU58&gt;=Deflactor!$BQ$299,AU58&lt;Deflactor!$BQ$300), Deflactor!$BP$299, IF(AND(AU58&gt;=Deflactor!$BQ$300,AU58&lt;Deflactor!$BQ$301), Deflactor!$BP$300, IF(AND(AU58&gt;=Deflactor!$BQ$301,AU58&lt;Deflactor!$BQ$302), Deflactor!$BP$301, IF(AND(AU58&gt;=Deflactor!$BQ$302,AU58&lt;Deflactor!$BQ$303), Deflactor!$BP$302, IF(AND(AU58&gt;=Deflactor!$BQ$303,AU58&lt;Deflactor!$BQ$304), Deflactor!$BP$303, IF(AND(AU58&gt;=Deflactor!$BQ$304,AU58&lt;Deflactor!$BQ$305), Deflactor!$BP$304, IF(AND(AU58&gt;=Deflactor!$BQ$305,AU58&lt;Deflactor!$BQ$306), Deflactor!$BP$305, IF(AND(AU58&gt;=Deflactor!$BQ$306,AU58&lt;Deflactor!$BQ$307), Deflactor!$BP$306, Deflactor!$BP$307) ) ) ) ) ) ) ) ) )</f>
        <v>6</v>
      </c>
      <c r="AW58" s="57" t="str">
        <f>+IFERROR(VLOOKUP(AV58,Deflactor!$BP$298:$BU$307,6,0),"")</f>
        <v>15 a 20 millones USD</v>
      </c>
    </row>
    <row r="59" spans="1:49" x14ac:dyDescent="0.3">
      <c r="A59" s="3">
        <v>2017</v>
      </c>
      <c r="B59" s="3" t="s">
        <v>91</v>
      </c>
      <c r="C59" s="3" t="s">
        <v>92</v>
      </c>
      <c r="D59" s="3" t="s">
        <v>36</v>
      </c>
      <c r="E59" s="3" t="s">
        <v>37</v>
      </c>
      <c r="F59" s="3" t="s">
        <v>10</v>
      </c>
      <c r="G59" s="3" t="s">
        <v>723</v>
      </c>
      <c r="H59" s="13">
        <v>2014</v>
      </c>
      <c r="I59" s="13"/>
      <c r="J59" s="10">
        <f xml:space="preserve"> 16848165 * 1000</f>
        <v>16848165000</v>
      </c>
      <c r="K59" s="3" t="s">
        <v>1670</v>
      </c>
      <c r="L59" s="3" t="s">
        <v>1154</v>
      </c>
      <c r="M59" s="3" t="s">
        <v>1155</v>
      </c>
      <c r="N59" s="3" t="s">
        <v>1156</v>
      </c>
      <c r="O59" s="3" t="s">
        <v>1157</v>
      </c>
      <c r="P59" s="3" t="s">
        <v>1158</v>
      </c>
      <c r="Q59" s="3"/>
      <c r="R59" s="11" t="s">
        <v>1151</v>
      </c>
      <c r="S59" s="11" t="s">
        <v>1152</v>
      </c>
      <c r="T59" s="11" t="s">
        <v>1153</v>
      </c>
      <c r="U59" s="3"/>
      <c r="V59" s="3"/>
      <c r="W59" s="10">
        <f>IF( J59="s.i", "s.i", IF(ISBLANK(J59),"Actualizando información",IFERROR(J59 / VLOOKUP(A59,Deflactor!$G$3:$H$64,2,0),"Revisar error" )))</f>
        <v>13846994668.295162</v>
      </c>
      <c r="AR59" s="10">
        <f xml:space="preserve"> 13314863 * 1000</f>
        <v>13314863000</v>
      </c>
      <c r="AT59" s="46">
        <f t="shared" si="0"/>
        <v>13314863000</v>
      </c>
      <c r="AU59" s="54">
        <f xml:space="preserve"> IFERROR(ROUND(AT59 / VLOOKUP(A59,Tabla1[#All],2,0),0),"s.i")</f>
        <v>20505579</v>
      </c>
      <c r="AV59" s="33">
        <f xml:space="preserve"> IF(AU59="s.i", "s.i", IF(AND(AU59&gt;=Deflactor!$BQ$298,AU59&lt;Deflactor!$BQ$299), Deflactor!$BP$298, IF(AND(AU59&gt;=Deflactor!$BQ$299,AU59&lt;Deflactor!$BQ$300), Deflactor!$BP$299, IF(AND(AU59&gt;=Deflactor!$BQ$300,AU59&lt;Deflactor!$BQ$301), Deflactor!$BP$300, IF(AND(AU59&gt;=Deflactor!$BQ$301,AU59&lt;Deflactor!$BQ$302), Deflactor!$BP$301, IF(AND(AU59&gt;=Deflactor!$BQ$302,AU59&lt;Deflactor!$BQ$303), Deflactor!$BP$302, IF(AND(AU59&gt;=Deflactor!$BQ$303,AU59&lt;Deflactor!$BQ$304), Deflactor!$BP$303, IF(AND(AU59&gt;=Deflactor!$BQ$304,AU59&lt;Deflactor!$BQ$305), Deflactor!$BP$304, IF(AND(AU59&gt;=Deflactor!$BQ$305,AU59&lt;Deflactor!$BQ$306), Deflactor!$BP$305, IF(AND(AU59&gt;=Deflactor!$BQ$306,AU59&lt;Deflactor!$BQ$307), Deflactor!$BP$306, Deflactor!$BP$307) ) ) ) ) ) ) ) ) )</f>
        <v>7</v>
      </c>
      <c r="AW59" s="57" t="str">
        <f>+IFERROR(VLOOKUP(AV59,Deflactor!$BP$298:$BU$307,6,0),"")</f>
        <v>20 a 30 millones USD</v>
      </c>
    </row>
    <row r="60" spans="1:49" x14ac:dyDescent="0.3">
      <c r="A60" s="3">
        <v>2017</v>
      </c>
      <c r="B60" s="3" t="s">
        <v>93</v>
      </c>
      <c r="C60" s="3" t="s">
        <v>7</v>
      </c>
      <c r="D60" s="3" t="s">
        <v>36</v>
      </c>
      <c r="E60" s="3" t="s">
        <v>94</v>
      </c>
      <c r="F60" s="3" t="s">
        <v>95</v>
      </c>
      <c r="G60" s="3" t="s">
        <v>723</v>
      </c>
      <c r="H60" s="13">
        <v>1981</v>
      </c>
      <c r="I60" s="13"/>
      <c r="J60" s="10">
        <f xml:space="preserve"> 90298449 * 1000</f>
        <v>90298449000</v>
      </c>
      <c r="K60" s="3" t="s">
        <v>2301</v>
      </c>
      <c r="L60" s="3" t="s">
        <v>1164</v>
      </c>
      <c r="M60" s="3" t="s">
        <v>1165</v>
      </c>
      <c r="N60" s="3" t="s">
        <v>1166</v>
      </c>
      <c r="O60" s="3" t="s">
        <v>1167</v>
      </c>
      <c r="P60" s="3" t="s">
        <v>1168</v>
      </c>
      <c r="Q60" s="3" t="s">
        <v>1169</v>
      </c>
      <c r="R60" s="11" t="s">
        <v>1159</v>
      </c>
      <c r="S60" s="11" t="s">
        <v>1160</v>
      </c>
      <c r="T60" s="3"/>
      <c r="U60" s="3" t="s">
        <v>96</v>
      </c>
      <c r="V60" s="3"/>
      <c r="W60" s="10">
        <f>IF( J60="s.i", "s.i", IF(ISBLANK(J60),"Actualizando información",IFERROR(J60 / VLOOKUP(A60,Deflactor!$G$3:$H$64,2,0),"Revisar error" )))</f>
        <v>74213550369.332367</v>
      </c>
      <c r="AR60" s="10">
        <f xml:space="preserve"> 51931282 * 1000</f>
        <v>51931282000</v>
      </c>
      <c r="AT60" s="46">
        <f t="shared" si="0"/>
        <v>51931282000</v>
      </c>
      <c r="AU60" s="54">
        <f xml:space="preserve"> IFERROR(ROUND(AT60 / VLOOKUP(A60,Tabla1[#All],2,0),0),"s.i")</f>
        <v>79976867</v>
      </c>
      <c r="AV60" s="33">
        <f xml:space="preserve"> IF(AU60="s.i", "s.i", IF(AND(AU60&gt;=Deflactor!$BQ$298,AU60&lt;Deflactor!$BQ$299), Deflactor!$BP$298, IF(AND(AU60&gt;=Deflactor!$BQ$299,AU60&lt;Deflactor!$BQ$300), Deflactor!$BP$299, IF(AND(AU60&gt;=Deflactor!$BQ$300,AU60&lt;Deflactor!$BQ$301), Deflactor!$BP$300, IF(AND(AU60&gt;=Deflactor!$BQ$301,AU60&lt;Deflactor!$BQ$302), Deflactor!$BP$301, IF(AND(AU60&gt;=Deflactor!$BQ$302,AU60&lt;Deflactor!$BQ$303), Deflactor!$BP$302, IF(AND(AU60&gt;=Deflactor!$BQ$303,AU60&lt;Deflactor!$BQ$304), Deflactor!$BP$303, IF(AND(AU60&gt;=Deflactor!$BQ$304,AU60&lt;Deflactor!$BQ$305), Deflactor!$BP$304, IF(AND(AU60&gt;=Deflactor!$BQ$305,AU60&lt;Deflactor!$BQ$306), Deflactor!$BP$305, IF(AND(AU60&gt;=Deflactor!$BQ$306,AU60&lt;Deflactor!$BQ$307), Deflactor!$BP$306, Deflactor!$BP$307) ) ) ) ) ) ) ) ) )</f>
        <v>9</v>
      </c>
      <c r="AW60" s="57" t="str">
        <f>+IFERROR(VLOOKUP(AV60,Deflactor!$BP$298:$BU$307,6,0),"")</f>
        <v>50 a 100 millones USD</v>
      </c>
    </row>
    <row r="61" spans="1:49" x14ac:dyDescent="0.3">
      <c r="A61" s="3">
        <v>2017</v>
      </c>
      <c r="B61" s="3" t="s">
        <v>96</v>
      </c>
      <c r="C61" s="3" t="s">
        <v>7</v>
      </c>
      <c r="D61" s="3" t="s">
        <v>36</v>
      </c>
      <c r="E61" s="3" t="s">
        <v>94</v>
      </c>
      <c r="F61" s="3" t="s">
        <v>95</v>
      </c>
      <c r="G61" s="3" t="s">
        <v>723</v>
      </c>
      <c r="H61" s="13">
        <v>1981</v>
      </c>
      <c r="I61" s="13"/>
      <c r="J61" s="10">
        <f xml:space="preserve"> 90298449 * 1000</f>
        <v>90298449000</v>
      </c>
      <c r="K61" s="3" t="s">
        <v>2301</v>
      </c>
      <c r="L61" s="3" t="s">
        <v>1164</v>
      </c>
      <c r="M61" s="3" t="s">
        <v>1165</v>
      </c>
      <c r="N61" s="3" t="s">
        <v>1166</v>
      </c>
      <c r="O61" s="3" t="s">
        <v>1167</v>
      </c>
      <c r="P61" s="3" t="s">
        <v>1168</v>
      </c>
      <c r="Q61" s="3" t="s">
        <v>1169</v>
      </c>
      <c r="R61" s="11" t="s">
        <v>1161</v>
      </c>
      <c r="S61" s="11" t="s">
        <v>1162</v>
      </c>
      <c r="T61" s="11" t="s">
        <v>1163</v>
      </c>
      <c r="U61" s="3" t="s">
        <v>96</v>
      </c>
      <c r="V61" s="3"/>
      <c r="W61" s="10">
        <f>IF( J61="s.i", "s.i", IF(ISBLANK(J61),"Actualizando información",IFERROR(J61 / VLOOKUP(A61,Deflactor!$G$3:$H$64,2,0),"Revisar error" )))</f>
        <v>74213550369.332367</v>
      </c>
      <c r="AR61" s="34">
        <f xml:space="preserve"> 36909596 * 1000</f>
        <v>36909596000</v>
      </c>
      <c r="AT61" s="46">
        <f t="shared" si="0"/>
        <v>36909596000</v>
      </c>
      <c r="AU61" s="54">
        <f xml:space="preserve"> IFERROR(ROUND(AT61 / VLOOKUP(A61,Tabla1[#All],2,0),0),"s.i")</f>
        <v>56842692</v>
      </c>
      <c r="AV61" s="33">
        <f xml:space="preserve"> IF(AU61="s.i", "s.i", IF(AND(AU61&gt;=Deflactor!$BQ$298,AU61&lt;Deflactor!$BQ$299), Deflactor!$BP$298, IF(AND(AU61&gt;=Deflactor!$BQ$299,AU61&lt;Deflactor!$BQ$300), Deflactor!$BP$299, IF(AND(AU61&gt;=Deflactor!$BQ$300,AU61&lt;Deflactor!$BQ$301), Deflactor!$BP$300, IF(AND(AU61&gt;=Deflactor!$BQ$301,AU61&lt;Deflactor!$BQ$302), Deflactor!$BP$301, IF(AND(AU61&gt;=Deflactor!$BQ$302,AU61&lt;Deflactor!$BQ$303), Deflactor!$BP$302, IF(AND(AU61&gt;=Deflactor!$BQ$303,AU61&lt;Deflactor!$BQ$304), Deflactor!$BP$303, IF(AND(AU61&gt;=Deflactor!$BQ$304,AU61&lt;Deflactor!$BQ$305), Deflactor!$BP$304, IF(AND(AU61&gt;=Deflactor!$BQ$305,AU61&lt;Deflactor!$BQ$306), Deflactor!$BP$305, IF(AND(AU61&gt;=Deflactor!$BQ$306,AU61&lt;Deflactor!$BQ$307), Deflactor!$BP$306, Deflactor!$BP$307) ) ) ) ) ) ) ) ) )</f>
        <v>9</v>
      </c>
      <c r="AW61" s="57" t="str">
        <f>+IFERROR(VLOOKUP(AV61,Deflactor!$BP$298:$BU$307,6,0),"")</f>
        <v>50 a 100 millones USD</v>
      </c>
    </row>
    <row r="62" spans="1:49" x14ac:dyDescent="0.3">
      <c r="A62" s="3">
        <v>2017</v>
      </c>
      <c r="B62" s="3" t="s">
        <v>97</v>
      </c>
      <c r="C62" s="3" t="s">
        <v>7</v>
      </c>
      <c r="D62" s="3" t="s">
        <v>36</v>
      </c>
      <c r="E62" s="3" t="s">
        <v>98</v>
      </c>
      <c r="F62" s="3" t="s">
        <v>95</v>
      </c>
      <c r="G62" s="3" t="s">
        <v>623</v>
      </c>
      <c r="H62" s="13">
        <v>1990</v>
      </c>
      <c r="I62" s="3" t="s">
        <v>623</v>
      </c>
      <c r="J62" s="10">
        <f xml:space="preserve"> 13089972 * 1000</f>
        <v>13089972000</v>
      </c>
      <c r="K62" s="3" t="s">
        <v>2287</v>
      </c>
      <c r="L62" s="3" t="s">
        <v>1173</v>
      </c>
      <c r="M62" s="3" t="s">
        <v>1174</v>
      </c>
      <c r="N62" s="3" t="s">
        <v>1175</v>
      </c>
      <c r="O62" s="3" t="s">
        <v>1176</v>
      </c>
      <c r="P62" s="3" t="s">
        <v>1177</v>
      </c>
      <c r="Q62" s="3"/>
      <c r="R62" s="11" t="s">
        <v>1170</v>
      </c>
      <c r="S62" s="11" t="s">
        <v>1171</v>
      </c>
      <c r="T62" s="11" t="s">
        <v>1172</v>
      </c>
      <c r="U62" s="3" t="s">
        <v>1178</v>
      </c>
      <c r="V62" s="3"/>
      <c r="W62" s="10">
        <f>IF( J62="s.i", "s.i", IF(ISBLANK(J62),"Actualizando información",IFERROR(J62 / VLOOKUP(A62,Deflactor!$G$3:$H$64,2,0),"Revisar error" )))</f>
        <v>10758250081.960438</v>
      </c>
      <c r="AR62" s="34">
        <f xml:space="preserve"> 10060686 * 1000</f>
        <v>10060686000</v>
      </c>
      <c r="AT62" s="46">
        <f t="shared" si="0"/>
        <v>10060686000</v>
      </c>
      <c r="AU62" s="54">
        <f xml:space="preserve"> IFERROR(ROUND(AT62 / VLOOKUP(A62,Tabla1[#All],2,0),0),"s.i")</f>
        <v>15493978</v>
      </c>
      <c r="AV62" s="33">
        <f xml:space="preserve"> IF(AU62="s.i", "s.i", IF(AND(AU62&gt;=Deflactor!$BQ$298,AU62&lt;Deflactor!$BQ$299), Deflactor!$BP$298, IF(AND(AU62&gt;=Deflactor!$BQ$299,AU62&lt;Deflactor!$BQ$300), Deflactor!$BP$299, IF(AND(AU62&gt;=Deflactor!$BQ$300,AU62&lt;Deflactor!$BQ$301), Deflactor!$BP$300, IF(AND(AU62&gt;=Deflactor!$BQ$301,AU62&lt;Deflactor!$BQ$302), Deflactor!$BP$301, IF(AND(AU62&gt;=Deflactor!$BQ$302,AU62&lt;Deflactor!$BQ$303), Deflactor!$BP$302, IF(AND(AU62&gt;=Deflactor!$BQ$303,AU62&lt;Deflactor!$BQ$304), Deflactor!$BP$303, IF(AND(AU62&gt;=Deflactor!$BQ$304,AU62&lt;Deflactor!$BQ$305), Deflactor!$BP$304, IF(AND(AU62&gt;=Deflactor!$BQ$305,AU62&lt;Deflactor!$BQ$306), Deflactor!$BP$305, IF(AND(AU62&gt;=Deflactor!$BQ$306,AU62&lt;Deflactor!$BQ$307), Deflactor!$BP$306, Deflactor!$BP$307) ) ) ) ) ) ) ) ) )</f>
        <v>6</v>
      </c>
      <c r="AW62" s="57" t="str">
        <f>+IFERROR(VLOOKUP(AV62,Deflactor!$BP$298:$BU$307,6,0),"")</f>
        <v>15 a 20 millones USD</v>
      </c>
    </row>
    <row r="63" spans="1:49" x14ac:dyDescent="0.3">
      <c r="A63" s="3">
        <v>2017</v>
      </c>
      <c r="B63" s="3" t="s">
        <v>99</v>
      </c>
      <c r="C63" s="3" t="s">
        <v>7</v>
      </c>
      <c r="D63" s="3" t="s">
        <v>36</v>
      </c>
      <c r="E63" s="3" t="s">
        <v>81</v>
      </c>
      <c r="F63" s="3" t="s">
        <v>89</v>
      </c>
      <c r="G63" s="3" t="s">
        <v>723</v>
      </c>
      <c r="H63" s="13">
        <v>1981</v>
      </c>
      <c r="I63" s="13"/>
      <c r="J63" s="10">
        <f xml:space="preserve"> 27041864 * 1000000</f>
        <v>27041864000000</v>
      </c>
      <c r="K63" s="3" t="s">
        <v>1789</v>
      </c>
      <c r="L63" s="3" t="s">
        <v>1184</v>
      </c>
      <c r="M63" s="3" t="s">
        <v>1185</v>
      </c>
      <c r="N63" s="3" t="s">
        <v>1183</v>
      </c>
      <c r="O63" s="3" t="s">
        <v>1186</v>
      </c>
      <c r="P63" s="3" t="s">
        <v>1187</v>
      </c>
      <c r="Q63" s="3" t="s">
        <v>1182</v>
      </c>
      <c r="R63" s="11" t="s">
        <v>1179</v>
      </c>
      <c r="S63" s="11" t="s">
        <v>1180</v>
      </c>
      <c r="T63" s="11" t="s">
        <v>1181</v>
      </c>
      <c r="U63" s="3" t="s">
        <v>99</v>
      </c>
      <c r="V63" s="3"/>
      <c r="W63" s="10">
        <f>IF( J63="s.i", "s.i", IF(ISBLANK(J63),"Actualizando información",IFERROR(J63 / VLOOKUP(A63,Deflactor!$G$3:$H$64,2,0),"Revisar error" )))</f>
        <v>22224886011548.609</v>
      </c>
      <c r="AR63" s="34">
        <f xml:space="preserve"> 26854830 * 1000</f>
        <v>26854830000</v>
      </c>
      <c r="AT63" s="46">
        <f t="shared" si="0"/>
        <v>26854830000</v>
      </c>
      <c r="AU63" s="54">
        <f xml:space="preserve"> IFERROR(ROUND(AT63 / VLOOKUP(A63,Tabla1[#All],2,0),0),"s.i")</f>
        <v>41357831</v>
      </c>
      <c r="AV63" s="33">
        <f xml:space="preserve"> IF(AU63="s.i", "s.i", IF(AND(AU63&gt;=Deflactor!$BQ$298,AU63&lt;Deflactor!$BQ$299), Deflactor!$BP$298, IF(AND(AU63&gt;=Deflactor!$BQ$299,AU63&lt;Deflactor!$BQ$300), Deflactor!$BP$299, IF(AND(AU63&gt;=Deflactor!$BQ$300,AU63&lt;Deflactor!$BQ$301), Deflactor!$BP$300, IF(AND(AU63&gt;=Deflactor!$BQ$301,AU63&lt;Deflactor!$BQ$302), Deflactor!$BP$301, IF(AND(AU63&gt;=Deflactor!$BQ$302,AU63&lt;Deflactor!$BQ$303), Deflactor!$BP$302, IF(AND(AU63&gt;=Deflactor!$BQ$303,AU63&lt;Deflactor!$BQ$304), Deflactor!$BP$303, IF(AND(AU63&gt;=Deflactor!$BQ$304,AU63&lt;Deflactor!$BQ$305), Deflactor!$BP$304, IF(AND(AU63&gt;=Deflactor!$BQ$305,AU63&lt;Deflactor!$BQ$306), Deflactor!$BP$305, IF(AND(AU63&gt;=Deflactor!$BQ$306,AU63&lt;Deflactor!$BQ$307), Deflactor!$BP$306, Deflactor!$BP$307) ) ) ) ) ) ) ) ) )</f>
        <v>8</v>
      </c>
      <c r="AW63" s="57" t="str">
        <f>+IFERROR(VLOOKUP(AV63,Deflactor!$BP$298:$BU$307,6,0),"")</f>
        <v>30 a 50 millones USD</v>
      </c>
    </row>
    <row r="64" spans="1:49" x14ac:dyDescent="0.3">
      <c r="A64" s="3">
        <v>2017</v>
      </c>
      <c r="B64" s="3" t="s">
        <v>100</v>
      </c>
      <c r="C64" s="3" t="s">
        <v>7</v>
      </c>
      <c r="D64" s="3" t="s">
        <v>87</v>
      </c>
      <c r="E64" s="3" t="s">
        <v>88</v>
      </c>
      <c r="F64" s="3" t="s">
        <v>89</v>
      </c>
      <c r="G64" s="3" t="s">
        <v>723</v>
      </c>
      <c r="H64" s="13">
        <v>2015</v>
      </c>
      <c r="I64" s="13"/>
      <c r="J64" s="10">
        <f xml:space="preserve"> 20334675 * 1000000</f>
        <v>20334675000000</v>
      </c>
      <c r="K64" s="3" t="s">
        <v>1667</v>
      </c>
      <c r="L64" s="3" t="s">
        <v>1019</v>
      </c>
      <c r="M64" s="3" t="s">
        <v>1020</v>
      </c>
      <c r="N64" s="3" t="s">
        <v>1021</v>
      </c>
      <c r="O64" s="3" t="s">
        <v>1014</v>
      </c>
      <c r="P64" s="3" t="s">
        <v>1015</v>
      </c>
      <c r="Q64" s="3"/>
      <c r="R64" s="11" t="s">
        <v>1031</v>
      </c>
      <c r="S64" s="11" t="s">
        <v>1032</v>
      </c>
      <c r="T64" s="11" t="s">
        <v>1033</v>
      </c>
      <c r="U64" s="3" t="s">
        <v>1198</v>
      </c>
      <c r="V64" s="3"/>
      <c r="W64" s="10">
        <f>IF( J64="s.i", "s.i", IF(ISBLANK(J64),"Actualizando información",IFERROR(J64 / VLOOKUP(A64,Deflactor!$G$3:$H$64,2,0),"Revisar error" )))</f>
        <v>16712451255464.02</v>
      </c>
      <c r="AR64" s="34">
        <f xml:space="preserve"> 19446013 * 1000</f>
        <v>19446013000</v>
      </c>
      <c r="AT64" s="46">
        <f t="shared" si="0"/>
        <v>19446013000</v>
      </c>
      <c r="AU64" s="54">
        <f xml:space="preserve"> IFERROR(ROUND(AT64 / VLOOKUP(A64,Tabla1[#All],2,0),0),"s.i")</f>
        <v>29947868</v>
      </c>
      <c r="AV64" s="33">
        <f xml:space="preserve"> IF(AU64="s.i", "s.i", IF(AND(AU64&gt;=Deflactor!$BQ$298,AU64&lt;Deflactor!$BQ$299), Deflactor!$BP$298, IF(AND(AU64&gt;=Deflactor!$BQ$299,AU64&lt;Deflactor!$BQ$300), Deflactor!$BP$299, IF(AND(AU64&gt;=Deflactor!$BQ$300,AU64&lt;Deflactor!$BQ$301), Deflactor!$BP$300, IF(AND(AU64&gt;=Deflactor!$BQ$301,AU64&lt;Deflactor!$BQ$302), Deflactor!$BP$301, IF(AND(AU64&gt;=Deflactor!$BQ$302,AU64&lt;Deflactor!$BQ$303), Deflactor!$BP$302, IF(AND(AU64&gt;=Deflactor!$BQ$303,AU64&lt;Deflactor!$BQ$304), Deflactor!$BP$303, IF(AND(AU64&gt;=Deflactor!$BQ$304,AU64&lt;Deflactor!$BQ$305), Deflactor!$BP$304, IF(AND(AU64&gt;=Deflactor!$BQ$305,AU64&lt;Deflactor!$BQ$306), Deflactor!$BP$305, IF(AND(AU64&gt;=Deflactor!$BQ$306,AU64&lt;Deflactor!$BQ$307), Deflactor!$BP$306, Deflactor!$BP$307) ) ) ) ) ) ) ) ) )</f>
        <v>7</v>
      </c>
      <c r="AW64" s="57" t="str">
        <f>+IFERROR(VLOOKUP(AV64,Deflactor!$BP$298:$BU$307,6,0),"")</f>
        <v>20 a 30 millones USD</v>
      </c>
    </row>
    <row r="65" spans="1:49" x14ac:dyDescent="0.3">
      <c r="A65" s="3">
        <v>2017</v>
      </c>
      <c r="B65" s="3" t="s">
        <v>101</v>
      </c>
      <c r="C65" s="3" t="s">
        <v>7</v>
      </c>
      <c r="D65" s="3" t="s">
        <v>32</v>
      </c>
      <c r="E65" s="3" t="s">
        <v>33</v>
      </c>
      <c r="F65" s="3" t="s">
        <v>89</v>
      </c>
      <c r="G65" s="3" t="s">
        <v>723</v>
      </c>
      <c r="H65" s="13">
        <v>2006</v>
      </c>
      <c r="I65" s="13"/>
      <c r="J65" s="10">
        <f xml:space="preserve"> 57390 * 1000000</f>
        <v>57390000000</v>
      </c>
      <c r="K65" s="3" t="s">
        <v>1863</v>
      </c>
      <c r="L65" s="3" t="s">
        <v>1191</v>
      </c>
      <c r="M65" s="3" t="s">
        <v>1192</v>
      </c>
      <c r="N65" s="3" t="s">
        <v>1193</v>
      </c>
      <c r="O65" s="3" t="s">
        <v>1194</v>
      </c>
      <c r="P65" s="3" t="s">
        <v>1195</v>
      </c>
      <c r="Q65" s="3" t="s">
        <v>1196</v>
      </c>
      <c r="R65" s="11" t="s">
        <v>1188</v>
      </c>
      <c r="S65" s="11" t="s">
        <v>1189</v>
      </c>
      <c r="T65" s="11" t="s">
        <v>1190</v>
      </c>
      <c r="U65" s="3" t="s">
        <v>101</v>
      </c>
      <c r="V65" s="3"/>
      <c r="W65" s="10">
        <f>IF( J65="s.i", "s.i", IF(ISBLANK(J65),"Actualizando información",IFERROR(J65 / VLOOKUP(A65,Deflactor!$G$3:$H$64,2,0),"Revisar error" )))</f>
        <v>47167096476.883942</v>
      </c>
      <c r="AR65" s="10">
        <f xml:space="preserve"> 47601821 * 1000</f>
        <v>47601821000</v>
      </c>
      <c r="AT65" s="46">
        <f t="shared" si="0"/>
        <v>47601821000</v>
      </c>
      <c r="AU65" s="54">
        <f xml:space="preserve"> IFERROR(ROUND(AT65 / VLOOKUP(A65,Tabla1[#All],2,0),0),"s.i")</f>
        <v>73309273</v>
      </c>
      <c r="AV65" s="33">
        <f xml:space="preserve"> IF(AU65="s.i", "s.i", IF(AND(AU65&gt;=Deflactor!$BQ$298,AU65&lt;Deflactor!$BQ$299), Deflactor!$BP$298, IF(AND(AU65&gt;=Deflactor!$BQ$299,AU65&lt;Deflactor!$BQ$300), Deflactor!$BP$299, IF(AND(AU65&gt;=Deflactor!$BQ$300,AU65&lt;Deflactor!$BQ$301), Deflactor!$BP$300, IF(AND(AU65&gt;=Deflactor!$BQ$301,AU65&lt;Deflactor!$BQ$302), Deflactor!$BP$301, IF(AND(AU65&gt;=Deflactor!$BQ$302,AU65&lt;Deflactor!$BQ$303), Deflactor!$BP$302, IF(AND(AU65&gt;=Deflactor!$BQ$303,AU65&lt;Deflactor!$BQ$304), Deflactor!$BP$303, IF(AND(AU65&gt;=Deflactor!$BQ$304,AU65&lt;Deflactor!$BQ$305), Deflactor!$BP$304, IF(AND(AU65&gt;=Deflactor!$BQ$305,AU65&lt;Deflactor!$BQ$306), Deflactor!$BP$305, IF(AND(AU65&gt;=Deflactor!$BQ$306,AU65&lt;Deflactor!$BQ$307), Deflactor!$BP$306, Deflactor!$BP$307) ) ) ) ) ) ) ) ) )</f>
        <v>9</v>
      </c>
      <c r="AW65" s="57" t="str">
        <f>+IFERROR(VLOOKUP(AV65,Deflactor!$BP$298:$BU$307,6,0),"")</f>
        <v>50 a 100 millones USD</v>
      </c>
    </row>
    <row r="66" spans="1:49" x14ac:dyDescent="0.3">
      <c r="A66" s="3">
        <v>2017</v>
      </c>
      <c r="B66" s="3" t="s">
        <v>102</v>
      </c>
      <c r="C66" s="3" t="s">
        <v>7</v>
      </c>
      <c r="D66" s="3" t="s">
        <v>87</v>
      </c>
      <c r="E66" s="3" t="s">
        <v>88</v>
      </c>
      <c r="F66" s="3" t="s">
        <v>89</v>
      </c>
      <c r="G66" s="3" t="s">
        <v>723</v>
      </c>
      <c r="H66" s="13">
        <v>2014</v>
      </c>
      <c r="I66" s="13"/>
      <c r="J66" s="10">
        <f xml:space="preserve"> 8586768 * 1000000</f>
        <v>8586768000000</v>
      </c>
      <c r="K66" s="3" t="s">
        <v>2289</v>
      </c>
      <c r="L66" s="3" t="s">
        <v>1025</v>
      </c>
      <c r="M66" s="3" t="s">
        <v>1026</v>
      </c>
      <c r="N66" s="3" t="s">
        <v>1027</v>
      </c>
      <c r="O66" s="3" t="s">
        <v>1014</v>
      </c>
      <c r="P66" s="3" t="s">
        <v>1015</v>
      </c>
      <c r="Q66" s="3"/>
      <c r="R66" s="11" t="s">
        <v>1034</v>
      </c>
      <c r="S66" s="11" t="s">
        <v>1035</v>
      </c>
      <c r="T66" s="11" t="s">
        <v>1036</v>
      </c>
      <c r="U66" s="3" t="s">
        <v>1198</v>
      </c>
      <c r="V66" s="3"/>
      <c r="W66" s="10">
        <f>IF( J66="s.i", "s.i", IF(ISBLANK(J66),"Actualizando información",IFERROR(J66 / VLOOKUP(A66,Deflactor!$G$3:$H$64,2,0),"Revisar error" )))</f>
        <v>7057203601335.0723</v>
      </c>
      <c r="AR66" s="34">
        <f xml:space="preserve"> (230133 + 7356890) * 1000</f>
        <v>7587023000</v>
      </c>
      <c r="AT66" s="46">
        <f t="shared" si="0"/>
        <v>7587023000</v>
      </c>
      <c r="AU66" s="54">
        <f xml:space="preserve"> IFERROR(ROUND(AT66 / VLOOKUP(A66,Tabla1[#All],2,0),0),"s.i")</f>
        <v>11684409</v>
      </c>
      <c r="AV66" s="33">
        <f xml:space="preserve"> IF(AU66="s.i", "s.i", IF(AND(AU66&gt;=Deflactor!$BQ$298,AU66&lt;Deflactor!$BQ$299), Deflactor!$BP$298, IF(AND(AU66&gt;=Deflactor!$BQ$299,AU66&lt;Deflactor!$BQ$300), Deflactor!$BP$299, IF(AND(AU66&gt;=Deflactor!$BQ$300,AU66&lt;Deflactor!$BQ$301), Deflactor!$BP$300, IF(AND(AU66&gt;=Deflactor!$BQ$301,AU66&lt;Deflactor!$BQ$302), Deflactor!$BP$301, IF(AND(AU66&gt;=Deflactor!$BQ$302,AU66&lt;Deflactor!$BQ$303), Deflactor!$BP$302, IF(AND(AU66&gt;=Deflactor!$BQ$303,AU66&lt;Deflactor!$BQ$304), Deflactor!$BP$303, IF(AND(AU66&gt;=Deflactor!$BQ$304,AU66&lt;Deflactor!$BQ$305), Deflactor!$BP$304, IF(AND(AU66&gt;=Deflactor!$BQ$305,AU66&lt;Deflactor!$BQ$306), Deflactor!$BP$305, IF(AND(AU66&gt;=Deflactor!$BQ$306,AU66&lt;Deflactor!$BQ$307), Deflactor!$BP$306, Deflactor!$BP$307) ) ) ) ) ) ) ) ) )</f>
        <v>5</v>
      </c>
      <c r="AW66" s="57" t="str">
        <f>+IFERROR(VLOOKUP(AV66,Deflactor!$BP$298:$BU$307,6,0),"")</f>
        <v>10 a 15 millones USD</v>
      </c>
    </row>
    <row r="67" spans="1:49" x14ac:dyDescent="0.3">
      <c r="A67" s="3">
        <v>2017</v>
      </c>
      <c r="B67" s="3" t="s">
        <v>103</v>
      </c>
      <c r="C67" s="3" t="s">
        <v>7</v>
      </c>
      <c r="D67" s="3" t="s">
        <v>54</v>
      </c>
      <c r="E67" s="3" t="s">
        <v>55</v>
      </c>
      <c r="F67" s="3" t="s">
        <v>95</v>
      </c>
      <c r="G67" s="3" t="s">
        <v>723</v>
      </c>
      <c r="H67" s="13">
        <v>2006</v>
      </c>
      <c r="I67" s="13"/>
      <c r="J67" s="10">
        <f xml:space="preserve"> 8332 * 1000000</f>
        <v>8332000000</v>
      </c>
      <c r="K67" s="3" t="s">
        <v>1671</v>
      </c>
      <c r="L67" s="3" t="s">
        <v>1202</v>
      </c>
      <c r="M67" s="3" t="s">
        <v>1203</v>
      </c>
      <c r="N67" s="3" t="s">
        <v>1205</v>
      </c>
      <c r="O67" s="3" t="s">
        <v>1206</v>
      </c>
      <c r="P67" s="3" t="s">
        <v>1207</v>
      </c>
      <c r="Q67" s="3" t="s">
        <v>1204</v>
      </c>
      <c r="R67" s="11" t="s">
        <v>1199</v>
      </c>
      <c r="S67" s="11" t="s">
        <v>1200</v>
      </c>
      <c r="T67" s="11" t="s">
        <v>1201</v>
      </c>
      <c r="U67" s="3"/>
      <c r="V67" s="3"/>
      <c r="W67" s="10">
        <f>IF( J67="s.i", "s.i", IF(ISBLANK(J67),"Actualizando información",IFERROR(J67 / VLOOKUP(A67,Deflactor!$G$3:$H$64,2,0),"Revisar error" )))</f>
        <v>6847817526.4923687</v>
      </c>
      <c r="AR67" s="10">
        <f xml:space="preserve"> 7744158 * 1000</f>
        <v>7744158000</v>
      </c>
      <c r="AT67" s="46">
        <f t="shared" ref="AT67:AT130" si="2">AR67</f>
        <v>7744158000</v>
      </c>
      <c r="AU67" s="54">
        <f xml:space="preserve"> IFERROR(ROUND(AT67 / VLOOKUP(A67,Tabla1[#All],2,0),0),"s.i")</f>
        <v>11926405</v>
      </c>
      <c r="AV67" s="33">
        <f xml:space="preserve"> IF(AU67="s.i", "s.i", IF(AND(AU67&gt;=Deflactor!$BQ$298,AU67&lt;Deflactor!$BQ$299), Deflactor!$BP$298, IF(AND(AU67&gt;=Deflactor!$BQ$299,AU67&lt;Deflactor!$BQ$300), Deflactor!$BP$299, IF(AND(AU67&gt;=Deflactor!$BQ$300,AU67&lt;Deflactor!$BQ$301), Deflactor!$BP$300, IF(AND(AU67&gt;=Deflactor!$BQ$301,AU67&lt;Deflactor!$BQ$302), Deflactor!$BP$301, IF(AND(AU67&gt;=Deflactor!$BQ$302,AU67&lt;Deflactor!$BQ$303), Deflactor!$BP$302, IF(AND(AU67&gt;=Deflactor!$BQ$303,AU67&lt;Deflactor!$BQ$304), Deflactor!$BP$303, IF(AND(AU67&gt;=Deflactor!$BQ$304,AU67&lt;Deflactor!$BQ$305), Deflactor!$BP$304, IF(AND(AU67&gt;=Deflactor!$BQ$305,AU67&lt;Deflactor!$BQ$306), Deflactor!$BP$305, IF(AND(AU67&gt;=Deflactor!$BQ$306,AU67&lt;Deflactor!$BQ$307), Deflactor!$BP$306, Deflactor!$BP$307) ) ) ) ) ) ) ) ) )</f>
        <v>5</v>
      </c>
      <c r="AW67" s="57" t="str">
        <f>+IFERROR(VLOOKUP(AV67,Deflactor!$BP$298:$BU$307,6,0),"")</f>
        <v>10 a 15 millones USD</v>
      </c>
    </row>
    <row r="68" spans="1:49" x14ac:dyDescent="0.3">
      <c r="A68" s="3">
        <v>2017</v>
      </c>
      <c r="B68" s="3" t="s">
        <v>104</v>
      </c>
      <c r="C68" s="3" t="s">
        <v>7</v>
      </c>
      <c r="D68" s="3" t="s">
        <v>12</v>
      </c>
      <c r="E68" s="3" t="s">
        <v>105</v>
      </c>
      <c r="F68" s="3" t="s">
        <v>89</v>
      </c>
      <c r="G68" s="3" t="s">
        <v>723</v>
      </c>
      <c r="H68" s="13">
        <v>2014</v>
      </c>
      <c r="I68" s="13"/>
      <c r="J68" s="10">
        <f xml:space="preserve"> 12792579 * 1000</f>
        <v>12792579000</v>
      </c>
      <c r="K68" s="3" t="s">
        <v>1654</v>
      </c>
      <c r="L68" s="3" t="s">
        <v>1210</v>
      </c>
      <c r="M68" s="3" t="s">
        <v>1211</v>
      </c>
      <c r="N68" s="3" t="s">
        <v>1212</v>
      </c>
      <c r="O68" s="3" t="s">
        <v>1213</v>
      </c>
      <c r="P68" s="3" t="s">
        <v>1215</v>
      </c>
      <c r="Q68" s="3" t="s">
        <v>1214</v>
      </c>
      <c r="R68" s="11" t="s">
        <v>1208</v>
      </c>
      <c r="S68" s="11" t="s">
        <v>1209</v>
      </c>
      <c r="T68" s="3"/>
      <c r="U68" s="3" t="s">
        <v>757</v>
      </c>
      <c r="V68" s="3"/>
      <c r="W68" s="10">
        <f>IF( J68="s.i", "s.i", IF(ISBLANK(J68),"Actualizando información",IFERROR(J68 / VLOOKUP(A68,Deflactor!$G$3:$H$64,2,0),"Revisar error" )))</f>
        <v>10513831815.319036</v>
      </c>
      <c r="AR68" s="10">
        <f xml:space="preserve"> 13468518 * 1000</f>
        <v>13468518000</v>
      </c>
      <c r="AT68" s="46">
        <f t="shared" si="2"/>
        <v>13468518000</v>
      </c>
      <c r="AU68" s="54">
        <f xml:space="preserve"> IFERROR(ROUND(AT68 / VLOOKUP(A68,Tabla1[#All],2,0),0),"s.i")</f>
        <v>20742216</v>
      </c>
      <c r="AV68" s="33">
        <f xml:space="preserve"> IF(AU68="s.i", "s.i", IF(AND(AU68&gt;=Deflactor!$BQ$298,AU68&lt;Deflactor!$BQ$299), Deflactor!$BP$298, IF(AND(AU68&gt;=Deflactor!$BQ$299,AU68&lt;Deflactor!$BQ$300), Deflactor!$BP$299, IF(AND(AU68&gt;=Deflactor!$BQ$300,AU68&lt;Deflactor!$BQ$301), Deflactor!$BP$300, IF(AND(AU68&gt;=Deflactor!$BQ$301,AU68&lt;Deflactor!$BQ$302), Deflactor!$BP$301, IF(AND(AU68&gt;=Deflactor!$BQ$302,AU68&lt;Deflactor!$BQ$303), Deflactor!$BP$302, IF(AND(AU68&gt;=Deflactor!$BQ$303,AU68&lt;Deflactor!$BQ$304), Deflactor!$BP$303, IF(AND(AU68&gt;=Deflactor!$BQ$304,AU68&lt;Deflactor!$BQ$305), Deflactor!$BP$304, IF(AND(AU68&gt;=Deflactor!$BQ$305,AU68&lt;Deflactor!$BQ$306), Deflactor!$BP$305, IF(AND(AU68&gt;=Deflactor!$BQ$306,AU68&lt;Deflactor!$BQ$307), Deflactor!$BP$306, Deflactor!$BP$307) ) ) ) ) ) ) ) ) )</f>
        <v>7</v>
      </c>
      <c r="AW68" s="57" t="str">
        <f>+IFERROR(VLOOKUP(AV68,Deflactor!$BP$298:$BU$307,6,0),"")</f>
        <v>20 a 30 millones USD</v>
      </c>
    </row>
    <row r="69" spans="1:49" x14ac:dyDescent="0.3">
      <c r="A69" s="3">
        <v>2017</v>
      </c>
      <c r="B69" s="3" t="s">
        <v>106</v>
      </c>
      <c r="C69" s="3" t="s">
        <v>7</v>
      </c>
      <c r="D69" s="3" t="s">
        <v>107</v>
      </c>
      <c r="E69" s="3" t="s">
        <v>108</v>
      </c>
      <c r="F69" s="3" t="s">
        <v>95</v>
      </c>
      <c r="G69" s="3" t="s">
        <v>723</v>
      </c>
      <c r="H69" s="13">
        <v>2013</v>
      </c>
      <c r="I69" s="13"/>
      <c r="J69" s="10">
        <f xml:space="preserve"> 12814 * 1000000</f>
        <v>12814000000</v>
      </c>
      <c r="K69" s="3" t="s">
        <v>1672</v>
      </c>
      <c r="L69" s="3" t="s">
        <v>1223</v>
      </c>
      <c r="M69" s="3" t="s">
        <v>1224</v>
      </c>
      <c r="N69" s="3" t="s">
        <v>1225</v>
      </c>
      <c r="O69" s="3" t="s">
        <v>1226</v>
      </c>
      <c r="P69" s="3" t="s">
        <v>1227</v>
      </c>
      <c r="Q69" s="3" t="s">
        <v>1222</v>
      </c>
      <c r="R69" s="11" t="s">
        <v>1219</v>
      </c>
      <c r="S69" s="11" t="s">
        <v>1220</v>
      </c>
      <c r="T69" s="11" t="s">
        <v>1221</v>
      </c>
      <c r="U69" s="3"/>
      <c r="V69" s="3"/>
      <c r="W69" s="10">
        <f>IF( J69="s.i", "s.i", IF(ISBLANK(J69),"Actualizando información",IFERROR(J69 / VLOOKUP(A69,Deflactor!$G$3:$H$64,2,0),"Revisar error" )))</f>
        <v>10531437084.070236</v>
      </c>
      <c r="AR69" s="10">
        <f xml:space="preserve"> 11522889 * 1000</f>
        <v>11522889000</v>
      </c>
      <c r="AT69" s="46">
        <f t="shared" si="2"/>
        <v>11522889000</v>
      </c>
      <c r="AU69" s="54">
        <f xml:space="preserve"> IFERROR(ROUND(AT69 / VLOOKUP(A69,Tabla1[#All],2,0),0),"s.i")</f>
        <v>17745847</v>
      </c>
      <c r="AV69" s="33">
        <f xml:space="preserve"> IF(AU69="s.i", "s.i", IF(AND(AU69&gt;=Deflactor!$BQ$298,AU69&lt;Deflactor!$BQ$299), Deflactor!$BP$298, IF(AND(AU69&gt;=Deflactor!$BQ$299,AU69&lt;Deflactor!$BQ$300), Deflactor!$BP$299, IF(AND(AU69&gt;=Deflactor!$BQ$300,AU69&lt;Deflactor!$BQ$301), Deflactor!$BP$300, IF(AND(AU69&gt;=Deflactor!$BQ$301,AU69&lt;Deflactor!$BQ$302), Deflactor!$BP$301, IF(AND(AU69&gt;=Deflactor!$BQ$302,AU69&lt;Deflactor!$BQ$303), Deflactor!$BP$302, IF(AND(AU69&gt;=Deflactor!$BQ$303,AU69&lt;Deflactor!$BQ$304), Deflactor!$BP$303, IF(AND(AU69&gt;=Deflactor!$BQ$304,AU69&lt;Deflactor!$BQ$305), Deflactor!$BP$304, IF(AND(AU69&gt;=Deflactor!$BQ$305,AU69&lt;Deflactor!$BQ$306), Deflactor!$BP$305, IF(AND(AU69&gt;=Deflactor!$BQ$306,AU69&lt;Deflactor!$BQ$307), Deflactor!$BP$306, Deflactor!$BP$307) ) ) ) ) ) ) ) ) )</f>
        <v>6</v>
      </c>
      <c r="AW69" s="57" t="str">
        <f>+IFERROR(VLOOKUP(AV69,Deflactor!$BP$298:$BU$307,6,0),"")</f>
        <v>15 a 20 millones USD</v>
      </c>
    </row>
    <row r="70" spans="1:49" x14ac:dyDescent="0.3">
      <c r="A70" s="3">
        <v>2017</v>
      </c>
      <c r="B70" s="3" t="s">
        <v>109</v>
      </c>
      <c r="C70" s="3" t="s">
        <v>7</v>
      </c>
      <c r="D70" s="3" t="s">
        <v>87</v>
      </c>
      <c r="E70" s="3" t="s">
        <v>88</v>
      </c>
      <c r="F70" s="3" t="s">
        <v>89</v>
      </c>
      <c r="G70" s="3" t="s">
        <v>723</v>
      </c>
      <c r="H70" s="13">
        <v>2002</v>
      </c>
      <c r="I70" s="13"/>
      <c r="J70" s="10">
        <f xml:space="preserve"> 6577906 * 1000000</f>
        <v>6577906000000</v>
      </c>
      <c r="K70" s="3" t="s">
        <v>2288</v>
      </c>
      <c r="L70" s="3" t="s">
        <v>1022</v>
      </c>
      <c r="M70" s="3" t="s">
        <v>1023</v>
      </c>
      <c r="N70" s="3" t="s">
        <v>1024</v>
      </c>
      <c r="O70" s="3" t="s">
        <v>1014</v>
      </c>
      <c r="P70" s="3" t="s">
        <v>1015</v>
      </c>
      <c r="Q70" s="3"/>
      <c r="R70" s="11" t="s">
        <v>1037</v>
      </c>
      <c r="S70" s="11" t="s">
        <v>1038</v>
      </c>
      <c r="T70" s="11" t="s">
        <v>1039</v>
      </c>
      <c r="U70" s="3" t="s">
        <v>1198</v>
      </c>
      <c r="V70" s="3"/>
      <c r="W70" s="10">
        <f>IF( J70="s.i", "s.i", IF(ISBLANK(J70),"Actualizando información",IFERROR(J70 / VLOOKUP(A70,Deflactor!$G$3:$H$64,2,0),"Revisar error" )))</f>
        <v>5406180988288.4434</v>
      </c>
      <c r="AR70" s="34">
        <f xml:space="preserve"> 4930461 * 1000</f>
        <v>4930461000</v>
      </c>
      <c r="AT70" s="46">
        <f t="shared" si="2"/>
        <v>4930461000</v>
      </c>
      <c r="AU70" s="54">
        <f xml:space="preserve"> IFERROR(ROUND(AT70 / VLOOKUP(A70,Tabla1[#All],2,0),0),"s.i")</f>
        <v>7593166</v>
      </c>
      <c r="AV70" s="33">
        <f xml:space="preserve"> IF(AU70="s.i", "s.i", IF(AND(AU70&gt;=Deflactor!$BQ$298,AU70&lt;Deflactor!$BQ$299), Deflactor!$BP$298, IF(AND(AU70&gt;=Deflactor!$BQ$299,AU70&lt;Deflactor!$BQ$300), Deflactor!$BP$299, IF(AND(AU70&gt;=Deflactor!$BQ$300,AU70&lt;Deflactor!$BQ$301), Deflactor!$BP$300, IF(AND(AU70&gt;=Deflactor!$BQ$301,AU70&lt;Deflactor!$BQ$302), Deflactor!$BP$301, IF(AND(AU70&gt;=Deflactor!$BQ$302,AU70&lt;Deflactor!$BQ$303), Deflactor!$BP$302, IF(AND(AU70&gt;=Deflactor!$BQ$303,AU70&lt;Deflactor!$BQ$304), Deflactor!$BP$303, IF(AND(AU70&gt;=Deflactor!$BQ$304,AU70&lt;Deflactor!$BQ$305), Deflactor!$BP$304, IF(AND(AU70&gt;=Deflactor!$BQ$305,AU70&lt;Deflactor!$BQ$306), Deflactor!$BP$305, IF(AND(AU70&gt;=Deflactor!$BQ$306,AU70&lt;Deflactor!$BQ$307), Deflactor!$BP$306, Deflactor!$BP$307) ) ) ) ) ) ) ) ) )</f>
        <v>4</v>
      </c>
      <c r="AW70" s="57" t="str">
        <f>+IFERROR(VLOOKUP(AV70,Deflactor!$BP$298:$BU$307,6,0),"")</f>
        <v>7,5 a 10 millones USD</v>
      </c>
    </row>
    <row r="71" spans="1:49" x14ac:dyDescent="0.3">
      <c r="A71" s="3">
        <v>2017</v>
      </c>
      <c r="B71" s="3" t="s">
        <v>110</v>
      </c>
      <c r="C71" s="3" t="s">
        <v>7</v>
      </c>
      <c r="D71" s="3" t="s">
        <v>87</v>
      </c>
      <c r="E71" s="3" t="s">
        <v>88</v>
      </c>
      <c r="F71" s="3" t="s">
        <v>89</v>
      </c>
      <c r="G71" s="3" t="s">
        <v>723</v>
      </c>
      <c r="H71" s="13">
        <v>2015</v>
      </c>
      <c r="I71" s="13"/>
      <c r="J71" s="10">
        <f xml:space="preserve"> 9208672 * 1000000</f>
        <v>9208672000000</v>
      </c>
      <c r="K71" s="3" t="s">
        <v>2288</v>
      </c>
      <c r="L71" s="3" t="s">
        <v>1028</v>
      </c>
      <c r="M71" s="3" t="s">
        <v>1029</v>
      </c>
      <c r="N71" s="3" t="s">
        <v>1030</v>
      </c>
      <c r="O71" s="3" t="s">
        <v>1014</v>
      </c>
      <c r="P71" s="3" t="s">
        <v>1015</v>
      </c>
      <c r="Q71" s="3"/>
      <c r="R71" s="11" t="s">
        <v>1040</v>
      </c>
      <c r="S71" s="11" t="s">
        <v>1041</v>
      </c>
      <c r="T71" s="11" t="s">
        <v>1042</v>
      </c>
      <c r="U71" s="3" t="s">
        <v>1198</v>
      </c>
      <c r="V71" s="3"/>
      <c r="W71" s="10">
        <f>IF( J71="s.i", "s.i", IF(ISBLANK(J71),"Actualizando información",IFERROR(J71 / VLOOKUP(A71,Deflactor!$G$3:$H$64,2,0),"Revisar error" )))</f>
        <v>7568327594493.4629</v>
      </c>
      <c r="AR71" s="34">
        <f xml:space="preserve"> (59658 + 7556828) * 1000</f>
        <v>7616486000</v>
      </c>
      <c r="AT71" s="46">
        <f t="shared" si="2"/>
        <v>7616486000</v>
      </c>
      <c r="AU71" s="54">
        <f xml:space="preserve"> IFERROR(ROUND(AT71 / VLOOKUP(A71,Tabla1[#All],2,0),0),"s.i")</f>
        <v>11729783</v>
      </c>
      <c r="AV71" s="33">
        <f xml:space="preserve"> IF(AU71="s.i", "s.i", IF(AND(AU71&gt;=Deflactor!$BQ$298,AU71&lt;Deflactor!$BQ$299), Deflactor!$BP$298, IF(AND(AU71&gt;=Deflactor!$BQ$299,AU71&lt;Deflactor!$BQ$300), Deflactor!$BP$299, IF(AND(AU71&gt;=Deflactor!$BQ$300,AU71&lt;Deflactor!$BQ$301), Deflactor!$BP$300, IF(AND(AU71&gt;=Deflactor!$BQ$301,AU71&lt;Deflactor!$BQ$302), Deflactor!$BP$301, IF(AND(AU71&gt;=Deflactor!$BQ$302,AU71&lt;Deflactor!$BQ$303), Deflactor!$BP$302, IF(AND(AU71&gt;=Deflactor!$BQ$303,AU71&lt;Deflactor!$BQ$304), Deflactor!$BP$303, IF(AND(AU71&gt;=Deflactor!$BQ$304,AU71&lt;Deflactor!$BQ$305), Deflactor!$BP$304, IF(AND(AU71&gt;=Deflactor!$BQ$305,AU71&lt;Deflactor!$BQ$306), Deflactor!$BP$305, IF(AND(AU71&gt;=Deflactor!$BQ$306,AU71&lt;Deflactor!$BQ$307), Deflactor!$BP$306, Deflactor!$BP$307) ) ) ) ) ) ) ) ) )</f>
        <v>5</v>
      </c>
      <c r="AW71" s="57" t="str">
        <f>+IFERROR(VLOOKUP(AV71,Deflactor!$BP$298:$BU$307,6,0),"")</f>
        <v>10 a 15 millones USD</v>
      </c>
    </row>
    <row r="72" spans="1:49" x14ac:dyDescent="0.3">
      <c r="A72" s="3">
        <v>2017</v>
      </c>
      <c r="B72" s="3" t="s">
        <v>111</v>
      </c>
      <c r="C72" s="3" t="s">
        <v>7</v>
      </c>
      <c r="D72" s="3" t="s">
        <v>36</v>
      </c>
      <c r="E72" s="3" t="s">
        <v>81</v>
      </c>
      <c r="F72" s="3" t="s">
        <v>95</v>
      </c>
      <c r="G72" s="3" t="s">
        <v>723</v>
      </c>
      <c r="H72" s="13">
        <v>1991</v>
      </c>
      <c r="I72" s="13"/>
      <c r="J72" s="10">
        <f xml:space="preserve"> 8240855 * 1000000</f>
        <v>8240855000000</v>
      </c>
      <c r="K72" s="3" t="s">
        <v>1790</v>
      </c>
      <c r="L72" s="3" t="s">
        <v>1238</v>
      </c>
      <c r="M72" s="3" t="s">
        <v>1237</v>
      </c>
      <c r="N72" s="3" t="s">
        <v>1239</v>
      </c>
      <c r="O72" s="3" t="s">
        <v>1240</v>
      </c>
      <c r="P72" s="3" t="s">
        <v>1241</v>
      </c>
      <c r="Q72" s="3" t="s">
        <v>1236</v>
      </c>
      <c r="R72" s="11" t="s">
        <v>1242</v>
      </c>
      <c r="S72" s="11" t="s">
        <v>1243</v>
      </c>
      <c r="T72" s="11" t="s">
        <v>1244</v>
      </c>
      <c r="U72" s="3"/>
      <c r="V72" s="3"/>
      <c r="W72" s="10">
        <f>IF( J72="s.i", "s.i", IF(ISBLANK(J72),"Actualizando información",IFERROR(J72 / VLOOKUP(A72,Deflactor!$G$3:$H$64,2,0),"Revisar error" )))</f>
        <v>6772908221589.3262</v>
      </c>
      <c r="AR72" s="34">
        <f xml:space="preserve"> 8240855 * 1000</f>
        <v>8240855000</v>
      </c>
      <c r="AT72" s="46">
        <f t="shared" si="2"/>
        <v>8240855000</v>
      </c>
      <c r="AU72" s="54">
        <f xml:space="preserve"> IFERROR(ROUND(AT72 / VLOOKUP(A72,Tabla1[#All],2,0),0),"s.i")</f>
        <v>12691344</v>
      </c>
      <c r="AV72" s="33">
        <f xml:space="preserve"> IF(AU72="s.i", "s.i", IF(AND(AU72&gt;=Deflactor!$BQ$298,AU72&lt;Deflactor!$BQ$299), Deflactor!$BP$298, IF(AND(AU72&gt;=Deflactor!$BQ$299,AU72&lt;Deflactor!$BQ$300), Deflactor!$BP$299, IF(AND(AU72&gt;=Deflactor!$BQ$300,AU72&lt;Deflactor!$BQ$301), Deflactor!$BP$300, IF(AND(AU72&gt;=Deflactor!$BQ$301,AU72&lt;Deflactor!$BQ$302), Deflactor!$BP$301, IF(AND(AU72&gt;=Deflactor!$BQ$302,AU72&lt;Deflactor!$BQ$303), Deflactor!$BP$302, IF(AND(AU72&gt;=Deflactor!$BQ$303,AU72&lt;Deflactor!$BQ$304), Deflactor!$BP$303, IF(AND(AU72&gt;=Deflactor!$BQ$304,AU72&lt;Deflactor!$BQ$305), Deflactor!$BP$304, IF(AND(AU72&gt;=Deflactor!$BQ$305,AU72&lt;Deflactor!$BQ$306), Deflactor!$BP$305, IF(AND(AU72&gt;=Deflactor!$BQ$306,AU72&lt;Deflactor!$BQ$307), Deflactor!$BP$306, Deflactor!$BP$307) ) ) ) ) ) ) ) ) )</f>
        <v>5</v>
      </c>
      <c r="AW72" s="57" t="str">
        <f>+IFERROR(VLOOKUP(AV72,Deflactor!$BP$298:$BU$307,6,0),"")</f>
        <v>10 a 15 millones USD</v>
      </c>
    </row>
    <row r="73" spans="1:49" x14ac:dyDescent="0.3">
      <c r="A73" s="3">
        <v>2017</v>
      </c>
      <c r="B73" s="3" t="s">
        <v>112</v>
      </c>
      <c r="C73" s="3" t="s">
        <v>7</v>
      </c>
      <c r="D73" s="3" t="s">
        <v>54</v>
      </c>
      <c r="E73" s="3" t="s">
        <v>55</v>
      </c>
      <c r="F73" s="3" t="s">
        <v>30</v>
      </c>
      <c r="G73" s="3" t="s">
        <v>723</v>
      </c>
      <c r="H73" s="13">
        <v>2015</v>
      </c>
      <c r="I73" s="13"/>
      <c r="J73" s="10">
        <f xml:space="preserve"> 3679766 * 1000000</f>
        <v>3679766000000</v>
      </c>
      <c r="K73" s="3" t="s">
        <v>2286</v>
      </c>
      <c r="L73" s="3" t="s">
        <v>1128</v>
      </c>
      <c r="M73" s="3" t="s">
        <v>1129</v>
      </c>
      <c r="N73" s="3" t="s">
        <v>1130</v>
      </c>
      <c r="O73" s="3" t="s">
        <v>1131</v>
      </c>
      <c r="P73" s="3" t="s">
        <v>1132</v>
      </c>
      <c r="Q73" s="3" t="s">
        <v>1127</v>
      </c>
      <c r="R73" s="11" t="s">
        <v>1124</v>
      </c>
      <c r="S73" s="11" t="s">
        <v>1125</v>
      </c>
      <c r="T73" s="11" t="s">
        <v>1126</v>
      </c>
      <c r="U73" s="3"/>
      <c r="V73" s="3"/>
      <c r="W73" s="10">
        <f>IF( J73="s.i", "s.i", IF(ISBLANK(J73),"Actualizando información",IFERROR(J73 / VLOOKUP(A73,Deflactor!$G$3:$H$64,2,0),"Revisar error" )))</f>
        <v>3024287819033.9316</v>
      </c>
      <c r="AR73" s="34"/>
      <c r="AT73" s="46">
        <f>'Notas reunion'!T37</f>
        <v>3679767000</v>
      </c>
      <c r="AU73" s="54">
        <f xml:space="preserve"> IFERROR(ROUND(AT73 / VLOOKUP(A73,Tabla1[#All],2,0),0),"s.i")</f>
        <v>5667032</v>
      </c>
      <c r="AV73" s="33">
        <f xml:space="preserve"> IF(AU73="s.i", "s.i", IF(AND(AU73&gt;=Deflactor!$BQ$298,AU73&lt;Deflactor!$BQ$299), Deflactor!$BP$298, IF(AND(AU73&gt;=Deflactor!$BQ$299,AU73&lt;Deflactor!$BQ$300), Deflactor!$BP$299, IF(AND(AU73&gt;=Deflactor!$BQ$300,AU73&lt;Deflactor!$BQ$301), Deflactor!$BP$300, IF(AND(AU73&gt;=Deflactor!$BQ$301,AU73&lt;Deflactor!$BQ$302), Deflactor!$BP$301, IF(AND(AU73&gt;=Deflactor!$BQ$302,AU73&lt;Deflactor!$BQ$303), Deflactor!$BP$302, IF(AND(AU73&gt;=Deflactor!$BQ$303,AU73&lt;Deflactor!$BQ$304), Deflactor!$BP$303, IF(AND(AU73&gt;=Deflactor!$BQ$304,AU73&lt;Deflactor!$BQ$305), Deflactor!$BP$304, IF(AND(AU73&gt;=Deflactor!$BQ$305,AU73&lt;Deflactor!$BQ$306), Deflactor!$BP$305, IF(AND(AU73&gt;=Deflactor!$BQ$306,AU73&lt;Deflactor!$BQ$307), Deflactor!$BP$306, Deflactor!$BP$307) ) ) ) ) ) ) ) ) )</f>
        <v>3</v>
      </c>
      <c r="AW73" s="57" t="str">
        <f>+IFERROR(VLOOKUP(AV73,Deflactor!$BP$298:$BU$307,6,0),"")</f>
        <v>5 a 7,5 millones USD</v>
      </c>
    </row>
    <row r="74" spans="1:49" x14ac:dyDescent="0.3">
      <c r="A74" s="3">
        <v>2017</v>
      </c>
      <c r="B74" s="3" t="s">
        <v>113</v>
      </c>
      <c r="C74" s="3" t="s">
        <v>7</v>
      </c>
      <c r="D74" s="3" t="s">
        <v>54</v>
      </c>
      <c r="E74" s="3" t="s">
        <v>55</v>
      </c>
      <c r="F74" s="3" t="s">
        <v>95</v>
      </c>
      <c r="G74" s="3" t="s">
        <v>723</v>
      </c>
      <c r="H74" s="13">
        <v>2014</v>
      </c>
      <c r="I74" s="13"/>
      <c r="J74" s="10">
        <f xml:space="preserve"> 17015612 * 1000000</f>
        <v>17015612000000</v>
      </c>
      <c r="K74" s="3" t="s">
        <v>1676</v>
      </c>
      <c r="L74" s="3" t="s">
        <v>1248</v>
      </c>
      <c r="M74" s="3" t="s">
        <v>1249</v>
      </c>
      <c r="N74" s="3" t="s">
        <v>1250</v>
      </c>
      <c r="O74" s="3" t="s">
        <v>1251</v>
      </c>
      <c r="P74" s="3" t="s">
        <v>1252</v>
      </c>
      <c r="Q74" s="3"/>
      <c r="R74" s="11" t="s">
        <v>1245</v>
      </c>
      <c r="S74" s="11" t="s">
        <v>1246</v>
      </c>
      <c r="T74" s="11" t="s">
        <v>1247</v>
      </c>
      <c r="U74" s="3"/>
      <c r="V74" s="3"/>
      <c r="W74" s="10">
        <f>IF( J74="s.i", "s.i", IF(ISBLANK(J74),"Actualizando información",IFERROR(J74 / VLOOKUP(A74,Deflactor!$G$3:$H$64,2,0),"Revisar error" )))</f>
        <v>13984614267594.078</v>
      </c>
      <c r="AR74" s="34"/>
      <c r="AT74" s="46">
        <f>'Notas reunion'!T38</f>
        <v>3679767000</v>
      </c>
      <c r="AU74" s="54">
        <f xml:space="preserve"> IFERROR(ROUND(AT74 / VLOOKUP(A74,Tabla1[#All],2,0),0),"s.i")</f>
        <v>5667032</v>
      </c>
      <c r="AV74" s="33">
        <f xml:space="preserve"> IF(AU74="s.i", "s.i", IF(AND(AU74&gt;=Deflactor!$BQ$298,AU74&lt;Deflactor!$BQ$299), Deflactor!$BP$298, IF(AND(AU74&gt;=Deflactor!$BQ$299,AU74&lt;Deflactor!$BQ$300), Deflactor!$BP$299, IF(AND(AU74&gt;=Deflactor!$BQ$300,AU74&lt;Deflactor!$BQ$301), Deflactor!$BP$300, IF(AND(AU74&gt;=Deflactor!$BQ$301,AU74&lt;Deflactor!$BQ$302), Deflactor!$BP$301, IF(AND(AU74&gt;=Deflactor!$BQ$302,AU74&lt;Deflactor!$BQ$303), Deflactor!$BP$302, IF(AND(AU74&gt;=Deflactor!$BQ$303,AU74&lt;Deflactor!$BQ$304), Deflactor!$BP$303, IF(AND(AU74&gt;=Deflactor!$BQ$304,AU74&lt;Deflactor!$BQ$305), Deflactor!$BP$304, IF(AND(AU74&gt;=Deflactor!$BQ$305,AU74&lt;Deflactor!$BQ$306), Deflactor!$BP$305, IF(AND(AU74&gt;=Deflactor!$BQ$306,AU74&lt;Deflactor!$BQ$307), Deflactor!$BP$306, Deflactor!$BP$307) ) ) ) ) ) ) ) ) )</f>
        <v>3</v>
      </c>
      <c r="AW74" s="57" t="str">
        <f>+IFERROR(VLOOKUP(AV74,Deflactor!$BP$298:$BU$307,6,0),"")</f>
        <v>5 a 7,5 millones USD</v>
      </c>
    </row>
    <row r="75" spans="1:49" x14ac:dyDescent="0.3">
      <c r="A75" s="3">
        <v>2017</v>
      </c>
      <c r="B75" s="3" t="s">
        <v>114</v>
      </c>
      <c r="C75" s="3" t="s">
        <v>7</v>
      </c>
      <c r="D75" s="3" t="s">
        <v>54</v>
      </c>
      <c r="E75" s="3" t="s">
        <v>55</v>
      </c>
      <c r="F75" s="3" t="s">
        <v>89</v>
      </c>
      <c r="G75" s="3" t="s">
        <v>723</v>
      </c>
      <c r="H75" s="13">
        <v>2013</v>
      </c>
      <c r="I75" s="13"/>
      <c r="J75" s="10">
        <f xml:space="preserve"> 26622592 * 1000000</f>
        <v>26622592000000</v>
      </c>
      <c r="K75" s="3" t="s">
        <v>1675</v>
      </c>
      <c r="L75" s="3" t="s">
        <v>1256</v>
      </c>
      <c r="M75" s="3" t="s">
        <v>1257</v>
      </c>
      <c r="N75" s="3" t="s">
        <v>1260</v>
      </c>
      <c r="O75" s="3" t="s">
        <v>1258</v>
      </c>
      <c r="P75" s="3" t="s">
        <v>1259</v>
      </c>
      <c r="Q75" s="3"/>
      <c r="R75" s="11" t="s">
        <v>1253</v>
      </c>
      <c r="S75" s="11" t="s">
        <v>1254</v>
      </c>
      <c r="T75" s="11" t="s">
        <v>1255</v>
      </c>
      <c r="U75" s="3"/>
      <c r="V75" s="3"/>
      <c r="W75" s="10">
        <f>IF( J75="s.i", "s.i", IF(ISBLANK(J75),"Actualizando información",IFERROR(J75 / VLOOKUP(A75,Deflactor!$G$3:$H$64,2,0),"Revisar error" )))</f>
        <v>21880299099646.605</v>
      </c>
      <c r="AR75" s="34"/>
      <c r="AT75" s="46">
        <f>'Notas reunion'!T39</f>
        <v>17640975000</v>
      </c>
      <c r="AU75" s="54">
        <f xml:space="preserve"> IFERROR(ROUND(AT75 / VLOOKUP(A75,Tabla1[#All],2,0),0),"s.i")</f>
        <v>27168016</v>
      </c>
      <c r="AV75" s="33">
        <f xml:space="preserve"> IF(AU75="s.i", "s.i", IF(AND(AU75&gt;=Deflactor!$BQ$298,AU75&lt;Deflactor!$BQ$299), Deflactor!$BP$298, IF(AND(AU75&gt;=Deflactor!$BQ$299,AU75&lt;Deflactor!$BQ$300), Deflactor!$BP$299, IF(AND(AU75&gt;=Deflactor!$BQ$300,AU75&lt;Deflactor!$BQ$301), Deflactor!$BP$300, IF(AND(AU75&gt;=Deflactor!$BQ$301,AU75&lt;Deflactor!$BQ$302), Deflactor!$BP$301, IF(AND(AU75&gt;=Deflactor!$BQ$302,AU75&lt;Deflactor!$BQ$303), Deflactor!$BP$302, IF(AND(AU75&gt;=Deflactor!$BQ$303,AU75&lt;Deflactor!$BQ$304), Deflactor!$BP$303, IF(AND(AU75&gt;=Deflactor!$BQ$304,AU75&lt;Deflactor!$BQ$305), Deflactor!$BP$304, IF(AND(AU75&gt;=Deflactor!$BQ$305,AU75&lt;Deflactor!$BQ$306), Deflactor!$BP$305, IF(AND(AU75&gt;=Deflactor!$BQ$306,AU75&lt;Deflactor!$BQ$307), Deflactor!$BP$306, Deflactor!$BP$307) ) ) ) ) ) ) ) ) )</f>
        <v>7</v>
      </c>
      <c r="AW75" s="57" t="str">
        <f>+IFERROR(VLOOKUP(AV75,Deflactor!$BP$298:$BU$307,6,0),"")</f>
        <v>20 a 30 millones USD</v>
      </c>
    </row>
    <row r="76" spans="1:49" x14ac:dyDescent="0.3">
      <c r="A76" s="3">
        <v>2017</v>
      </c>
      <c r="B76" s="3" t="s">
        <v>115</v>
      </c>
      <c r="C76" s="3" t="s">
        <v>7</v>
      </c>
      <c r="D76" s="3" t="s">
        <v>107</v>
      </c>
      <c r="E76" s="3" t="s">
        <v>108</v>
      </c>
      <c r="F76" s="3" t="s">
        <v>89</v>
      </c>
      <c r="G76" s="3" t="s">
        <v>723</v>
      </c>
      <c r="H76" s="13">
        <v>2015</v>
      </c>
      <c r="I76" s="13"/>
      <c r="J76" s="10">
        <f xml:space="preserve"> 1261 * 1000000</f>
        <v>1261000000</v>
      </c>
      <c r="K76" s="3" t="s">
        <v>1672</v>
      </c>
      <c r="L76" s="3" t="s">
        <v>1228</v>
      </c>
      <c r="M76" s="3" t="s">
        <v>1229</v>
      </c>
      <c r="N76" s="3" t="s">
        <v>1230</v>
      </c>
      <c r="O76" s="3" t="s">
        <v>1231</v>
      </c>
      <c r="P76" s="3" t="s">
        <v>1232</v>
      </c>
      <c r="Q76" s="3"/>
      <c r="R76" s="11" t="s">
        <v>1233</v>
      </c>
      <c r="S76" s="11" t="s">
        <v>1234</v>
      </c>
      <c r="T76" s="11" t="s">
        <v>1235</v>
      </c>
      <c r="U76" s="3"/>
      <c r="V76" s="3"/>
      <c r="W76" s="10">
        <f>IF( J76="s.i", "s.i", IF(ISBLANK(J76),"Actualizando información",IFERROR(J76 / VLOOKUP(A76,Deflactor!$G$3:$H$64,2,0),"Revisar error" )))</f>
        <v>1036377568.5197884</v>
      </c>
      <c r="AR76" s="10">
        <f xml:space="preserve"> 1261045 * 1000</f>
        <v>1261045000</v>
      </c>
      <c r="AT76" s="46">
        <f t="shared" si="2"/>
        <v>1261045000</v>
      </c>
      <c r="AU76" s="54">
        <f xml:space="preserve"> IFERROR(ROUND(AT76 / VLOOKUP(A76,Tabla1[#All],2,0),0),"s.i")</f>
        <v>1942075</v>
      </c>
      <c r="AV76" s="33">
        <f xml:space="preserve"> IF(AU76="s.i", "s.i", IF(AND(AU76&gt;=Deflactor!$BQ$298,AU76&lt;Deflactor!$BQ$299), Deflactor!$BP$298, IF(AND(AU76&gt;=Deflactor!$BQ$299,AU76&lt;Deflactor!$BQ$300), Deflactor!$BP$299, IF(AND(AU76&gt;=Deflactor!$BQ$300,AU76&lt;Deflactor!$BQ$301), Deflactor!$BP$300, IF(AND(AU76&gt;=Deflactor!$BQ$301,AU76&lt;Deflactor!$BQ$302), Deflactor!$BP$301, IF(AND(AU76&gt;=Deflactor!$BQ$302,AU76&lt;Deflactor!$BQ$303), Deflactor!$BP$302, IF(AND(AU76&gt;=Deflactor!$BQ$303,AU76&lt;Deflactor!$BQ$304), Deflactor!$BP$303, IF(AND(AU76&gt;=Deflactor!$BQ$304,AU76&lt;Deflactor!$BQ$305), Deflactor!$BP$304, IF(AND(AU76&gt;=Deflactor!$BQ$305,AU76&lt;Deflactor!$BQ$306), Deflactor!$BP$305, IF(AND(AU76&gt;=Deflactor!$BQ$306,AU76&lt;Deflactor!$BQ$307), Deflactor!$BP$306, Deflactor!$BP$307) ) ) ) ) ) ) ) ) )</f>
        <v>1</v>
      </c>
      <c r="AW76" s="57" t="str">
        <f>+IFERROR(VLOOKUP(AV76,Deflactor!$BP$298:$BU$307,6,0),"")</f>
        <v>2 millones USD y menos</v>
      </c>
    </row>
    <row r="77" spans="1:49" x14ac:dyDescent="0.3">
      <c r="A77" s="3">
        <v>2017</v>
      </c>
      <c r="B77" s="3" t="s">
        <v>116</v>
      </c>
      <c r="C77" s="3" t="s">
        <v>7</v>
      </c>
      <c r="D77" s="3" t="s">
        <v>25</v>
      </c>
      <c r="E77" s="3" t="s">
        <v>117</v>
      </c>
      <c r="F77" s="3" t="s">
        <v>30</v>
      </c>
      <c r="G77" s="3" t="s">
        <v>623</v>
      </c>
      <c r="H77" s="13">
        <v>2014</v>
      </c>
      <c r="I77" s="13" t="s">
        <v>623</v>
      </c>
      <c r="J77" s="10">
        <f xml:space="preserve"> 38171814 * 1000</f>
        <v>38171814000</v>
      </c>
      <c r="K77" s="3" t="s">
        <v>1663</v>
      </c>
      <c r="L77" s="3" t="s">
        <v>1264</v>
      </c>
      <c r="M77" s="3" t="s">
        <v>1265</v>
      </c>
      <c r="N77" s="3" t="s">
        <v>1266</v>
      </c>
      <c r="O77" s="3" t="s">
        <v>1267</v>
      </c>
      <c r="P77" s="3" t="s">
        <v>1268</v>
      </c>
      <c r="Q77" s="3"/>
      <c r="R77" s="11" t="s">
        <v>1261</v>
      </c>
      <c r="S77" s="11" t="s">
        <v>1262</v>
      </c>
      <c r="T77" s="11" t="s">
        <v>1263</v>
      </c>
      <c r="U77" s="3" t="s">
        <v>1271</v>
      </c>
      <c r="V77" s="3"/>
      <c r="W77" s="10">
        <f>IF( J77="s.i", "s.i", IF(ISBLANK(J77),"Actualizando información",IFERROR(J77 / VLOOKUP(A77,Deflactor!$G$3:$H$64,2,0),"Revisar error" )))</f>
        <v>31372253591.839508</v>
      </c>
      <c r="AR77" s="34">
        <f xml:space="preserve"> 27217404 * 1000</f>
        <v>27217404000</v>
      </c>
      <c r="AT77" s="46">
        <f t="shared" si="2"/>
        <v>27217404000</v>
      </c>
      <c r="AU77" s="54">
        <f xml:space="preserve"> IFERROR(ROUND(AT77 / VLOOKUP(A77,Tabla1[#All],2,0),0),"s.i")</f>
        <v>41916213</v>
      </c>
      <c r="AV77" s="33">
        <f xml:space="preserve"> IF(AU77="s.i", "s.i", IF(AND(AU77&gt;=Deflactor!$BQ$298,AU77&lt;Deflactor!$BQ$299), Deflactor!$BP$298, IF(AND(AU77&gt;=Deflactor!$BQ$299,AU77&lt;Deflactor!$BQ$300), Deflactor!$BP$299, IF(AND(AU77&gt;=Deflactor!$BQ$300,AU77&lt;Deflactor!$BQ$301), Deflactor!$BP$300, IF(AND(AU77&gt;=Deflactor!$BQ$301,AU77&lt;Deflactor!$BQ$302), Deflactor!$BP$301, IF(AND(AU77&gt;=Deflactor!$BQ$302,AU77&lt;Deflactor!$BQ$303), Deflactor!$BP$302, IF(AND(AU77&gt;=Deflactor!$BQ$303,AU77&lt;Deflactor!$BQ$304), Deflactor!$BP$303, IF(AND(AU77&gt;=Deflactor!$BQ$304,AU77&lt;Deflactor!$BQ$305), Deflactor!$BP$304, IF(AND(AU77&gt;=Deflactor!$BQ$305,AU77&lt;Deflactor!$BQ$306), Deflactor!$BP$305, IF(AND(AU77&gt;=Deflactor!$BQ$306,AU77&lt;Deflactor!$BQ$307), Deflactor!$BP$306, Deflactor!$BP$307) ) ) ) ) ) ) ) ) )</f>
        <v>8</v>
      </c>
      <c r="AW77" s="57" t="str">
        <f>+IFERROR(VLOOKUP(AV77,Deflactor!$BP$298:$BU$307,6,0),"")</f>
        <v>30 a 50 millones USD</v>
      </c>
    </row>
    <row r="78" spans="1:49" x14ac:dyDescent="0.3">
      <c r="A78" s="3">
        <v>2017</v>
      </c>
      <c r="B78" s="3" t="s">
        <v>118</v>
      </c>
      <c r="C78" s="3" t="s">
        <v>7</v>
      </c>
      <c r="D78" s="3" t="s">
        <v>25</v>
      </c>
      <c r="E78" s="3" t="s">
        <v>117</v>
      </c>
      <c r="F78" s="3" t="s">
        <v>30</v>
      </c>
      <c r="G78" s="3" t="s">
        <v>623</v>
      </c>
      <c r="H78" s="13">
        <v>2014</v>
      </c>
      <c r="I78" s="13" t="s">
        <v>623</v>
      </c>
      <c r="J78" s="10">
        <f xml:space="preserve"> 38171814 * 1000</f>
        <v>38171814000</v>
      </c>
      <c r="K78" s="3" t="s">
        <v>1663</v>
      </c>
      <c r="L78" s="3" t="s">
        <v>1264</v>
      </c>
      <c r="M78" s="3" t="s">
        <v>1265</v>
      </c>
      <c r="N78" s="3" t="s">
        <v>1266</v>
      </c>
      <c r="O78" s="3" t="s">
        <v>1267</v>
      </c>
      <c r="P78" s="3" t="s">
        <v>1268</v>
      </c>
      <c r="Q78" s="3"/>
      <c r="R78" s="11" t="s">
        <v>1269</v>
      </c>
      <c r="S78" s="11" t="s">
        <v>1270</v>
      </c>
      <c r="T78" s="3"/>
      <c r="U78" s="3" t="s">
        <v>1271</v>
      </c>
      <c r="V78" s="3"/>
      <c r="W78" s="10">
        <f>IF( J78="s.i", "s.i", IF(ISBLANK(J78),"Actualizando información",IFERROR(J78 / VLOOKUP(A78,Deflactor!$G$3:$H$64,2,0),"Revisar error" )))</f>
        <v>31372253591.839508</v>
      </c>
      <c r="AR78" s="34">
        <f xml:space="preserve"> (954890 + 4676246 + 1709309) * 1000</f>
        <v>7340445000</v>
      </c>
      <c r="AT78" s="46">
        <f t="shared" si="2"/>
        <v>7340445000</v>
      </c>
      <c r="AU78" s="54">
        <f xml:space="preserve"> IFERROR(ROUND(AT78 / VLOOKUP(A78,Tabla1[#All],2,0),0),"s.i")</f>
        <v>11304666</v>
      </c>
      <c r="AV78" s="33">
        <f xml:space="preserve"> IF(AU78="s.i", "s.i", IF(AND(AU78&gt;=Deflactor!$BQ$298,AU78&lt;Deflactor!$BQ$299), Deflactor!$BP$298, IF(AND(AU78&gt;=Deflactor!$BQ$299,AU78&lt;Deflactor!$BQ$300), Deflactor!$BP$299, IF(AND(AU78&gt;=Deflactor!$BQ$300,AU78&lt;Deflactor!$BQ$301), Deflactor!$BP$300, IF(AND(AU78&gt;=Deflactor!$BQ$301,AU78&lt;Deflactor!$BQ$302), Deflactor!$BP$301, IF(AND(AU78&gt;=Deflactor!$BQ$302,AU78&lt;Deflactor!$BQ$303), Deflactor!$BP$302, IF(AND(AU78&gt;=Deflactor!$BQ$303,AU78&lt;Deflactor!$BQ$304), Deflactor!$BP$303, IF(AND(AU78&gt;=Deflactor!$BQ$304,AU78&lt;Deflactor!$BQ$305), Deflactor!$BP$304, IF(AND(AU78&gt;=Deflactor!$BQ$305,AU78&lt;Deflactor!$BQ$306), Deflactor!$BP$305, IF(AND(AU78&gt;=Deflactor!$BQ$306,AU78&lt;Deflactor!$BQ$307), Deflactor!$BP$306, Deflactor!$BP$307) ) ) ) ) ) ) ) ) )</f>
        <v>5</v>
      </c>
      <c r="AW78" s="57" t="str">
        <f>+IFERROR(VLOOKUP(AV78,Deflactor!$BP$298:$BU$307,6,0),"")</f>
        <v>10 a 15 millones USD</v>
      </c>
    </row>
    <row r="79" spans="1:49" x14ac:dyDescent="0.3">
      <c r="A79" s="3">
        <v>2017</v>
      </c>
      <c r="B79" s="3" t="s">
        <v>119</v>
      </c>
      <c r="C79" s="3" t="s">
        <v>7</v>
      </c>
      <c r="D79" s="3" t="s">
        <v>20</v>
      </c>
      <c r="E79" s="3" t="s">
        <v>120</v>
      </c>
      <c r="F79" s="3" t="s">
        <v>95</v>
      </c>
      <c r="G79" s="3" t="s">
        <v>623</v>
      </c>
      <c r="H79" s="13">
        <v>2004</v>
      </c>
      <c r="I79" s="13" t="s">
        <v>623</v>
      </c>
      <c r="J79" s="10">
        <f xml:space="preserve"> 11502842 * 1000000</f>
        <v>11502842000000</v>
      </c>
      <c r="K79" s="3" t="s">
        <v>1674</v>
      </c>
      <c r="L79" s="3" t="s">
        <v>1276</v>
      </c>
      <c r="M79" s="3" t="s">
        <v>1275</v>
      </c>
      <c r="N79" s="3" t="s">
        <v>1277</v>
      </c>
      <c r="O79" s="3" t="s">
        <v>1278</v>
      </c>
      <c r="P79" s="3" t="s">
        <v>1279</v>
      </c>
      <c r="Q79" s="3"/>
      <c r="R79" s="11" t="s">
        <v>1272</v>
      </c>
      <c r="S79" s="11" t="s">
        <v>1273</v>
      </c>
      <c r="T79" s="11" t="s">
        <v>1274</v>
      </c>
      <c r="U79" s="3"/>
      <c r="V79" s="3"/>
      <c r="W79" s="10">
        <f>IF( J79="s.i", "s.i", IF(ISBLANK(J79),"Actualizando información",IFERROR(J79 / VLOOKUP(A79,Deflactor!$G$3:$H$64,2,0),"Revisar error" )))</f>
        <v>9453836180037.5098</v>
      </c>
      <c r="AR79" s="34">
        <f>11502842 * 1000</f>
        <v>11502842000</v>
      </c>
      <c r="AT79" s="46">
        <f t="shared" si="2"/>
        <v>11502842000</v>
      </c>
      <c r="AU79" s="54">
        <f xml:space="preserve"> IFERROR(ROUND(AT79 / VLOOKUP(A79,Tabla1[#All],2,0),0),"s.i")</f>
        <v>17714973</v>
      </c>
      <c r="AV79" s="33">
        <f xml:space="preserve"> IF(AU79="s.i", "s.i", IF(AND(AU79&gt;=Deflactor!$BQ$298,AU79&lt;Deflactor!$BQ$299), Deflactor!$BP$298, IF(AND(AU79&gt;=Deflactor!$BQ$299,AU79&lt;Deflactor!$BQ$300), Deflactor!$BP$299, IF(AND(AU79&gt;=Deflactor!$BQ$300,AU79&lt;Deflactor!$BQ$301), Deflactor!$BP$300, IF(AND(AU79&gt;=Deflactor!$BQ$301,AU79&lt;Deflactor!$BQ$302), Deflactor!$BP$301, IF(AND(AU79&gt;=Deflactor!$BQ$302,AU79&lt;Deflactor!$BQ$303), Deflactor!$BP$302, IF(AND(AU79&gt;=Deflactor!$BQ$303,AU79&lt;Deflactor!$BQ$304), Deflactor!$BP$303, IF(AND(AU79&gt;=Deflactor!$BQ$304,AU79&lt;Deflactor!$BQ$305), Deflactor!$BP$304, IF(AND(AU79&gt;=Deflactor!$BQ$305,AU79&lt;Deflactor!$BQ$306), Deflactor!$BP$305, IF(AND(AU79&gt;=Deflactor!$BQ$306,AU79&lt;Deflactor!$BQ$307), Deflactor!$BP$306, Deflactor!$BP$307) ) ) ) ) ) ) ) ) )</f>
        <v>6</v>
      </c>
      <c r="AW79" s="57" t="str">
        <f>+IFERROR(VLOOKUP(AV79,Deflactor!$BP$298:$BU$307,6,0),"")</f>
        <v>15 a 20 millones USD</v>
      </c>
    </row>
    <row r="80" spans="1:49" x14ac:dyDescent="0.3">
      <c r="A80" s="3">
        <v>2017</v>
      </c>
      <c r="B80" s="3" t="s">
        <v>121</v>
      </c>
      <c r="C80" s="3" t="s">
        <v>7</v>
      </c>
      <c r="D80" s="3" t="s">
        <v>64</v>
      </c>
      <c r="E80" s="3" t="s">
        <v>65</v>
      </c>
      <c r="F80" s="3" t="s">
        <v>95</v>
      </c>
      <c r="G80" s="3" t="s">
        <v>723</v>
      </c>
      <c r="H80" s="13">
        <v>2004</v>
      </c>
      <c r="I80" s="13"/>
      <c r="J80" s="10">
        <f xml:space="preserve"> 18378 * 1000000</f>
        <v>18378000000</v>
      </c>
      <c r="K80" s="3" t="s">
        <v>2290</v>
      </c>
      <c r="L80" s="3" t="s">
        <v>1286</v>
      </c>
      <c r="M80" s="3" t="s">
        <v>1283</v>
      </c>
      <c r="N80" s="3" t="s">
        <v>1284</v>
      </c>
      <c r="O80" s="3" t="s">
        <v>1285</v>
      </c>
      <c r="P80" s="3" t="s">
        <v>1287</v>
      </c>
      <c r="Q80" s="3"/>
      <c r="R80" s="11" t="s">
        <v>1280</v>
      </c>
      <c r="S80" s="11" t="s">
        <v>1281</v>
      </c>
      <c r="T80" s="11" t="s">
        <v>1282</v>
      </c>
      <c r="U80" s="3"/>
      <c r="V80" s="3"/>
      <c r="W80" s="10">
        <f>IF( J80="s.i", "s.i", IF(ISBLANK(J80),"Actualizando información",IFERROR(J80 / VLOOKUP(A80,Deflactor!$G$3:$H$64,2,0),"Revisar error" )))</f>
        <v>15104319551.353426</v>
      </c>
      <c r="AR80" s="10">
        <f>16660641 * 1000</f>
        <v>16660641000</v>
      </c>
      <c r="AT80" s="46">
        <f t="shared" si="2"/>
        <v>16660641000</v>
      </c>
      <c r="AU80" s="54">
        <f xml:space="preserve"> IFERROR(ROUND(AT80 / VLOOKUP(A80,Tabla1[#All],2,0),0),"s.i")</f>
        <v>25658251</v>
      </c>
      <c r="AV80" s="33">
        <f xml:space="preserve"> IF(AU80="s.i", "s.i", IF(AND(AU80&gt;=Deflactor!$BQ$298,AU80&lt;Deflactor!$BQ$299), Deflactor!$BP$298, IF(AND(AU80&gt;=Deflactor!$BQ$299,AU80&lt;Deflactor!$BQ$300), Deflactor!$BP$299, IF(AND(AU80&gt;=Deflactor!$BQ$300,AU80&lt;Deflactor!$BQ$301), Deflactor!$BP$300, IF(AND(AU80&gt;=Deflactor!$BQ$301,AU80&lt;Deflactor!$BQ$302), Deflactor!$BP$301, IF(AND(AU80&gt;=Deflactor!$BQ$302,AU80&lt;Deflactor!$BQ$303), Deflactor!$BP$302, IF(AND(AU80&gt;=Deflactor!$BQ$303,AU80&lt;Deflactor!$BQ$304), Deflactor!$BP$303, IF(AND(AU80&gt;=Deflactor!$BQ$304,AU80&lt;Deflactor!$BQ$305), Deflactor!$BP$304, IF(AND(AU80&gt;=Deflactor!$BQ$305,AU80&lt;Deflactor!$BQ$306), Deflactor!$BP$305, IF(AND(AU80&gt;=Deflactor!$BQ$306,AU80&lt;Deflactor!$BQ$307), Deflactor!$BP$306, Deflactor!$BP$307) ) ) ) ) ) ) ) ) )</f>
        <v>7</v>
      </c>
      <c r="AW80" s="57" t="str">
        <f>+IFERROR(VLOOKUP(AV80,Deflactor!$BP$298:$BU$307,6,0),"")</f>
        <v>20 a 30 millones USD</v>
      </c>
    </row>
    <row r="81" spans="1:49" x14ac:dyDescent="0.3">
      <c r="A81" s="3">
        <v>2017</v>
      </c>
      <c r="B81" s="3" t="s">
        <v>122</v>
      </c>
      <c r="C81" s="3" t="s">
        <v>7</v>
      </c>
      <c r="D81" s="3" t="s">
        <v>32</v>
      </c>
      <c r="E81" s="3" t="s">
        <v>33</v>
      </c>
      <c r="F81" s="3" t="s">
        <v>30</v>
      </c>
      <c r="G81" s="3" t="s">
        <v>723</v>
      </c>
      <c r="H81" s="13">
        <v>2015</v>
      </c>
      <c r="I81" s="13"/>
      <c r="J81" s="10">
        <f xml:space="preserve"> 246302903 * 1000</f>
        <v>246302903000</v>
      </c>
      <c r="K81" s="3" t="s">
        <v>1653</v>
      </c>
      <c r="L81" s="3" t="s">
        <v>1293</v>
      </c>
      <c r="M81" s="3" t="s">
        <v>1291</v>
      </c>
      <c r="N81" s="3" t="s">
        <v>1292</v>
      </c>
      <c r="O81" s="3" t="s">
        <v>1294</v>
      </c>
      <c r="P81" s="3" t="s">
        <v>1295</v>
      </c>
      <c r="Q81" s="3"/>
      <c r="R81" s="11" t="s">
        <v>1288</v>
      </c>
      <c r="S81" s="11" t="s">
        <v>1289</v>
      </c>
      <c r="T81" s="11" t="s">
        <v>1290</v>
      </c>
      <c r="U81" s="3" t="s">
        <v>1197</v>
      </c>
      <c r="V81" s="3"/>
      <c r="W81" s="10">
        <f>IF( J81="s.i", "s.i", IF(ISBLANK(J81),"Actualizando información",IFERROR(J81 / VLOOKUP(A81,Deflactor!$G$3:$H$64,2,0),"Revisar error" )))</f>
        <v>202428868937.75201</v>
      </c>
      <c r="AR81" s="34"/>
      <c r="AT81" s="46"/>
      <c r="AU81" s="54"/>
      <c r="AV81" s="33">
        <f xml:space="preserve"> IF(AU81="s.i", "s.i", IF(AND(AU81&gt;=Deflactor!$BQ$298,AU81&lt;Deflactor!$BQ$299), Deflactor!$BP$298, IF(AND(AU81&gt;=Deflactor!$BQ$299,AU81&lt;Deflactor!$BQ$300), Deflactor!$BP$299, IF(AND(AU81&gt;=Deflactor!$BQ$300,AU81&lt;Deflactor!$BQ$301), Deflactor!$BP$300, IF(AND(AU81&gt;=Deflactor!$BQ$301,AU81&lt;Deflactor!$BQ$302), Deflactor!$BP$301, IF(AND(AU81&gt;=Deflactor!$BQ$302,AU81&lt;Deflactor!$BQ$303), Deflactor!$BP$302, IF(AND(AU81&gt;=Deflactor!$BQ$303,AU81&lt;Deflactor!$BQ$304), Deflactor!$BP$303, IF(AND(AU81&gt;=Deflactor!$BQ$304,AU81&lt;Deflactor!$BQ$305), Deflactor!$BP$304, IF(AND(AU81&gt;=Deflactor!$BQ$305,AU81&lt;Deflactor!$BQ$306), Deflactor!$BP$305, IF(AND(AU81&gt;=Deflactor!$BQ$306,AU81&lt;Deflactor!$BQ$307), Deflactor!$BP$306, Deflactor!$BP$307) ) ) ) ) ) ) ) ) )</f>
        <v>10</v>
      </c>
      <c r="AW81" s="57" t="str">
        <f>+IFERROR(VLOOKUP(AV81,Deflactor!$BP$298:$BU$307,6,0),"")</f>
        <v>100 millones USD y mas</v>
      </c>
    </row>
    <row r="82" spans="1:49" x14ac:dyDescent="0.3">
      <c r="A82" s="3">
        <v>2016</v>
      </c>
      <c r="B82" s="3" t="s">
        <v>123</v>
      </c>
      <c r="C82" s="3" t="s">
        <v>7</v>
      </c>
      <c r="D82" s="3" t="s">
        <v>40</v>
      </c>
      <c r="E82" s="3" t="s">
        <v>43</v>
      </c>
      <c r="F82" s="3" t="s">
        <v>89</v>
      </c>
      <c r="G82" s="3" t="s">
        <v>723</v>
      </c>
      <c r="H82" s="13">
        <v>2008</v>
      </c>
      <c r="I82" s="13" t="s">
        <v>623</v>
      </c>
      <c r="J82" s="10">
        <f xml:space="preserve"> 33740927 * 1000</f>
        <v>33740927000</v>
      </c>
      <c r="K82" s="3" t="s">
        <v>2283</v>
      </c>
      <c r="L82" s="3" t="s">
        <v>1336</v>
      </c>
      <c r="M82" s="3" t="s">
        <v>1337</v>
      </c>
      <c r="N82" s="3" t="s">
        <v>1338</v>
      </c>
      <c r="O82" s="3" t="s">
        <v>1339</v>
      </c>
      <c r="P82" s="3"/>
      <c r="Q82" s="3"/>
      <c r="R82" s="3" t="s">
        <v>1340</v>
      </c>
      <c r="S82" s="3" t="s">
        <v>1341</v>
      </c>
      <c r="T82" s="3" t="s">
        <v>1342</v>
      </c>
      <c r="U82" s="3" t="s">
        <v>1611</v>
      </c>
      <c r="V82" s="3"/>
      <c r="W82" s="10">
        <f>IF( J82="s.i", "s.i", IF(ISBLANK(J82),"Actualizando información",IFERROR(J82 / VLOOKUP(A82,Deflactor!$G$3:$H$64,2,0),"Revisar error" )))</f>
        <v>29056725512.718685</v>
      </c>
      <c r="AR82" s="10">
        <f t="shared" ref="AR82:AR83" si="3">22728030 * 1000</f>
        <v>22728030000</v>
      </c>
      <c r="AT82" s="46">
        <f t="shared" si="2"/>
        <v>22728030000</v>
      </c>
      <c r="AU82" s="54">
        <f xml:space="preserve"> IFERROR(ROUND(AT82 / VLOOKUP(A82,Tabla1[#All],2,0),0),"s.i")</f>
        <v>33579996</v>
      </c>
      <c r="AV82" s="33">
        <f xml:space="preserve"> IF(AU82="s.i", "s.i", IF(AND(AU82&gt;=Deflactor!$BQ$298,AU82&lt;Deflactor!$BQ$299), Deflactor!$BP$298, IF(AND(AU82&gt;=Deflactor!$BQ$299,AU82&lt;Deflactor!$BQ$300), Deflactor!$BP$299, IF(AND(AU82&gt;=Deflactor!$BQ$300,AU82&lt;Deflactor!$BQ$301), Deflactor!$BP$300, IF(AND(AU82&gt;=Deflactor!$BQ$301,AU82&lt;Deflactor!$BQ$302), Deflactor!$BP$301, IF(AND(AU82&gt;=Deflactor!$BQ$302,AU82&lt;Deflactor!$BQ$303), Deflactor!$BP$302, IF(AND(AU82&gt;=Deflactor!$BQ$303,AU82&lt;Deflactor!$BQ$304), Deflactor!$BP$303, IF(AND(AU82&gt;=Deflactor!$BQ$304,AU82&lt;Deflactor!$BQ$305), Deflactor!$BP$304, IF(AND(AU82&gt;=Deflactor!$BQ$305,AU82&lt;Deflactor!$BQ$306), Deflactor!$BP$305, IF(AND(AU82&gt;=Deflactor!$BQ$306,AU82&lt;Deflactor!$BQ$307), Deflactor!$BP$306, Deflactor!$BP$307) ) ) ) ) ) ) ) ) )</f>
        <v>8</v>
      </c>
      <c r="AW82" s="57" t="str">
        <f>+IFERROR(VLOOKUP(AV82,Deflactor!$BP$298:$BU$307,6,0),"")</f>
        <v>30 a 50 millones USD</v>
      </c>
    </row>
    <row r="83" spans="1:49" x14ac:dyDescent="0.3">
      <c r="A83" s="3">
        <v>2016</v>
      </c>
      <c r="B83" s="3" t="s">
        <v>124</v>
      </c>
      <c r="C83" s="3" t="s">
        <v>7</v>
      </c>
      <c r="D83" s="3" t="s">
        <v>40</v>
      </c>
      <c r="E83" s="3" t="s">
        <v>43</v>
      </c>
      <c r="F83" s="3" t="s">
        <v>89</v>
      </c>
      <c r="G83" s="3" t="s">
        <v>723</v>
      </c>
      <c r="H83" s="13">
        <v>2008</v>
      </c>
      <c r="I83" s="13" t="s">
        <v>623</v>
      </c>
      <c r="J83" s="10">
        <f xml:space="preserve"> 33740927 * 1000</f>
        <v>33740927000</v>
      </c>
      <c r="K83" s="3" t="s">
        <v>2283</v>
      </c>
      <c r="L83" s="3" t="s">
        <v>1336</v>
      </c>
      <c r="M83" s="3" t="s">
        <v>1337</v>
      </c>
      <c r="N83" s="3" t="s">
        <v>1338</v>
      </c>
      <c r="O83" s="3" t="s">
        <v>1339</v>
      </c>
      <c r="P83" s="3"/>
      <c r="Q83" s="3"/>
      <c r="R83" s="3" t="s">
        <v>1340</v>
      </c>
      <c r="S83" s="3" t="s">
        <v>1341</v>
      </c>
      <c r="T83" s="3" t="s">
        <v>1342</v>
      </c>
      <c r="U83" s="3" t="s">
        <v>1611</v>
      </c>
      <c r="V83" s="3"/>
      <c r="W83" s="10">
        <f>IF( J83="s.i", "s.i", IF(ISBLANK(J83),"Actualizando información",IFERROR(J83 / VLOOKUP(A83,Deflactor!$G$3:$H$64,2,0),"Revisar error" )))</f>
        <v>29056725512.718685</v>
      </c>
      <c r="AR83" s="10">
        <f t="shared" si="3"/>
        <v>22728030000</v>
      </c>
      <c r="AT83" s="46">
        <f t="shared" si="2"/>
        <v>22728030000</v>
      </c>
      <c r="AU83" s="54">
        <f xml:space="preserve"> IFERROR(ROUND(AT83 / VLOOKUP(A83,Tabla1[#All],2,0),0),"s.i")</f>
        <v>33579996</v>
      </c>
      <c r="AV83" s="33">
        <f xml:space="preserve"> IF(AU83="s.i", "s.i", IF(AND(AU83&gt;=Deflactor!$BQ$298,AU83&lt;Deflactor!$BQ$299), Deflactor!$BP$298, IF(AND(AU83&gt;=Deflactor!$BQ$299,AU83&lt;Deflactor!$BQ$300), Deflactor!$BP$299, IF(AND(AU83&gt;=Deflactor!$BQ$300,AU83&lt;Deflactor!$BQ$301), Deflactor!$BP$300, IF(AND(AU83&gt;=Deflactor!$BQ$301,AU83&lt;Deflactor!$BQ$302), Deflactor!$BP$301, IF(AND(AU83&gt;=Deflactor!$BQ$302,AU83&lt;Deflactor!$BQ$303), Deflactor!$BP$302, IF(AND(AU83&gt;=Deflactor!$BQ$303,AU83&lt;Deflactor!$BQ$304), Deflactor!$BP$303, IF(AND(AU83&gt;=Deflactor!$BQ$304,AU83&lt;Deflactor!$BQ$305), Deflactor!$BP$304, IF(AND(AU83&gt;=Deflactor!$BQ$305,AU83&lt;Deflactor!$BQ$306), Deflactor!$BP$305, IF(AND(AU83&gt;=Deflactor!$BQ$306,AU83&lt;Deflactor!$BQ$307), Deflactor!$BP$306, Deflactor!$BP$307) ) ) ) ) ) ) ) ) )</f>
        <v>8</v>
      </c>
      <c r="AW83" s="57" t="str">
        <f>+IFERROR(VLOOKUP(AV83,Deflactor!$BP$298:$BU$307,6,0),"")</f>
        <v>30 a 50 millones USD</v>
      </c>
    </row>
    <row r="84" spans="1:49" x14ac:dyDescent="0.3">
      <c r="A84" s="3">
        <v>2016</v>
      </c>
      <c r="B84" s="3" t="s">
        <v>125</v>
      </c>
      <c r="C84" s="3" t="s">
        <v>7</v>
      </c>
      <c r="D84" s="3" t="s">
        <v>54</v>
      </c>
      <c r="E84" s="3" t="s">
        <v>55</v>
      </c>
      <c r="F84" s="3" t="s">
        <v>89</v>
      </c>
      <c r="G84" s="3" t="s">
        <v>623</v>
      </c>
      <c r="H84" s="13">
        <v>2011</v>
      </c>
      <c r="I84" s="13" t="s">
        <v>623</v>
      </c>
      <c r="J84" s="10">
        <f xml:space="preserve"> 9170.9 * 1000000</f>
        <v>9170900000</v>
      </c>
      <c r="K84" s="3" t="s">
        <v>1658</v>
      </c>
      <c r="L84" s="3" t="s">
        <v>1343</v>
      </c>
      <c r="M84" s="3" t="s">
        <v>1344</v>
      </c>
      <c r="N84" s="3" t="s">
        <v>1345</v>
      </c>
      <c r="O84" s="3"/>
      <c r="P84" s="3"/>
      <c r="Q84" s="3"/>
      <c r="R84" s="3" t="s">
        <v>1346</v>
      </c>
      <c r="S84" s="3" t="s">
        <v>1347</v>
      </c>
      <c r="T84" s="3" t="s">
        <v>1348</v>
      </c>
      <c r="U84" s="3"/>
      <c r="V84" s="3"/>
      <c r="W84" s="10">
        <f>IF( J84="s.i", "s.i", IF(ISBLANK(J84),"Actualizando información",IFERROR(J84 / VLOOKUP(A84,Deflactor!$G$3:$H$64,2,0),"Revisar error" )))</f>
        <v>7897717925.9061785</v>
      </c>
      <c r="AR84" s="34"/>
      <c r="AT84" s="46">
        <f>'Notas reunion'!T41</f>
        <v>9363819000</v>
      </c>
      <c r="AU84" s="54">
        <f xml:space="preserve"> IFERROR(ROUND(AT84 / VLOOKUP(A84,Tabla1[#All],2,0),0),"s.i")</f>
        <v>13834767</v>
      </c>
      <c r="AV84" s="33">
        <f xml:space="preserve"> IF(AU84="s.i", "s.i", IF(AND(AU84&gt;=Deflactor!$BQ$298,AU84&lt;Deflactor!$BQ$299), Deflactor!$BP$298, IF(AND(AU84&gt;=Deflactor!$BQ$299,AU84&lt;Deflactor!$BQ$300), Deflactor!$BP$299, IF(AND(AU84&gt;=Deflactor!$BQ$300,AU84&lt;Deflactor!$BQ$301), Deflactor!$BP$300, IF(AND(AU84&gt;=Deflactor!$BQ$301,AU84&lt;Deflactor!$BQ$302), Deflactor!$BP$301, IF(AND(AU84&gt;=Deflactor!$BQ$302,AU84&lt;Deflactor!$BQ$303), Deflactor!$BP$302, IF(AND(AU84&gt;=Deflactor!$BQ$303,AU84&lt;Deflactor!$BQ$304), Deflactor!$BP$303, IF(AND(AU84&gt;=Deflactor!$BQ$304,AU84&lt;Deflactor!$BQ$305), Deflactor!$BP$304, IF(AND(AU84&gt;=Deflactor!$BQ$305,AU84&lt;Deflactor!$BQ$306), Deflactor!$BP$305, IF(AND(AU84&gt;=Deflactor!$BQ$306,AU84&lt;Deflactor!$BQ$307), Deflactor!$BP$306, Deflactor!$BP$307) ) ) ) ) ) ) ) ) )</f>
        <v>5</v>
      </c>
      <c r="AW84" s="57" t="str">
        <f>+IFERROR(VLOOKUP(AV84,Deflactor!$BP$298:$BU$307,6,0),"")</f>
        <v>10 a 15 millones USD</v>
      </c>
    </row>
    <row r="85" spans="1:49" x14ac:dyDescent="0.3">
      <c r="A85" s="3">
        <v>2016</v>
      </c>
      <c r="B85" s="3" t="s">
        <v>126</v>
      </c>
      <c r="C85" s="3" t="s">
        <v>7</v>
      </c>
      <c r="D85" s="3" t="s">
        <v>64</v>
      </c>
      <c r="E85" s="3" t="s">
        <v>65</v>
      </c>
      <c r="F85" s="3" t="s">
        <v>95</v>
      </c>
      <c r="G85" s="3" t="s">
        <v>723</v>
      </c>
      <c r="H85" s="13">
        <v>2012</v>
      </c>
      <c r="I85" s="13" t="s">
        <v>623</v>
      </c>
      <c r="J85" s="10">
        <f xml:space="preserve"> 57221053 * 1000</f>
        <v>57221053000</v>
      </c>
      <c r="K85" s="3" t="s">
        <v>2292</v>
      </c>
      <c r="L85" s="3" t="s">
        <v>1349</v>
      </c>
      <c r="M85" s="3" t="s">
        <v>1350</v>
      </c>
      <c r="N85" s="3" t="s">
        <v>1351</v>
      </c>
      <c r="O85" s="3" t="s">
        <v>1352</v>
      </c>
      <c r="P85" s="3"/>
      <c r="Q85" s="3"/>
      <c r="R85" s="3" t="s">
        <v>1353</v>
      </c>
      <c r="S85" s="3" t="s">
        <v>1354</v>
      </c>
      <c r="T85" s="3" t="s">
        <v>1355</v>
      </c>
      <c r="U85" s="3"/>
      <c r="V85" s="3"/>
      <c r="W85" s="10">
        <f>IF( J85="s.i", "s.i", IF(ISBLANK(J85),"Actualizando información",IFERROR(J85 / VLOOKUP(A85,Deflactor!$G$3:$H$64,2,0),"Revisar error" )))</f>
        <v>49277141394.773415</v>
      </c>
      <c r="AR85" s="10">
        <f>57221053 * 1000</f>
        <v>57221053000</v>
      </c>
      <c r="AT85" s="46">
        <f t="shared" si="2"/>
        <v>57221053000</v>
      </c>
      <c r="AU85" s="54">
        <f xml:space="preserve"> IFERROR(ROUND(AT85 / VLOOKUP(A85,Tabla1[#All],2,0),0),"s.i")</f>
        <v>84542423</v>
      </c>
      <c r="AV85" s="33">
        <f xml:space="preserve"> IF(AU85="s.i", "s.i", IF(AND(AU85&gt;=Deflactor!$BQ$298,AU85&lt;Deflactor!$BQ$299), Deflactor!$BP$298, IF(AND(AU85&gt;=Deflactor!$BQ$299,AU85&lt;Deflactor!$BQ$300), Deflactor!$BP$299, IF(AND(AU85&gt;=Deflactor!$BQ$300,AU85&lt;Deflactor!$BQ$301), Deflactor!$BP$300, IF(AND(AU85&gt;=Deflactor!$BQ$301,AU85&lt;Deflactor!$BQ$302), Deflactor!$BP$301, IF(AND(AU85&gt;=Deflactor!$BQ$302,AU85&lt;Deflactor!$BQ$303), Deflactor!$BP$302, IF(AND(AU85&gt;=Deflactor!$BQ$303,AU85&lt;Deflactor!$BQ$304), Deflactor!$BP$303, IF(AND(AU85&gt;=Deflactor!$BQ$304,AU85&lt;Deflactor!$BQ$305), Deflactor!$BP$304, IF(AND(AU85&gt;=Deflactor!$BQ$305,AU85&lt;Deflactor!$BQ$306), Deflactor!$BP$305, IF(AND(AU85&gt;=Deflactor!$BQ$306,AU85&lt;Deflactor!$BQ$307), Deflactor!$BP$306, Deflactor!$BP$307) ) ) ) ) ) ) ) ) )</f>
        <v>9</v>
      </c>
      <c r="AW85" s="57" t="str">
        <f>+IFERROR(VLOOKUP(AV85,Deflactor!$BP$298:$BU$307,6,0),"")</f>
        <v>50 a 100 millones USD</v>
      </c>
    </row>
    <row r="86" spans="1:49" x14ac:dyDescent="0.3">
      <c r="A86" s="3">
        <v>2016</v>
      </c>
      <c r="B86" s="3" t="s">
        <v>127</v>
      </c>
      <c r="C86" s="3" t="s">
        <v>7</v>
      </c>
      <c r="D86" s="3" t="s">
        <v>64</v>
      </c>
      <c r="E86" s="3" t="s">
        <v>128</v>
      </c>
      <c r="F86" s="3" t="s">
        <v>89</v>
      </c>
      <c r="G86" s="3" t="s">
        <v>723</v>
      </c>
      <c r="H86" s="13">
        <v>2001</v>
      </c>
      <c r="I86" s="13" t="s">
        <v>623</v>
      </c>
      <c r="J86" s="10">
        <f xml:space="preserve"> 7905 * 1000000</f>
        <v>7905000000</v>
      </c>
      <c r="K86" s="3" t="s">
        <v>2293</v>
      </c>
      <c r="L86" s="3" t="s">
        <v>1356</v>
      </c>
      <c r="M86" s="3" t="s">
        <v>1357</v>
      </c>
      <c r="N86" s="3" t="s">
        <v>1358</v>
      </c>
      <c r="O86" s="3" t="s">
        <v>1359</v>
      </c>
      <c r="P86" s="3"/>
      <c r="Q86" s="3"/>
      <c r="R86" s="3" t="s">
        <v>1360</v>
      </c>
      <c r="S86" s="3" t="s">
        <v>1361</v>
      </c>
      <c r="T86" s="3" t="s">
        <v>1362</v>
      </c>
      <c r="U86" s="3"/>
      <c r="V86" s="3"/>
      <c r="W86" s="10">
        <f>IF( J86="s.i", "s.i", IF(ISBLANK(J86),"Actualizando información",IFERROR(J86 / VLOOKUP(A86,Deflactor!$G$3:$H$64,2,0),"Revisar error" )))</f>
        <v>6807560894.163969</v>
      </c>
      <c r="AR86" s="10">
        <f>7904996 * 1000</f>
        <v>7904996000</v>
      </c>
      <c r="AT86" s="46">
        <f t="shared" si="2"/>
        <v>7904996000</v>
      </c>
      <c r="AU86" s="54">
        <f xml:space="preserve"> IFERROR(ROUND(AT86 / VLOOKUP(A86,Tabla1[#All],2,0),0),"s.i")</f>
        <v>11679399</v>
      </c>
      <c r="AV86" s="33">
        <f xml:space="preserve"> IF(AU86="s.i", "s.i", IF(AND(AU86&gt;=Deflactor!$BQ$298,AU86&lt;Deflactor!$BQ$299), Deflactor!$BP$298, IF(AND(AU86&gt;=Deflactor!$BQ$299,AU86&lt;Deflactor!$BQ$300), Deflactor!$BP$299, IF(AND(AU86&gt;=Deflactor!$BQ$300,AU86&lt;Deflactor!$BQ$301), Deflactor!$BP$300, IF(AND(AU86&gt;=Deflactor!$BQ$301,AU86&lt;Deflactor!$BQ$302), Deflactor!$BP$301, IF(AND(AU86&gt;=Deflactor!$BQ$302,AU86&lt;Deflactor!$BQ$303), Deflactor!$BP$302, IF(AND(AU86&gt;=Deflactor!$BQ$303,AU86&lt;Deflactor!$BQ$304), Deflactor!$BP$303, IF(AND(AU86&gt;=Deflactor!$BQ$304,AU86&lt;Deflactor!$BQ$305), Deflactor!$BP$304, IF(AND(AU86&gt;=Deflactor!$BQ$305,AU86&lt;Deflactor!$BQ$306), Deflactor!$BP$305, IF(AND(AU86&gt;=Deflactor!$BQ$306,AU86&lt;Deflactor!$BQ$307), Deflactor!$BP$306, Deflactor!$BP$307) ) ) ) ) ) ) ) ) )</f>
        <v>5</v>
      </c>
      <c r="AW86" s="57" t="str">
        <f>+IFERROR(VLOOKUP(AV86,Deflactor!$BP$298:$BU$307,6,0),"")</f>
        <v>10 a 15 millones USD</v>
      </c>
    </row>
    <row r="87" spans="1:49" x14ac:dyDescent="0.3">
      <c r="A87" s="3">
        <v>2016</v>
      </c>
      <c r="B87" s="3" t="s">
        <v>129</v>
      </c>
      <c r="C87" s="3" t="s">
        <v>7</v>
      </c>
      <c r="D87" s="3" t="s">
        <v>36</v>
      </c>
      <c r="E87" s="3" t="s">
        <v>130</v>
      </c>
      <c r="F87" s="3" t="s">
        <v>95</v>
      </c>
      <c r="G87" s="3" t="s">
        <v>723</v>
      </c>
      <c r="H87" s="13">
        <v>2002</v>
      </c>
      <c r="I87" s="13" t="s">
        <v>623</v>
      </c>
      <c r="J87" s="10">
        <f xml:space="preserve"> 8615 * 1000000</f>
        <v>8615000000</v>
      </c>
      <c r="K87" s="3" t="s">
        <v>2295</v>
      </c>
      <c r="L87" s="3" t="s">
        <v>1049</v>
      </c>
      <c r="M87" s="3" t="s">
        <v>1050</v>
      </c>
      <c r="N87" s="3" t="s">
        <v>1051</v>
      </c>
      <c r="O87" s="3" t="s">
        <v>1052</v>
      </c>
      <c r="P87" s="3"/>
      <c r="Q87" s="3"/>
      <c r="R87" s="3" t="s">
        <v>1053</v>
      </c>
      <c r="S87" s="3" t="s">
        <v>1054</v>
      </c>
      <c r="T87" s="3" t="s">
        <v>1055</v>
      </c>
      <c r="U87" s="3"/>
      <c r="V87" s="3"/>
      <c r="W87" s="10">
        <f>IF( J87="s.i", "s.i", IF(ISBLANK(J87),"Actualizando información",IFERROR(J87 / VLOOKUP(A87,Deflactor!$G$3:$H$64,2,0),"Revisar error" )))</f>
        <v>7418992675.9294872</v>
      </c>
      <c r="AR87" s="10">
        <f>5355117 * 1000</f>
        <v>5355117000</v>
      </c>
      <c r="AT87" s="46">
        <f t="shared" si="2"/>
        <v>5355117000</v>
      </c>
      <c r="AU87" s="54">
        <f xml:space="preserve"> IFERROR(ROUND(AT87 / VLOOKUP(A87,Tabla1[#All],2,0),0),"s.i")</f>
        <v>7912028</v>
      </c>
      <c r="AV87" s="33">
        <f xml:space="preserve"> IF(AU87="s.i", "s.i", IF(AND(AU87&gt;=Deflactor!$BQ$298,AU87&lt;Deflactor!$BQ$299), Deflactor!$BP$298, IF(AND(AU87&gt;=Deflactor!$BQ$299,AU87&lt;Deflactor!$BQ$300), Deflactor!$BP$299, IF(AND(AU87&gt;=Deflactor!$BQ$300,AU87&lt;Deflactor!$BQ$301), Deflactor!$BP$300, IF(AND(AU87&gt;=Deflactor!$BQ$301,AU87&lt;Deflactor!$BQ$302), Deflactor!$BP$301, IF(AND(AU87&gt;=Deflactor!$BQ$302,AU87&lt;Deflactor!$BQ$303), Deflactor!$BP$302, IF(AND(AU87&gt;=Deflactor!$BQ$303,AU87&lt;Deflactor!$BQ$304), Deflactor!$BP$303, IF(AND(AU87&gt;=Deflactor!$BQ$304,AU87&lt;Deflactor!$BQ$305), Deflactor!$BP$304, IF(AND(AU87&gt;=Deflactor!$BQ$305,AU87&lt;Deflactor!$BQ$306), Deflactor!$BP$305, IF(AND(AU87&gt;=Deflactor!$BQ$306,AU87&lt;Deflactor!$BQ$307), Deflactor!$BP$306, Deflactor!$BP$307) ) ) ) ) ) ) ) ) )</f>
        <v>4</v>
      </c>
      <c r="AW87" s="57" t="str">
        <f>+IFERROR(VLOOKUP(AV87,Deflactor!$BP$298:$BU$307,6,0),"")</f>
        <v>7,5 a 10 millones USD</v>
      </c>
    </row>
    <row r="88" spans="1:49" x14ac:dyDescent="0.3">
      <c r="A88" s="3">
        <v>2016</v>
      </c>
      <c r="B88" s="3" t="s">
        <v>131</v>
      </c>
      <c r="C88" s="3" t="s">
        <v>7</v>
      </c>
      <c r="D88" s="3" t="s">
        <v>36</v>
      </c>
      <c r="E88" s="3" t="s">
        <v>94</v>
      </c>
      <c r="F88" s="3" t="s">
        <v>95</v>
      </c>
      <c r="G88" s="3" t="s">
        <v>723</v>
      </c>
      <c r="H88" s="13">
        <v>1991</v>
      </c>
      <c r="I88" s="13" t="s">
        <v>623</v>
      </c>
      <c r="J88" s="10">
        <f xml:space="preserve"> 20900 * 1000000</f>
        <v>20900000000</v>
      </c>
      <c r="K88" s="3" t="s">
        <v>1664</v>
      </c>
      <c r="L88" s="3" t="s">
        <v>1056</v>
      </c>
      <c r="M88" s="3" t="s">
        <v>1057</v>
      </c>
      <c r="N88" s="3" t="s">
        <v>1058</v>
      </c>
      <c r="O88" s="3" t="s">
        <v>1059</v>
      </c>
      <c r="P88" s="3"/>
      <c r="Q88" s="3"/>
      <c r="R88" s="3" t="s">
        <v>1060</v>
      </c>
      <c r="S88" s="3" t="s">
        <v>1061</v>
      </c>
      <c r="T88" s="3" t="s">
        <v>1062</v>
      </c>
      <c r="U88" s="3"/>
      <c r="V88" s="3"/>
      <c r="W88" s="10">
        <f>IF( J88="s.i", "s.i", IF(ISBLANK(J88),"Actualizando información",IFERROR(J88 / VLOOKUP(A88,Deflactor!$G$3:$H$64,2,0),"Revisar error" )))</f>
        <v>17998484843.520172</v>
      </c>
      <c r="AR88" s="34">
        <f>20271928 * 1000</f>
        <v>20271928000</v>
      </c>
      <c r="AT88" s="46">
        <f t="shared" si="2"/>
        <v>20271928000</v>
      </c>
      <c r="AU88" s="54">
        <f xml:space="preserve"> IFERROR(ROUND(AT88 / VLOOKUP(A88,Tabla1[#All],2,0),0),"s.i")</f>
        <v>29951178</v>
      </c>
      <c r="AV88" s="33">
        <f xml:space="preserve"> IF(AU88="s.i", "s.i", IF(AND(AU88&gt;=Deflactor!$BQ$298,AU88&lt;Deflactor!$BQ$299), Deflactor!$BP$298, IF(AND(AU88&gt;=Deflactor!$BQ$299,AU88&lt;Deflactor!$BQ$300), Deflactor!$BP$299, IF(AND(AU88&gt;=Deflactor!$BQ$300,AU88&lt;Deflactor!$BQ$301), Deflactor!$BP$300, IF(AND(AU88&gt;=Deflactor!$BQ$301,AU88&lt;Deflactor!$BQ$302), Deflactor!$BP$301, IF(AND(AU88&gt;=Deflactor!$BQ$302,AU88&lt;Deflactor!$BQ$303), Deflactor!$BP$302, IF(AND(AU88&gt;=Deflactor!$BQ$303,AU88&lt;Deflactor!$BQ$304), Deflactor!$BP$303, IF(AND(AU88&gt;=Deflactor!$BQ$304,AU88&lt;Deflactor!$BQ$305), Deflactor!$BP$304, IF(AND(AU88&gt;=Deflactor!$BQ$305,AU88&lt;Deflactor!$BQ$306), Deflactor!$BP$305, IF(AND(AU88&gt;=Deflactor!$BQ$306,AU88&lt;Deflactor!$BQ$307), Deflactor!$BP$306, Deflactor!$BP$307) ) ) ) ) ) ) ) ) )</f>
        <v>7</v>
      </c>
      <c r="AW88" s="57" t="str">
        <f>+IFERROR(VLOOKUP(AV88,Deflactor!$BP$298:$BU$307,6,0),"")</f>
        <v>20 a 30 millones USD</v>
      </c>
    </row>
    <row r="89" spans="1:49" x14ac:dyDescent="0.3">
      <c r="A89" s="3">
        <v>2016</v>
      </c>
      <c r="B89" s="3" t="s">
        <v>132</v>
      </c>
      <c r="C89" s="3" t="s">
        <v>7</v>
      </c>
      <c r="D89" s="3" t="s">
        <v>36</v>
      </c>
      <c r="E89" s="3" t="s">
        <v>37</v>
      </c>
      <c r="F89" s="3" t="s">
        <v>89</v>
      </c>
      <c r="G89" s="3" t="s">
        <v>723</v>
      </c>
      <c r="H89" s="13">
        <v>2004</v>
      </c>
      <c r="I89" s="13" t="s">
        <v>623</v>
      </c>
      <c r="J89" s="10">
        <f xml:space="preserve"> 1667 * 1000000</f>
        <v>1667000000</v>
      </c>
      <c r="K89" s="3" t="s">
        <v>2298</v>
      </c>
      <c r="L89" s="3" t="s">
        <v>1063</v>
      </c>
      <c r="M89" s="3" t="s">
        <v>1064</v>
      </c>
      <c r="N89" s="3" t="s">
        <v>1065</v>
      </c>
      <c r="O89" s="3" t="s">
        <v>1066</v>
      </c>
      <c r="P89" s="3" t="s">
        <v>1067</v>
      </c>
      <c r="Q89" s="3"/>
      <c r="R89" s="3" t="s">
        <v>1068</v>
      </c>
      <c r="S89" s="3" t="s">
        <v>1069</v>
      </c>
      <c r="T89" s="3" t="s">
        <v>1070</v>
      </c>
      <c r="U89" s="3"/>
      <c r="V89" s="3"/>
      <c r="W89" s="10">
        <f>IF( J89="s.i", "s.i", IF(ISBLANK(J89),"Actualizando información",IFERROR(J89 / VLOOKUP(A89,Deflactor!$G$3:$H$64,2,0),"Revisar error" )))</f>
        <v>1435572929.8635466</v>
      </c>
      <c r="AR89" s="34">
        <f>10738110 * 1000</f>
        <v>10738110000</v>
      </c>
      <c r="AT89" s="46">
        <f t="shared" si="2"/>
        <v>10738110000</v>
      </c>
      <c r="AU89" s="54">
        <f xml:space="preserve"> IFERROR(ROUND(AT89 / VLOOKUP(A89,Tabla1[#All],2,0),0),"s.i")</f>
        <v>15865242</v>
      </c>
      <c r="AV89" s="33">
        <f xml:space="preserve"> IF(AU89="s.i", "s.i", IF(AND(AU89&gt;=Deflactor!$BQ$298,AU89&lt;Deflactor!$BQ$299), Deflactor!$BP$298, IF(AND(AU89&gt;=Deflactor!$BQ$299,AU89&lt;Deflactor!$BQ$300), Deflactor!$BP$299, IF(AND(AU89&gt;=Deflactor!$BQ$300,AU89&lt;Deflactor!$BQ$301), Deflactor!$BP$300, IF(AND(AU89&gt;=Deflactor!$BQ$301,AU89&lt;Deflactor!$BQ$302), Deflactor!$BP$301, IF(AND(AU89&gt;=Deflactor!$BQ$302,AU89&lt;Deflactor!$BQ$303), Deflactor!$BP$302, IF(AND(AU89&gt;=Deflactor!$BQ$303,AU89&lt;Deflactor!$BQ$304), Deflactor!$BP$303, IF(AND(AU89&gt;=Deflactor!$BQ$304,AU89&lt;Deflactor!$BQ$305), Deflactor!$BP$304, IF(AND(AU89&gt;=Deflactor!$BQ$305,AU89&lt;Deflactor!$BQ$306), Deflactor!$BP$305, IF(AND(AU89&gt;=Deflactor!$BQ$306,AU89&lt;Deflactor!$BQ$307), Deflactor!$BP$306, Deflactor!$BP$307) ) ) ) ) ) ) ) ) )</f>
        <v>6</v>
      </c>
      <c r="AW89" s="57" t="str">
        <f>+IFERROR(VLOOKUP(AV89,Deflactor!$BP$298:$BU$307,6,0),"")</f>
        <v>15 a 20 millones USD</v>
      </c>
    </row>
    <row r="90" spans="1:49" x14ac:dyDescent="0.3">
      <c r="A90" s="3">
        <v>2016</v>
      </c>
      <c r="B90" s="3" t="s">
        <v>133</v>
      </c>
      <c r="C90" s="3" t="s">
        <v>7</v>
      </c>
      <c r="D90" s="3" t="s">
        <v>36</v>
      </c>
      <c r="E90" s="3" t="s">
        <v>37</v>
      </c>
      <c r="F90" s="3" t="s">
        <v>89</v>
      </c>
      <c r="G90" s="3" t="s">
        <v>723</v>
      </c>
      <c r="H90" s="13">
        <v>2002</v>
      </c>
      <c r="I90" s="13" t="s">
        <v>623</v>
      </c>
      <c r="J90" s="10" t="s">
        <v>623</v>
      </c>
      <c r="K90" s="3" t="s">
        <v>132</v>
      </c>
      <c r="L90" s="3" t="s">
        <v>2296</v>
      </c>
      <c r="M90" s="3" t="s">
        <v>1071</v>
      </c>
      <c r="N90" s="3" t="s">
        <v>1072</v>
      </c>
      <c r="O90" s="3"/>
      <c r="P90" s="3"/>
      <c r="Q90" s="3"/>
      <c r="R90" s="3" t="s">
        <v>1073</v>
      </c>
      <c r="S90" s="3" t="s">
        <v>1074</v>
      </c>
      <c r="T90" s="3" t="s">
        <v>1075</v>
      </c>
      <c r="U90" s="3"/>
      <c r="V90" s="3"/>
      <c r="W90" s="10" t="str">
        <f>IF( J90="s.i", "s.i", IF(ISBLANK(J90),"Actualizando información",IFERROR(J90 / VLOOKUP(A90,Deflactor!$G$3:$H$64,2,0),"Revisar error" )))</f>
        <v>s.i</v>
      </c>
      <c r="AR90" s="34">
        <f>10738110 * 1000</f>
        <v>10738110000</v>
      </c>
      <c r="AT90" s="46">
        <f t="shared" si="2"/>
        <v>10738110000</v>
      </c>
      <c r="AU90" s="54">
        <f xml:space="preserve"> IFERROR(ROUND(AT90 / VLOOKUP(A90,Tabla1[#All],2,0),0),"s.i")</f>
        <v>15865242</v>
      </c>
      <c r="AV90" s="33">
        <f xml:space="preserve"> IF(AU90="s.i", "s.i", IF(AND(AU90&gt;=Deflactor!$BQ$298,AU90&lt;Deflactor!$BQ$299), Deflactor!$BP$298, IF(AND(AU90&gt;=Deflactor!$BQ$299,AU90&lt;Deflactor!$BQ$300), Deflactor!$BP$299, IF(AND(AU90&gt;=Deflactor!$BQ$300,AU90&lt;Deflactor!$BQ$301), Deflactor!$BP$300, IF(AND(AU90&gt;=Deflactor!$BQ$301,AU90&lt;Deflactor!$BQ$302), Deflactor!$BP$301, IF(AND(AU90&gt;=Deflactor!$BQ$302,AU90&lt;Deflactor!$BQ$303), Deflactor!$BP$302, IF(AND(AU90&gt;=Deflactor!$BQ$303,AU90&lt;Deflactor!$BQ$304), Deflactor!$BP$303, IF(AND(AU90&gt;=Deflactor!$BQ$304,AU90&lt;Deflactor!$BQ$305), Deflactor!$BP$304, IF(AND(AU90&gt;=Deflactor!$BQ$305,AU90&lt;Deflactor!$BQ$306), Deflactor!$BP$305, IF(AND(AU90&gt;=Deflactor!$BQ$306,AU90&lt;Deflactor!$BQ$307), Deflactor!$BP$306, Deflactor!$BP$307) ) ) ) ) ) ) ) ) )</f>
        <v>6</v>
      </c>
      <c r="AW90" s="57" t="str">
        <f>+IFERROR(VLOOKUP(AV90,Deflactor!$BP$298:$BU$307,6,0),"")</f>
        <v>15 a 20 millones USD</v>
      </c>
    </row>
    <row r="91" spans="1:49" x14ac:dyDescent="0.3">
      <c r="A91" s="3">
        <v>2016</v>
      </c>
      <c r="B91" s="3" t="s">
        <v>134</v>
      </c>
      <c r="C91" s="3" t="s">
        <v>7</v>
      </c>
      <c r="D91" s="3" t="s">
        <v>20</v>
      </c>
      <c r="E91" s="3" t="s">
        <v>23</v>
      </c>
      <c r="F91" s="3" t="s">
        <v>89</v>
      </c>
      <c r="G91" s="3" t="s">
        <v>623</v>
      </c>
      <c r="H91" s="13">
        <v>2013</v>
      </c>
      <c r="I91" s="13" t="s">
        <v>623</v>
      </c>
      <c r="J91" s="10">
        <f xml:space="preserve"> 220144578 * 1000</f>
        <v>220144578000</v>
      </c>
      <c r="K91" s="3" t="s">
        <v>1656</v>
      </c>
      <c r="L91" s="3" t="s">
        <v>998</v>
      </c>
      <c r="M91" s="3" t="s">
        <v>999</v>
      </c>
      <c r="N91" s="3" t="s">
        <v>1000</v>
      </c>
      <c r="O91" s="3"/>
      <c r="P91" s="3"/>
      <c r="Q91" s="3"/>
      <c r="R91" s="3" t="s">
        <v>1001</v>
      </c>
      <c r="S91" s="3" t="s">
        <v>1002</v>
      </c>
      <c r="T91" s="3" t="s">
        <v>1003</v>
      </c>
      <c r="U91" s="3"/>
      <c r="V91" s="3"/>
      <c r="W91" s="10">
        <f>IF( J91="s.i", "s.i", IF(ISBLANK(J91),"Actualizando información",IFERROR(J91 / VLOOKUP(A91,Deflactor!$G$3:$H$64,2,0),"Revisar error" )))</f>
        <v>189582241651.49014</v>
      </c>
      <c r="AR91" s="34">
        <f>32395873 * 1000</f>
        <v>32395873000</v>
      </c>
      <c r="AT91" s="46">
        <f t="shared" si="2"/>
        <v>32395873000</v>
      </c>
      <c r="AU91" s="54">
        <f xml:space="preserve"> IFERROR(ROUND(AT91 / VLOOKUP(A91,Tabla1[#All],2,0),0),"s.i")</f>
        <v>47863950</v>
      </c>
      <c r="AV91" s="33">
        <f xml:space="preserve"> IF(AU91="s.i", "s.i", IF(AND(AU91&gt;=Deflactor!$BQ$298,AU91&lt;Deflactor!$BQ$299), Deflactor!$BP$298, IF(AND(AU91&gt;=Deflactor!$BQ$299,AU91&lt;Deflactor!$BQ$300), Deflactor!$BP$299, IF(AND(AU91&gt;=Deflactor!$BQ$300,AU91&lt;Deflactor!$BQ$301), Deflactor!$BP$300, IF(AND(AU91&gt;=Deflactor!$BQ$301,AU91&lt;Deflactor!$BQ$302), Deflactor!$BP$301, IF(AND(AU91&gt;=Deflactor!$BQ$302,AU91&lt;Deflactor!$BQ$303), Deflactor!$BP$302, IF(AND(AU91&gt;=Deflactor!$BQ$303,AU91&lt;Deflactor!$BQ$304), Deflactor!$BP$303, IF(AND(AU91&gt;=Deflactor!$BQ$304,AU91&lt;Deflactor!$BQ$305), Deflactor!$BP$304, IF(AND(AU91&gt;=Deflactor!$BQ$305,AU91&lt;Deflactor!$BQ$306), Deflactor!$BP$305, IF(AND(AU91&gt;=Deflactor!$BQ$306,AU91&lt;Deflactor!$BQ$307), Deflactor!$BP$306, Deflactor!$BP$307) ) ) ) ) ) ) ) ) )</f>
        <v>8</v>
      </c>
      <c r="AW91" s="57" t="str">
        <f>+IFERROR(VLOOKUP(AV91,Deflactor!$BP$298:$BU$307,6,0),"")</f>
        <v>30 a 50 millones USD</v>
      </c>
    </row>
    <row r="92" spans="1:49" x14ac:dyDescent="0.3">
      <c r="A92" s="3">
        <v>2016</v>
      </c>
      <c r="B92" s="3" t="s">
        <v>135</v>
      </c>
      <c r="C92" s="3" t="s">
        <v>7</v>
      </c>
      <c r="D92" s="3" t="s">
        <v>32</v>
      </c>
      <c r="E92" s="3" t="s">
        <v>33</v>
      </c>
      <c r="F92" s="3" t="s">
        <v>89</v>
      </c>
      <c r="G92" s="3" t="s">
        <v>623</v>
      </c>
      <c r="H92" s="13">
        <v>2009</v>
      </c>
      <c r="I92" s="13" t="s">
        <v>623</v>
      </c>
      <c r="J92" s="10">
        <f xml:space="preserve"> 23091 * 1000000</f>
        <v>23091000000</v>
      </c>
      <c r="K92" s="3" t="s">
        <v>1653</v>
      </c>
      <c r="L92" s="3" t="s">
        <v>1076</v>
      </c>
      <c r="M92" s="3" t="s">
        <v>1077</v>
      </c>
      <c r="N92" s="3" t="s">
        <v>1078</v>
      </c>
      <c r="O92" s="3"/>
      <c r="P92" s="3"/>
      <c r="Q92" s="3"/>
      <c r="R92" s="3" t="s">
        <v>1079</v>
      </c>
      <c r="S92" s="3" t="s">
        <v>1080</v>
      </c>
      <c r="T92" s="3" t="s">
        <v>1081</v>
      </c>
      <c r="U92" s="3"/>
      <c r="V92" s="3"/>
      <c r="W92" s="10">
        <f>IF( J92="s.i", "s.i", IF(ISBLANK(J92),"Actualizando información",IFERROR(J92 / VLOOKUP(A92,Deflactor!$G$3:$H$64,2,0),"Revisar error" )))</f>
        <v>19885311651.757141</v>
      </c>
      <c r="AR92" s="34"/>
      <c r="AT92" s="46">
        <f>'Notas reunion'!T42</f>
        <v>13206000000</v>
      </c>
      <c r="AU92" s="54">
        <f xml:space="preserve"> IFERROR(ROUND(AT92 / VLOOKUP(A92,Tabla1[#All],2,0),0),"s.i")</f>
        <v>19511477</v>
      </c>
      <c r="AV92" s="33">
        <f xml:space="preserve"> IF(AU92="s.i", "s.i", IF(AND(AU92&gt;=Deflactor!$BQ$298,AU92&lt;Deflactor!$BQ$299), Deflactor!$BP$298, IF(AND(AU92&gt;=Deflactor!$BQ$299,AU92&lt;Deflactor!$BQ$300), Deflactor!$BP$299, IF(AND(AU92&gt;=Deflactor!$BQ$300,AU92&lt;Deflactor!$BQ$301), Deflactor!$BP$300, IF(AND(AU92&gt;=Deflactor!$BQ$301,AU92&lt;Deflactor!$BQ$302), Deflactor!$BP$301, IF(AND(AU92&gt;=Deflactor!$BQ$302,AU92&lt;Deflactor!$BQ$303), Deflactor!$BP$302, IF(AND(AU92&gt;=Deflactor!$BQ$303,AU92&lt;Deflactor!$BQ$304), Deflactor!$BP$303, IF(AND(AU92&gt;=Deflactor!$BQ$304,AU92&lt;Deflactor!$BQ$305), Deflactor!$BP$304, IF(AND(AU92&gt;=Deflactor!$BQ$305,AU92&lt;Deflactor!$BQ$306), Deflactor!$BP$305, IF(AND(AU92&gt;=Deflactor!$BQ$306,AU92&lt;Deflactor!$BQ$307), Deflactor!$BP$306, Deflactor!$BP$307) ) ) ) ) ) ) ) ) )</f>
        <v>6</v>
      </c>
      <c r="AW92" s="57" t="str">
        <f>+IFERROR(VLOOKUP(AV92,Deflactor!$BP$298:$BU$307,6,0),"")</f>
        <v>15 a 20 millones USD</v>
      </c>
    </row>
    <row r="93" spans="1:49" x14ac:dyDescent="0.3">
      <c r="A93" s="3">
        <v>2016</v>
      </c>
      <c r="B93" s="3" t="s">
        <v>136</v>
      </c>
      <c r="C93" s="3" t="s">
        <v>67</v>
      </c>
      <c r="D93" s="3" t="s">
        <v>20</v>
      </c>
      <c r="E93" s="3" t="s">
        <v>23</v>
      </c>
      <c r="F93" s="3" t="s">
        <v>10</v>
      </c>
      <c r="G93" s="3" t="s">
        <v>723</v>
      </c>
      <c r="H93" s="13">
        <v>2007</v>
      </c>
      <c r="I93" s="13" t="s">
        <v>623</v>
      </c>
      <c r="J93" s="10">
        <f xml:space="preserve"> 6390025 * 1000</f>
        <v>6390025000</v>
      </c>
      <c r="K93" s="3" t="s">
        <v>1762</v>
      </c>
      <c r="L93" s="3" t="s">
        <v>1761</v>
      </c>
      <c r="M93" s="3" t="s">
        <v>1082</v>
      </c>
      <c r="N93" s="3" t="s">
        <v>1083</v>
      </c>
      <c r="O93" s="3" t="s">
        <v>1084</v>
      </c>
      <c r="P93" s="3" t="s">
        <v>1085</v>
      </c>
      <c r="Q93" s="3"/>
      <c r="R93" s="3" t="s">
        <v>1086</v>
      </c>
      <c r="S93" s="3" t="s">
        <v>1087</v>
      </c>
      <c r="T93" s="3" t="s">
        <v>1088</v>
      </c>
      <c r="U93" s="3"/>
      <c r="V93" s="3"/>
      <c r="W93" s="10">
        <f>IF( J93="s.i", "s.i", IF(ISBLANK(J93),"Actualizando información",IFERROR(J93 / VLOOKUP(A93,Deflactor!$G$3:$H$64,2,0),"Revisar error" )))</f>
        <v>5502907565.1777506</v>
      </c>
      <c r="AR93" s="10">
        <f>6203908 * 1000</f>
        <v>6203908000</v>
      </c>
      <c r="AT93" s="46">
        <f t="shared" si="2"/>
        <v>6203908000</v>
      </c>
      <c r="AU93" s="54">
        <f xml:space="preserve"> IFERROR(ROUND(AT93 / VLOOKUP(A93,Tabla1[#All],2,0),0),"s.i")</f>
        <v>9166092</v>
      </c>
      <c r="AV93" s="33">
        <f xml:space="preserve"> IF(AU93="s.i", "s.i", IF(AND(AU93&gt;=Deflactor!$BQ$298,AU93&lt;Deflactor!$BQ$299), Deflactor!$BP$298, IF(AND(AU93&gt;=Deflactor!$BQ$299,AU93&lt;Deflactor!$BQ$300), Deflactor!$BP$299, IF(AND(AU93&gt;=Deflactor!$BQ$300,AU93&lt;Deflactor!$BQ$301), Deflactor!$BP$300, IF(AND(AU93&gt;=Deflactor!$BQ$301,AU93&lt;Deflactor!$BQ$302), Deflactor!$BP$301, IF(AND(AU93&gt;=Deflactor!$BQ$302,AU93&lt;Deflactor!$BQ$303), Deflactor!$BP$302, IF(AND(AU93&gt;=Deflactor!$BQ$303,AU93&lt;Deflactor!$BQ$304), Deflactor!$BP$303, IF(AND(AU93&gt;=Deflactor!$BQ$304,AU93&lt;Deflactor!$BQ$305), Deflactor!$BP$304, IF(AND(AU93&gt;=Deflactor!$BQ$305,AU93&lt;Deflactor!$BQ$306), Deflactor!$BP$305, IF(AND(AU93&gt;=Deflactor!$BQ$306,AU93&lt;Deflactor!$BQ$307), Deflactor!$BP$306, Deflactor!$BP$307) ) ) ) ) ) ) ) ) )</f>
        <v>4</v>
      </c>
      <c r="AW93" s="57" t="str">
        <f>+IFERROR(VLOOKUP(AV93,Deflactor!$BP$298:$BU$307,6,0),"")</f>
        <v>7,5 a 10 millones USD</v>
      </c>
    </row>
    <row r="94" spans="1:49" x14ac:dyDescent="0.3">
      <c r="A94" s="3">
        <v>2016</v>
      </c>
      <c r="B94" s="3" t="s">
        <v>137</v>
      </c>
      <c r="C94" s="3" t="s">
        <v>67</v>
      </c>
      <c r="D94" s="3" t="s">
        <v>138</v>
      </c>
      <c r="E94" s="3" t="s">
        <v>139</v>
      </c>
      <c r="F94" s="3" t="s">
        <v>14</v>
      </c>
      <c r="G94" s="3" t="s">
        <v>723</v>
      </c>
      <c r="H94" s="13">
        <v>2011</v>
      </c>
      <c r="I94" s="13" t="s">
        <v>623</v>
      </c>
      <c r="J94" s="10" t="s">
        <v>623</v>
      </c>
      <c r="K94" s="3"/>
      <c r="L94" s="3" t="s">
        <v>1363</v>
      </c>
      <c r="M94" s="3" t="s">
        <v>1364</v>
      </c>
      <c r="N94" s="3" t="s">
        <v>1365</v>
      </c>
      <c r="O94" s="3"/>
      <c r="P94" s="3"/>
      <c r="Q94" s="3"/>
      <c r="R94" s="3" t="s">
        <v>1366</v>
      </c>
      <c r="S94" s="3" t="s">
        <v>1367</v>
      </c>
      <c r="T94" s="3" t="s">
        <v>1368</v>
      </c>
      <c r="U94" s="3"/>
      <c r="V94" s="3"/>
      <c r="W94" s="10" t="str">
        <f>IF( J94="s.i", "s.i", IF(ISBLANK(J94),"Actualizando información",IFERROR(J94 / VLOOKUP(A94,Deflactor!$G$3:$H$64,2,0),"Revisar error" )))</f>
        <v>s.i</v>
      </c>
      <c r="AR94" s="34">
        <f>498240 * 1000</f>
        <v>498240000</v>
      </c>
      <c r="AT94" s="46">
        <f t="shared" si="2"/>
        <v>498240000</v>
      </c>
      <c r="AU94" s="54">
        <f xml:space="preserve"> IFERROR(ROUND(AT94 / VLOOKUP(A94,Tabla1[#All],2,0),0),"s.i")</f>
        <v>736135</v>
      </c>
      <c r="AV94" s="33">
        <f xml:space="preserve"> IF(AU94="s.i", "s.i", IF(AND(AU94&gt;=Deflactor!$BQ$298,AU94&lt;Deflactor!$BQ$299), Deflactor!$BP$298, IF(AND(AU94&gt;=Deflactor!$BQ$299,AU94&lt;Deflactor!$BQ$300), Deflactor!$BP$299, IF(AND(AU94&gt;=Deflactor!$BQ$300,AU94&lt;Deflactor!$BQ$301), Deflactor!$BP$300, IF(AND(AU94&gt;=Deflactor!$BQ$301,AU94&lt;Deflactor!$BQ$302), Deflactor!$BP$301, IF(AND(AU94&gt;=Deflactor!$BQ$302,AU94&lt;Deflactor!$BQ$303), Deflactor!$BP$302, IF(AND(AU94&gt;=Deflactor!$BQ$303,AU94&lt;Deflactor!$BQ$304), Deflactor!$BP$303, IF(AND(AU94&gt;=Deflactor!$BQ$304,AU94&lt;Deflactor!$BQ$305), Deflactor!$BP$304, IF(AND(AU94&gt;=Deflactor!$BQ$305,AU94&lt;Deflactor!$BQ$306), Deflactor!$BP$305, IF(AND(AU94&gt;=Deflactor!$BQ$306,AU94&lt;Deflactor!$BQ$307), Deflactor!$BP$306, Deflactor!$BP$307) ) ) ) ) ) ) ) ) )</f>
        <v>1</v>
      </c>
      <c r="AW94" s="57" t="str">
        <f>+IFERROR(VLOOKUP(AV94,Deflactor!$BP$298:$BU$307,6,0),"")</f>
        <v>2 millones USD y menos</v>
      </c>
    </row>
    <row r="95" spans="1:49" x14ac:dyDescent="0.3">
      <c r="A95" s="3">
        <v>2016</v>
      </c>
      <c r="B95" s="3" t="s">
        <v>140</v>
      </c>
      <c r="C95" s="3" t="s">
        <v>7</v>
      </c>
      <c r="D95" s="3" t="s">
        <v>32</v>
      </c>
      <c r="E95" s="3" t="s">
        <v>33</v>
      </c>
      <c r="F95" s="3" t="s">
        <v>89</v>
      </c>
      <c r="G95" s="3" t="s">
        <v>623</v>
      </c>
      <c r="H95" s="13">
        <v>2009</v>
      </c>
      <c r="I95" s="13" t="s">
        <v>623</v>
      </c>
      <c r="J95" s="10">
        <f xml:space="preserve"> 23091 * 1000000</f>
        <v>23091000000</v>
      </c>
      <c r="K95" s="3" t="s">
        <v>1653</v>
      </c>
      <c r="L95" s="3" t="s">
        <v>1076</v>
      </c>
      <c r="M95" s="3" t="s">
        <v>1077</v>
      </c>
      <c r="N95" s="3" t="s">
        <v>1078</v>
      </c>
      <c r="O95" s="3"/>
      <c r="P95" s="3"/>
      <c r="Q95" s="3"/>
      <c r="R95" s="3" t="s">
        <v>1079</v>
      </c>
      <c r="S95" s="3" t="s">
        <v>1080</v>
      </c>
      <c r="T95" s="3" t="s">
        <v>1081</v>
      </c>
      <c r="U95" s="3"/>
      <c r="V95" s="3"/>
      <c r="W95" s="10">
        <f>IF( J95="s.i", "s.i", IF(ISBLANK(J95),"Actualizando información",IFERROR(J95 / VLOOKUP(A95,Deflactor!$G$3:$H$64,2,0),"Revisar error" )))</f>
        <v>19885311651.757141</v>
      </c>
      <c r="AR95" s="34"/>
      <c r="AT95" s="46">
        <f>'Notas reunion'!T43</f>
        <v>9824000000</v>
      </c>
      <c r="AU95" s="54">
        <f xml:space="preserve"> IFERROR(ROUND(AT95 / VLOOKUP(A95,Tabla1[#All],2,0),0),"s.i")</f>
        <v>14514671</v>
      </c>
      <c r="AV95" s="33">
        <f xml:space="preserve"> IF(AU95="s.i", "s.i", IF(AND(AU95&gt;=Deflactor!$BQ$298,AU95&lt;Deflactor!$BQ$299), Deflactor!$BP$298, IF(AND(AU95&gt;=Deflactor!$BQ$299,AU95&lt;Deflactor!$BQ$300), Deflactor!$BP$299, IF(AND(AU95&gt;=Deflactor!$BQ$300,AU95&lt;Deflactor!$BQ$301), Deflactor!$BP$300, IF(AND(AU95&gt;=Deflactor!$BQ$301,AU95&lt;Deflactor!$BQ$302), Deflactor!$BP$301, IF(AND(AU95&gt;=Deflactor!$BQ$302,AU95&lt;Deflactor!$BQ$303), Deflactor!$BP$302, IF(AND(AU95&gt;=Deflactor!$BQ$303,AU95&lt;Deflactor!$BQ$304), Deflactor!$BP$303, IF(AND(AU95&gt;=Deflactor!$BQ$304,AU95&lt;Deflactor!$BQ$305), Deflactor!$BP$304, IF(AND(AU95&gt;=Deflactor!$BQ$305,AU95&lt;Deflactor!$BQ$306), Deflactor!$BP$305, IF(AND(AU95&gt;=Deflactor!$BQ$306,AU95&lt;Deflactor!$BQ$307), Deflactor!$BP$306, Deflactor!$BP$307) ) ) ) ) ) ) ) ) )</f>
        <v>5</v>
      </c>
      <c r="AW95" s="57" t="str">
        <f>+IFERROR(VLOOKUP(AV95,Deflactor!$BP$298:$BU$307,6,0),"")</f>
        <v>10 a 15 millones USD</v>
      </c>
    </row>
    <row r="96" spans="1:49" x14ac:dyDescent="0.3">
      <c r="A96" s="3">
        <v>2016</v>
      </c>
      <c r="B96" s="3" t="s">
        <v>141</v>
      </c>
      <c r="C96" s="3" t="s">
        <v>7</v>
      </c>
      <c r="D96" s="3" t="s">
        <v>32</v>
      </c>
      <c r="E96" s="3" t="s">
        <v>33</v>
      </c>
      <c r="F96" s="3" t="s">
        <v>95</v>
      </c>
      <c r="G96" s="3" t="s">
        <v>623</v>
      </c>
      <c r="H96" s="13">
        <v>2011</v>
      </c>
      <c r="I96" s="13" t="s">
        <v>623</v>
      </c>
      <c r="J96" s="10">
        <f xml:space="preserve"> 75570 * 1000000</f>
        <v>75570000000</v>
      </c>
      <c r="K96" s="3" t="s">
        <v>2299</v>
      </c>
      <c r="L96" s="3" t="s">
        <v>1089</v>
      </c>
      <c r="M96" s="3" t="s">
        <v>1090</v>
      </c>
      <c r="N96" s="3" t="s">
        <v>1091</v>
      </c>
      <c r="O96" s="3" t="s">
        <v>1092</v>
      </c>
      <c r="P96" s="3" t="s">
        <v>1093</v>
      </c>
      <c r="Q96" s="3"/>
      <c r="R96" s="3" t="s">
        <v>1094</v>
      </c>
      <c r="S96" s="3" t="s">
        <v>1095</v>
      </c>
      <c r="T96" s="3" t="s">
        <v>1096</v>
      </c>
      <c r="U96" s="3"/>
      <c r="V96" s="3"/>
      <c r="W96" s="10">
        <f>IF( J96="s.i", "s.i", IF(ISBLANK(J96),"Actualizando información",IFERROR(J96 / VLOOKUP(A96,Deflactor!$G$3:$H$64,2,0),"Revisar error" )))</f>
        <v>65078732039.465042</v>
      </c>
      <c r="AR96" s="34"/>
      <c r="AT96" s="46"/>
      <c r="AU96" s="54"/>
      <c r="AV96" s="33">
        <f xml:space="preserve"> IF(AU96="s.i", "s.i", IF(AND(AU96&gt;=Deflactor!$BQ$298,AU96&lt;Deflactor!$BQ$299), Deflactor!$BP$298, IF(AND(AU96&gt;=Deflactor!$BQ$299,AU96&lt;Deflactor!$BQ$300), Deflactor!$BP$299, IF(AND(AU96&gt;=Deflactor!$BQ$300,AU96&lt;Deflactor!$BQ$301), Deflactor!$BP$300, IF(AND(AU96&gt;=Deflactor!$BQ$301,AU96&lt;Deflactor!$BQ$302), Deflactor!$BP$301, IF(AND(AU96&gt;=Deflactor!$BQ$302,AU96&lt;Deflactor!$BQ$303), Deflactor!$BP$302, IF(AND(AU96&gt;=Deflactor!$BQ$303,AU96&lt;Deflactor!$BQ$304), Deflactor!$BP$303, IF(AND(AU96&gt;=Deflactor!$BQ$304,AU96&lt;Deflactor!$BQ$305), Deflactor!$BP$304, IF(AND(AU96&gt;=Deflactor!$BQ$305,AU96&lt;Deflactor!$BQ$306), Deflactor!$BP$305, IF(AND(AU96&gt;=Deflactor!$BQ$306,AU96&lt;Deflactor!$BQ$307), Deflactor!$BP$306, Deflactor!$BP$307) ) ) ) ) ) ) ) ) )</f>
        <v>10</v>
      </c>
      <c r="AW96" s="57" t="str">
        <f>+IFERROR(VLOOKUP(AV96,Deflactor!$BP$298:$BU$307,6,0),"")</f>
        <v>100 millones USD y mas</v>
      </c>
    </row>
    <row r="97" spans="1:49" x14ac:dyDescent="0.3">
      <c r="A97" s="3">
        <v>2016</v>
      </c>
      <c r="B97" s="3" t="s">
        <v>142</v>
      </c>
      <c r="C97" s="3" t="s">
        <v>7</v>
      </c>
      <c r="D97" s="3" t="s">
        <v>32</v>
      </c>
      <c r="E97" s="3" t="s">
        <v>33</v>
      </c>
      <c r="F97" s="3" t="s">
        <v>89</v>
      </c>
      <c r="G97" s="3" t="s">
        <v>623</v>
      </c>
      <c r="H97" s="13">
        <v>2011</v>
      </c>
      <c r="I97" s="13" t="s">
        <v>623</v>
      </c>
      <c r="J97" s="10">
        <f xml:space="preserve"> 75570 * 1000000</f>
        <v>75570000000</v>
      </c>
      <c r="K97" s="3" t="s">
        <v>2299</v>
      </c>
      <c r="L97" s="3" t="s">
        <v>1089</v>
      </c>
      <c r="M97" s="3" t="s">
        <v>1090</v>
      </c>
      <c r="N97" s="3" t="s">
        <v>1091</v>
      </c>
      <c r="O97" s="3" t="s">
        <v>1092</v>
      </c>
      <c r="P97" s="3" t="s">
        <v>1093</v>
      </c>
      <c r="Q97" s="3"/>
      <c r="R97" s="3" t="s">
        <v>1094</v>
      </c>
      <c r="S97" s="3" t="s">
        <v>1095</v>
      </c>
      <c r="T97" s="3" t="s">
        <v>1096</v>
      </c>
      <c r="U97" s="3"/>
      <c r="V97" s="3"/>
      <c r="W97" s="10">
        <f>IF( J97="s.i", "s.i", IF(ISBLANK(J97),"Actualizando información",IFERROR(J97 / VLOOKUP(A97,Deflactor!$G$3:$H$64,2,0),"Revisar error" )))</f>
        <v>65078732039.465042</v>
      </c>
      <c r="AR97" s="34"/>
      <c r="AT97" s="46">
        <f>'Notas reunion'!T45</f>
        <v>6647388000</v>
      </c>
      <c r="AU97" s="54">
        <f xml:space="preserve"> IFERROR(ROUND(AT97 / VLOOKUP(A97,Tabla1[#All],2,0),0),"s.i")</f>
        <v>9821320</v>
      </c>
      <c r="AV97" s="33">
        <f xml:space="preserve"> IF(AU97="s.i", "s.i", IF(AND(AU97&gt;=Deflactor!$BQ$298,AU97&lt;Deflactor!$BQ$299), Deflactor!$BP$298, IF(AND(AU97&gt;=Deflactor!$BQ$299,AU97&lt;Deflactor!$BQ$300), Deflactor!$BP$299, IF(AND(AU97&gt;=Deflactor!$BQ$300,AU97&lt;Deflactor!$BQ$301), Deflactor!$BP$300, IF(AND(AU97&gt;=Deflactor!$BQ$301,AU97&lt;Deflactor!$BQ$302), Deflactor!$BP$301, IF(AND(AU97&gt;=Deflactor!$BQ$302,AU97&lt;Deflactor!$BQ$303), Deflactor!$BP$302, IF(AND(AU97&gt;=Deflactor!$BQ$303,AU97&lt;Deflactor!$BQ$304), Deflactor!$BP$303, IF(AND(AU97&gt;=Deflactor!$BQ$304,AU97&lt;Deflactor!$BQ$305), Deflactor!$BP$304, IF(AND(AU97&gt;=Deflactor!$BQ$305,AU97&lt;Deflactor!$BQ$306), Deflactor!$BP$305, IF(AND(AU97&gt;=Deflactor!$BQ$306,AU97&lt;Deflactor!$BQ$307), Deflactor!$BP$306, Deflactor!$BP$307) ) ) ) ) ) ) ) ) )</f>
        <v>4</v>
      </c>
      <c r="AW97" s="57" t="str">
        <f>+IFERROR(VLOOKUP(AV97,Deflactor!$BP$298:$BU$307,6,0),"")</f>
        <v>7,5 a 10 millones USD</v>
      </c>
    </row>
    <row r="98" spans="1:49" x14ac:dyDescent="0.3">
      <c r="A98" s="3">
        <v>2016</v>
      </c>
      <c r="B98" s="3" t="s">
        <v>143</v>
      </c>
      <c r="C98" s="3" t="s">
        <v>7</v>
      </c>
      <c r="D98" s="3" t="s">
        <v>12</v>
      </c>
      <c r="E98" s="3" t="s">
        <v>105</v>
      </c>
      <c r="F98" s="3" t="s">
        <v>89</v>
      </c>
      <c r="G98" s="3" t="s">
        <v>1004</v>
      </c>
      <c r="H98" s="13">
        <v>2010</v>
      </c>
      <c r="I98" s="13" t="s">
        <v>623</v>
      </c>
      <c r="J98" s="10">
        <f xml:space="preserve"> 4899869 * 1000</f>
        <v>4899869000</v>
      </c>
      <c r="K98" s="3" t="s">
        <v>1654</v>
      </c>
      <c r="L98" s="3" t="s">
        <v>1005</v>
      </c>
      <c r="M98" s="3" t="s">
        <v>1006</v>
      </c>
      <c r="N98" s="3" t="s">
        <v>757</v>
      </c>
      <c r="O98" s="3" t="s">
        <v>1007</v>
      </c>
      <c r="P98" s="3" t="s">
        <v>1008</v>
      </c>
      <c r="Q98" s="3"/>
      <c r="R98" s="3" t="s">
        <v>1009</v>
      </c>
      <c r="S98" s="3" t="s">
        <v>1010</v>
      </c>
      <c r="T98" s="3" t="s">
        <v>1011</v>
      </c>
      <c r="U98" s="3" t="s">
        <v>757</v>
      </c>
      <c r="V98" s="3"/>
      <c r="W98" s="10">
        <f>IF( J98="s.i", "s.i", IF(ISBLANK(J98),"Actualizando información",IFERROR(J98 / VLOOKUP(A98,Deflactor!$G$3:$H$64,2,0),"Revisar error" )))</f>
        <v>4219627652.2360926</v>
      </c>
      <c r="AR98" s="34">
        <f>4899869 * 1000</f>
        <v>4899869000</v>
      </c>
      <c r="AT98" s="46">
        <f t="shared" si="2"/>
        <v>4899869000</v>
      </c>
      <c r="AU98" s="54">
        <f xml:space="preserve"> IFERROR(ROUND(AT98 / VLOOKUP(A98,Tabla1[#All],2,0),0),"s.i")</f>
        <v>7239412</v>
      </c>
      <c r="AV98" s="33">
        <f xml:space="preserve"> IF(AU98="s.i", "s.i", IF(AND(AU98&gt;=Deflactor!$BQ$298,AU98&lt;Deflactor!$BQ$299), Deflactor!$BP$298, IF(AND(AU98&gt;=Deflactor!$BQ$299,AU98&lt;Deflactor!$BQ$300), Deflactor!$BP$299, IF(AND(AU98&gt;=Deflactor!$BQ$300,AU98&lt;Deflactor!$BQ$301), Deflactor!$BP$300, IF(AND(AU98&gt;=Deflactor!$BQ$301,AU98&lt;Deflactor!$BQ$302), Deflactor!$BP$301, IF(AND(AU98&gt;=Deflactor!$BQ$302,AU98&lt;Deflactor!$BQ$303), Deflactor!$BP$302, IF(AND(AU98&gt;=Deflactor!$BQ$303,AU98&lt;Deflactor!$BQ$304), Deflactor!$BP$303, IF(AND(AU98&gt;=Deflactor!$BQ$304,AU98&lt;Deflactor!$BQ$305), Deflactor!$BP$304, IF(AND(AU98&gt;=Deflactor!$BQ$305,AU98&lt;Deflactor!$BQ$306), Deflactor!$BP$305, IF(AND(AU98&gt;=Deflactor!$BQ$306,AU98&lt;Deflactor!$BQ$307), Deflactor!$BP$306, Deflactor!$BP$307) ) ) ) ) ) ) ) ) )</f>
        <v>3</v>
      </c>
      <c r="AW98" s="57" t="str">
        <f>+IFERROR(VLOOKUP(AV98,Deflactor!$BP$298:$BU$307,6,0),"")</f>
        <v>5 a 7,5 millones USD</v>
      </c>
    </row>
    <row r="99" spans="1:49" x14ac:dyDescent="0.3">
      <c r="A99" s="3">
        <v>2016</v>
      </c>
      <c r="B99" s="3" t="s">
        <v>144</v>
      </c>
      <c r="C99" s="3" t="s">
        <v>7</v>
      </c>
      <c r="D99" s="3" t="s">
        <v>25</v>
      </c>
      <c r="E99" s="3" t="s">
        <v>26</v>
      </c>
      <c r="F99" s="3" t="s">
        <v>89</v>
      </c>
      <c r="G99" s="3" t="s">
        <v>623</v>
      </c>
      <c r="H99" s="3">
        <v>1995</v>
      </c>
      <c r="I99" s="13" t="s">
        <v>623</v>
      </c>
      <c r="J99" s="10">
        <f xml:space="preserve"> 4905439 * 1000</f>
        <v>4905439000</v>
      </c>
      <c r="K99" s="3" t="s">
        <v>2300</v>
      </c>
      <c r="L99" s="3" t="s">
        <v>1097</v>
      </c>
      <c r="M99" s="3" t="s">
        <v>1098</v>
      </c>
      <c r="N99" s="3" t="s">
        <v>1099</v>
      </c>
      <c r="O99" s="3"/>
      <c r="P99" s="3"/>
      <c r="Q99" s="3"/>
      <c r="R99" s="3" t="s">
        <v>1100</v>
      </c>
      <c r="S99" s="3" t="s">
        <v>1101</v>
      </c>
      <c r="T99" s="3" t="s">
        <v>1102</v>
      </c>
      <c r="U99" s="3"/>
      <c r="V99" s="3"/>
      <c r="W99" s="10">
        <f>IF( J99="s.i", "s.i", IF(ISBLANK(J99),"Actualizando información",IFERROR(J99 / VLOOKUP(A99,Deflactor!$G$3:$H$64,2,0),"Revisar error" )))</f>
        <v>4224424377.6226192</v>
      </c>
      <c r="AR99" s="10">
        <f>4905439 * 1000</f>
        <v>4905439000</v>
      </c>
      <c r="AT99" s="46">
        <f t="shared" si="2"/>
        <v>4905439000</v>
      </c>
      <c r="AU99" s="54">
        <f xml:space="preserve"> IFERROR(ROUND(AT99 / VLOOKUP(A99,Tabla1[#All],2,0),0),"s.i")</f>
        <v>7247642</v>
      </c>
      <c r="AV99" s="33">
        <f xml:space="preserve"> IF(AU99="s.i", "s.i", IF(AND(AU99&gt;=Deflactor!$BQ$298,AU99&lt;Deflactor!$BQ$299), Deflactor!$BP$298, IF(AND(AU99&gt;=Deflactor!$BQ$299,AU99&lt;Deflactor!$BQ$300), Deflactor!$BP$299, IF(AND(AU99&gt;=Deflactor!$BQ$300,AU99&lt;Deflactor!$BQ$301), Deflactor!$BP$300, IF(AND(AU99&gt;=Deflactor!$BQ$301,AU99&lt;Deflactor!$BQ$302), Deflactor!$BP$301, IF(AND(AU99&gt;=Deflactor!$BQ$302,AU99&lt;Deflactor!$BQ$303), Deflactor!$BP$302, IF(AND(AU99&gt;=Deflactor!$BQ$303,AU99&lt;Deflactor!$BQ$304), Deflactor!$BP$303, IF(AND(AU99&gt;=Deflactor!$BQ$304,AU99&lt;Deflactor!$BQ$305), Deflactor!$BP$304, IF(AND(AU99&gt;=Deflactor!$BQ$305,AU99&lt;Deflactor!$BQ$306), Deflactor!$BP$305, IF(AND(AU99&gt;=Deflactor!$BQ$306,AU99&lt;Deflactor!$BQ$307), Deflactor!$BP$306, Deflactor!$BP$307) ) ) ) ) ) ) ) ) )</f>
        <v>3</v>
      </c>
      <c r="AW99" s="57" t="str">
        <f>+IFERROR(VLOOKUP(AV99,Deflactor!$BP$298:$BU$307,6,0),"")</f>
        <v>5 a 7,5 millones USD</v>
      </c>
    </row>
    <row r="100" spans="1:49" x14ac:dyDescent="0.3">
      <c r="A100" s="3">
        <v>2016</v>
      </c>
      <c r="B100" s="3" t="s">
        <v>145</v>
      </c>
      <c r="C100" s="3" t="s">
        <v>7</v>
      </c>
      <c r="D100" s="3" t="s">
        <v>40</v>
      </c>
      <c r="E100" s="3" t="s">
        <v>43</v>
      </c>
      <c r="F100" s="3" t="s">
        <v>89</v>
      </c>
      <c r="G100" s="3" t="s">
        <v>723</v>
      </c>
      <c r="H100" s="13">
        <v>2008</v>
      </c>
      <c r="I100" s="13" t="s">
        <v>623</v>
      </c>
      <c r="J100" s="10">
        <f xml:space="preserve"> 33740927 * 1000</f>
        <v>33740927000</v>
      </c>
      <c r="K100" s="3" t="s">
        <v>2283</v>
      </c>
      <c r="L100" s="3" t="s">
        <v>1336</v>
      </c>
      <c r="M100" s="3" t="s">
        <v>1337</v>
      </c>
      <c r="N100" s="3" t="s">
        <v>1338</v>
      </c>
      <c r="O100" s="3" t="s">
        <v>1339</v>
      </c>
      <c r="P100" s="3"/>
      <c r="Q100" s="3"/>
      <c r="R100" s="3" t="s">
        <v>1340</v>
      </c>
      <c r="S100" s="3" t="s">
        <v>1341</v>
      </c>
      <c r="T100" s="3" t="s">
        <v>1342</v>
      </c>
      <c r="U100" s="3"/>
      <c r="V100" s="3"/>
      <c r="W100" s="10">
        <f>IF( J100="s.i", "s.i", IF(ISBLANK(J100),"Actualizando información",IFERROR(J100 / VLOOKUP(A100,Deflactor!$G$3:$H$64,2,0),"Revisar error" )))</f>
        <v>29056725512.718685</v>
      </c>
      <c r="AR100" s="10">
        <f>22728030 * 1000</f>
        <v>22728030000</v>
      </c>
      <c r="AT100" s="46">
        <f t="shared" si="2"/>
        <v>22728030000</v>
      </c>
      <c r="AU100" s="54">
        <f xml:space="preserve"> IFERROR(ROUND(AT100 / VLOOKUP(A100,Tabla1[#All],2,0),0),"s.i")</f>
        <v>33579996</v>
      </c>
      <c r="AV100" s="33">
        <f xml:space="preserve"> IF(AU100="s.i", "s.i", IF(AND(AU100&gt;=Deflactor!$BQ$298,AU100&lt;Deflactor!$BQ$299), Deflactor!$BP$298, IF(AND(AU100&gt;=Deflactor!$BQ$299,AU100&lt;Deflactor!$BQ$300), Deflactor!$BP$299, IF(AND(AU100&gt;=Deflactor!$BQ$300,AU100&lt;Deflactor!$BQ$301), Deflactor!$BP$300, IF(AND(AU100&gt;=Deflactor!$BQ$301,AU100&lt;Deflactor!$BQ$302), Deflactor!$BP$301, IF(AND(AU100&gt;=Deflactor!$BQ$302,AU100&lt;Deflactor!$BQ$303), Deflactor!$BP$302, IF(AND(AU100&gt;=Deflactor!$BQ$303,AU100&lt;Deflactor!$BQ$304), Deflactor!$BP$303, IF(AND(AU100&gt;=Deflactor!$BQ$304,AU100&lt;Deflactor!$BQ$305), Deflactor!$BP$304, IF(AND(AU100&gt;=Deflactor!$BQ$305,AU100&lt;Deflactor!$BQ$306), Deflactor!$BP$305, IF(AND(AU100&gt;=Deflactor!$BQ$306,AU100&lt;Deflactor!$BQ$307), Deflactor!$BP$306, Deflactor!$BP$307) ) ) ) ) ) ) ) ) )</f>
        <v>8</v>
      </c>
      <c r="AW100" s="57" t="str">
        <f>+IFERROR(VLOOKUP(AV100,Deflactor!$BP$298:$BU$307,6,0),"")</f>
        <v>30 a 50 millones USD</v>
      </c>
    </row>
    <row r="101" spans="1:49" x14ac:dyDescent="0.3">
      <c r="A101" s="3">
        <v>2016</v>
      </c>
      <c r="B101" s="3" t="s">
        <v>146</v>
      </c>
      <c r="C101" s="3" t="s">
        <v>7</v>
      </c>
      <c r="D101" s="3" t="s">
        <v>40</v>
      </c>
      <c r="E101" s="3" t="s">
        <v>43</v>
      </c>
      <c r="F101" s="3" t="s">
        <v>89</v>
      </c>
      <c r="G101" s="3" t="s">
        <v>723</v>
      </c>
      <c r="H101" s="13">
        <v>2008</v>
      </c>
      <c r="I101" s="13" t="s">
        <v>623</v>
      </c>
      <c r="J101" s="10">
        <f t="shared" ref="J101:J103" si="4" xml:space="preserve"> 33740927 * 1000</f>
        <v>33740927000</v>
      </c>
      <c r="K101" s="3" t="s">
        <v>2283</v>
      </c>
      <c r="L101" s="3" t="s">
        <v>1336</v>
      </c>
      <c r="M101" s="3" t="s">
        <v>1337</v>
      </c>
      <c r="N101" s="3" t="s">
        <v>1338</v>
      </c>
      <c r="O101" s="3" t="s">
        <v>1339</v>
      </c>
      <c r="P101" s="3"/>
      <c r="Q101" s="3"/>
      <c r="R101" s="3" t="s">
        <v>1340</v>
      </c>
      <c r="S101" s="3" t="s">
        <v>1341</v>
      </c>
      <c r="T101" s="3" t="s">
        <v>1342</v>
      </c>
      <c r="U101" s="3"/>
      <c r="V101" s="3"/>
      <c r="W101" s="10">
        <f>IF( J101="s.i", "s.i", IF(ISBLANK(J101),"Actualizando información",IFERROR(J101 / VLOOKUP(A101,Deflactor!$G$3:$H$64,2,0),"Revisar error" )))</f>
        <v>29056725512.718685</v>
      </c>
      <c r="AR101" s="10">
        <f>22728030 * 1000</f>
        <v>22728030000</v>
      </c>
      <c r="AT101" s="46">
        <f t="shared" si="2"/>
        <v>22728030000</v>
      </c>
      <c r="AU101" s="54">
        <f xml:space="preserve"> IFERROR(ROUND(AT101 / VLOOKUP(A101,Tabla1[#All],2,0),0),"s.i")</f>
        <v>33579996</v>
      </c>
      <c r="AV101" s="33">
        <f xml:space="preserve"> IF(AU101="s.i", "s.i", IF(AND(AU101&gt;=Deflactor!$BQ$298,AU101&lt;Deflactor!$BQ$299), Deflactor!$BP$298, IF(AND(AU101&gt;=Deflactor!$BQ$299,AU101&lt;Deflactor!$BQ$300), Deflactor!$BP$299, IF(AND(AU101&gt;=Deflactor!$BQ$300,AU101&lt;Deflactor!$BQ$301), Deflactor!$BP$300, IF(AND(AU101&gt;=Deflactor!$BQ$301,AU101&lt;Deflactor!$BQ$302), Deflactor!$BP$301, IF(AND(AU101&gt;=Deflactor!$BQ$302,AU101&lt;Deflactor!$BQ$303), Deflactor!$BP$302, IF(AND(AU101&gt;=Deflactor!$BQ$303,AU101&lt;Deflactor!$BQ$304), Deflactor!$BP$303, IF(AND(AU101&gt;=Deflactor!$BQ$304,AU101&lt;Deflactor!$BQ$305), Deflactor!$BP$304, IF(AND(AU101&gt;=Deflactor!$BQ$305,AU101&lt;Deflactor!$BQ$306), Deflactor!$BP$305, IF(AND(AU101&gt;=Deflactor!$BQ$306,AU101&lt;Deflactor!$BQ$307), Deflactor!$BP$306, Deflactor!$BP$307) ) ) ) ) ) ) ) ) )</f>
        <v>8</v>
      </c>
      <c r="AW101" s="57" t="str">
        <f>+IFERROR(VLOOKUP(AV101,Deflactor!$BP$298:$BU$307,6,0),"")</f>
        <v>30 a 50 millones USD</v>
      </c>
    </row>
    <row r="102" spans="1:49" x14ac:dyDescent="0.3">
      <c r="A102" s="3">
        <v>2016</v>
      </c>
      <c r="B102" s="3" t="s">
        <v>147</v>
      </c>
      <c r="C102" s="3" t="s">
        <v>7</v>
      </c>
      <c r="D102" s="3" t="s">
        <v>40</v>
      </c>
      <c r="E102" s="3" t="s">
        <v>43</v>
      </c>
      <c r="F102" s="3" t="s">
        <v>89</v>
      </c>
      <c r="G102" s="3" t="s">
        <v>723</v>
      </c>
      <c r="H102" s="13">
        <v>2008</v>
      </c>
      <c r="I102" s="13" t="s">
        <v>623</v>
      </c>
      <c r="J102" s="10">
        <f t="shared" si="4"/>
        <v>33740927000</v>
      </c>
      <c r="K102" s="3" t="s">
        <v>2283</v>
      </c>
      <c r="L102" s="3" t="s">
        <v>1336</v>
      </c>
      <c r="M102" s="3" t="s">
        <v>1337</v>
      </c>
      <c r="N102" s="3" t="s">
        <v>1338</v>
      </c>
      <c r="O102" s="3" t="s">
        <v>1339</v>
      </c>
      <c r="P102" s="3"/>
      <c r="Q102" s="3"/>
      <c r="R102" s="3" t="s">
        <v>1340</v>
      </c>
      <c r="S102" s="3" t="s">
        <v>1341</v>
      </c>
      <c r="T102" s="3" t="s">
        <v>1342</v>
      </c>
      <c r="U102" s="3"/>
      <c r="V102" s="3"/>
      <c r="W102" s="10">
        <f>IF( J102="s.i", "s.i", IF(ISBLANK(J102),"Actualizando información",IFERROR(J102 / VLOOKUP(A102,Deflactor!$G$3:$H$64,2,0),"Revisar error" )))</f>
        <v>29056725512.718685</v>
      </c>
      <c r="AR102" s="10">
        <f>22728030 * 1000</f>
        <v>22728030000</v>
      </c>
      <c r="AT102" s="46">
        <f t="shared" si="2"/>
        <v>22728030000</v>
      </c>
      <c r="AU102" s="54">
        <f xml:space="preserve"> IFERROR(ROUND(AT102 / VLOOKUP(A102,Tabla1[#All],2,0),0),"s.i")</f>
        <v>33579996</v>
      </c>
      <c r="AV102" s="33">
        <f xml:space="preserve"> IF(AU102="s.i", "s.i", IF(AND(AU102&gt;=Deflactor!$BQ$298,AU102&lt;Deflactor!$BQ$299), Deflactor!$BP$298, IF(AND(AU102&gt;=Deflactor!$BQ$299,AU102&lt;Deflactor!$BQ$300), Deflactor!$BP$299, IF(AND(AU102&gt;=Deflactor!$BQ$300,AU102&lt;Deflactor!$BQ$301), Deflactor!$BP$300, IF(AND(AU102&gt;=Deflactor!$BQ$301,AU102&lt;Deflactor!$BQ$302), Deflactor!$BP$301, IF(AND(AU102&gt;=Deflactor!$BQ$302,AU102&lt;Deflactor!$BQ$303), Deflactor!$BP$302, IF(AND(AU102&gt;=Deflactor!$BQ$303,AU102&lt;Deflactor!$BQ$304), Deflactor!$BP$303, IF(AND(AU102&gt;=Deflactor!$BQ$304,AU102&lt;Deflactor!$BQ$305), Deflactor!$BP$304, IF(AND(AU102&gt;=Deflactor!$BQ$305,AU102&lt;Deflactor!$BQ$306), Deflactor!$BP$305, IF(AND(AU102&gt;=Deflactor!$BQ$306,AU102&lt;Deflactor!$BQ$307), Deflactor!$BP$306, Deflactor!$BP$307) ) ) ) ) ) ) ) ) )</f>
        <v>8</v>
      </c>
      <c r="AW102" s="57" t="str">
        <f>+IFERROR(VLOOKUP(AV102,Deflactor!$BP$298:$BU$307,6,0),"")</f>
        <v>30 a 50 millones USD</v>
      </c>
    </row>
    <row r="103" spans="1:49" x14ac:dyDescent="0.3">
      <c r="A103" s="3">
        <v>2016</v>
      </c>
      <c r="B103" s="3" t="s">
        <v>148</v>
      </c>
      <c r="C103" s="3" t="s">
        <v>7</v>
      </c>
      <c r="D103" s="3" t="s">
        <v>40</v>
      </c>
      <c r="E103" s="3" t="s">
        <v>43</v>
      </c>
      <c r="F103" s="3" t="s">
        <v>89</v>
      </c>
      <c r="G103" s="3" t="s">
        <v>723</v>
      </c>
      <c r="H103" s="13">
        <v>2008</v>
      </c>
      <c r="I103" s="13" t="s">
        <v>623</v>
      </c>
      <c r="J103" s="10">
        <f t="shared" si="4"/>
        <v>33740927000</v>
      </c>
      <c r="K103" s="3" t="s">
        <v>2283</v>
      </c>
      <c r="L103" s="3" t="s">
        <v>1336</v>
      </c>
      <c r="M103" s="3" t="s">
        <v>1337</v>
      </c>
      <c r="N103" s="3" t="s">
        <v>1338</v>
      </c>
      <c r="O103" s="3" t="s">
        <v>1339</v>
      </c>
      <c r="P103" s="3"/>
      <c r="Q103" s="3"/>
      <c r="R103" s="3" t="s">
        <v>1340</v>
      </c>
      <c r="S103" s="3" t="s">
        <v>1341</v>
      </c>
      <c r="T103" s="3" t="s">
        <v>1342</v>
      </c>
      <c r="U103" s="3"/>
      <c r="V103" s="3"/>
      <c r="W103" s="10">
        <f>IF( J103="s.i", "s.i", IF(ISBLANK(J103),"Actualizando información",IFERROR(J103 / VLOOKUP(A103,Deflactor!$G$3:$H$64,2,0),"Revisar error" )))</f>
        <v>29056725512.718685</v>
      </c>
      <c r="AR103" s="10">
        <f>22728030 * 1000</f>
        <v>22728030000</v>
      </c>
      <c r="AT103" s="46">
        <f t="shared" si="2"/>
        <v>22728030000</v>
      </c>
      <c r="AU103" s="54">
        <f xml:space="preserve"> IFERROR(ROUND(AT103 / VLOOKUP(A103,Tabla1[#All],2,0),0),"s.i")</f>
        <v>33579996</v>
      </c>
      <c r="AV103" s="33">
        <f xml:space="preserve"> IF(AU103="s.i", "s.i", IF(AND(AU103&gt;=Deflactor!$BQ$298,AU103&lt;Deflactor!$BQ$299), Deflactor!$BP$298, IF(AND(AU103&gt;=Deflactor!$BQ$299,AU103&lt;Deflactor!$BQ$300), Deflactor!$BP$299, IF(AND(AU103&gt;=Deflactor!$BQ$300,AU103&lt;Deflactor!$BQ$301), Deflactor!$BP$300, IF(AND(AU103&gt;=Deflactor!$BQ$301,AU103&lt;Deflactor!$BQ$302), Deflactor!$BP$301, IF(AND(AU103&gt;=Deflactor!$BQ$302,AU103&lt;Deflactor!$BQ$303), Deflactor!$BP$302, IF(AND(AU103&gt;=Deflactor!$BQ$303,AU103&lt;Deflactor!$BQ$304), Deflactor!$BP$303, IF(AND(AU103&gt;=Deflactor!$BQ$304,AU103&lt;Deflactor!$BQ$305), Deflactor!$BP$304, IF(AND(AU103&gt;=Deflactor!$BQ$305,AU103&lt;Deflactor!$BQ$306), Deflactor!$BP$305, IF(AND(AU103&gt;=Deflactor!$BQ$306,AU103&lt;Deflactor!$BQ$307), Deflactor!$BP$306, Deflactor!$BP$307) ) ) ) ) ) ) ) ) )</f>
        <v>8</v>
      </c>
      <c r="AW103" s="57" t="str">
        <f>+IFERROR(VLOOKUP(AV103,Deflactor!$BP$298:$BU$307,6,0),"")</f>
        <v>30 a 50 millones USD</v>
      </c>
    </row>
    <row r="104" spans="1:49" x14ac:dyDescent="0.3">
      <c r="A104" s="3">
        <v>2016</v>
      </c>
      <c r="B104" s="3" t="s">
        <v>149</v>
      </c>
      <c r="C104" s="3" t="s">
        <v>67</v>
      </c>
      <c r="D104" s="3" t="s">
        <v>25</v>
      </c>
      <c r="E104" s="3" t="s">
        <v>26</v>
      </c>
      <c r="F104" s="3" t="s">
        <v>10</v>
      </c>
      <c r="G104" s="3" t="s">
        <v>623</v>
      </c>
      <c r="H104" s="13">
        <v>2013</v>
      </c>
      <c r="I104" s="13" t="s">
        <v>623</v>
      </c>
      <c r="J104" s="10" t="s">
        <v>623</v>
      </c>
      <c r="K104" s="3" t="s">
        <v>2302</v>
      </c>
      <c r="L104" s="3" t="s">
        <v>1103</v>
      </c>
      <c r="M104" s="3" t="s">
        <v>1104</v>
      </c>
      <c r="N104" s="3" t="s">
        <v>1105</v>
      </c>
      <c r="O104" s="3" t="s">
        <v>1106</v>
      </c>
      <c r="P104" s="3"/>
      <c r="Q104" s="3"/>
      <c r="R104" s="3" t="s">
        <v>1107</v>
      </c>
      <c r="S104" s="3" t="s">
        <v>1108</v>
      </c>
      <c r="T104" s="3"/>
      <c r="U104" s="3"/>
      <c r="V104" s="3"/>
      <c r="W104" s="10" t="str">
        <f>IF( J104="s.i", "s.i", IF(ISBLANK(J104),"Actualizando información",IFERROR(J104 / VLOOKUP(A104,Deflactor!$G$3:$H$64,2,0),"Revisar error" )))</f>
        <v>s.i</v>
      </c>
      <c r="AR104" s="34">
        <f>142518629 * 1000</f>
        <v>142518629000</v>
      </c>
      <c r="AT104" s="46">
        <f t="shared" si="2"/>
        <v>142518629000</v>
      </c>
      <c r="AU104" s="54">
        <f xml:space="preserve"> IFERROR(ROUND(AT104 / VLOOKUP(A104,Tabla1[#All],2,0),0),"s.i")</f>
        <v>210567084</v>
      </c>
      <c r="AV104" s="33">
        <f xml:space="preserve"> IF(AU104="s.i", "s.i", IF(AND(AU104&gt;=Deflactor!$BQ$298,AU104&lt;Deflactor!$BQ$299), Deflactor!$BP$298, IF(AND(AU104&gt;=Deflactor!$BQ$299,AU104&lt;Deflactor!$BQ$300), Deflactor!$BP$299, IF(AND(AU104&gt;=Deflactor!$BQ$300,AU104&lt;Deflactor!$BQ$301), Deflactor!$BP$300, IF(AND(AU104&gt;=Deflactor!$BQ$301,AU104&lt;Deflactor!$BQ$302), Deflactor!$BP$301, IF(AND(AU104&gt;=Deflactor!$BQ$302,AU104&lt;Deflactor!$BQ$303), Deflactor!$BP$302, IF(AND(AU104&gt;=Deflactor!$BQ$303,AU104&lt;Deflactor!$BQ$304), Deflactor!$BP$303, IF(AND(AU104&gt;=Deflactor!$BQ$304,AU104&lt;Deflactor!$BQ$305), Deflactor!$BP$304, IF(AND(AU104&gt;=Deflactor!$BQ$305,AU104&lt;Deflactor!$BQ$306), Deflactor!$BP$305, IF(AND(AU104&gt;=Deflactor!$BQ$306,AU104&lt;Deflactor!$BQ$307), Deflactor!$BP$306, Deflactor!$BP$307) ) ) ) ) ) ) ) ) )</f>
        <v>10</v>
      </c>
      <c r="AW104" s="57" t="str">
        <f>+IFERROR(VLOOKUP(AV104,Deflactor!$BP$298:$BU$307,6,0),"")</f>
        <v>100 millones USD y mas</v>
      </c>
    </row>
    <row r="105" spans="1:49" x14ac:dyDescent="0.3">
      <c r="A105" s="3">
        <v>2016</v>
      </c>
      <c r="B105" s="3" t="s">
        <v>150</v>
      </c>
      <c r="C105" s="3" t="s">
        <v>7</v>
      </c>
      <c r="D105" s="3" t="s">
        <v>25</v>
      </c>
      <c r="E105" s="3" t="s">
        <v>151</v>
      </c>
      <c r="F105" s="3" t="s">
        <v>89</v>
      </c>
      <c r="G105" s="3" t="s">
        <v>623</v>
      </c>
      <c r="H105" s="13">
        <v>2012</v>
      </c>
      <c r="I105" s="13" t="s">
        <v>623</v>
      </c>
      <c r="J105" s="10">
        <f xml:space="preserve"> 11052526 * 1000000</f>
        <v>11052526000000</v>
      </c>
      <c r="K105" s="3" t="s">
        <v>2303</v>
      </c>
      <c r="L105" s="3" t="s">
        <v>1109</v>
      </c>
      <c r="M105" s="3" t="s">
        <v>1110</v>
      </c>
      <c r="N105" s="3" t="s">
        <v>1111</v>
      </c>
      <c r="O105" s="3" t="s">
        <v>1112</v>
      </c>
      <c r="P105" s="3"/>
      <c r="Q105" s="3"/>
      <c r="R105" s="3" t="s">
        <v>1113</v>
      </c>
      <c r="S105" s="3" t="s">
        <v>1114</v>
      </c>
      <c r="T105" s="3" t="s">
        <v>1115</v>
      </c>
      <c r="U105" s="3"/>
      <c r="V105" s="3"/>
      <c r="W105" s="10">
        <f>IF( J105="s.i", "s.i", IF(ISBLANK(J105),"Actualizando información",IFERROR(J105 / VLOOKUP(A105,Deflactor!$G$3:$H$64,2,0),"Revisar error" )))</f>
        <v>9518120655196.7754</v>
      </c>
      <c r="AR105" s="34">
        <f>8818742 * 1000</f>
        <v>8818742000</v>
      </c>
      <c r="AT105" s="46">
        <f t="shared" si="2"/>
        <v>8818742000</v>
      </c>
      <c r="AU105" s="54">
        <f xml:space="preserve"> IFERROR(ROUND(AT105 / VLOOKUP(A105,Tabla1[#All],2,0),0),"s.i")</f>
        <v>13029432</v>
      </c>
      <c r="AV105" s="33">
        <f xml:space="preserve"> IF(AU105="s.i", "s.i", IF(AND(AU105&gt;=Deflactor!$BQ$298,AU105&lt;Deflactor!$BQ$299), Deflactor!$BP$298, IF(AND(AU105&gt;=Deflactor!$BQ$299,AU105&lt;Deflactor!$BQ$300), Deflactor!$BP$299, IF(AND(AU105&gt;=Deflactor!$BQ$300,AU105&lt;Deflactor!$BQ$301), Deflactor!$BP$300, IF(AND(AU105&gt;=Deflactor!$BQ$301,AU105&lt;Deflactor!$BQ$302), Deflactor!$BP$301, IF(AND(AU105&gt;=Deflactor!$BQ$302,AU105&lt;Deflactor!$BQ$303), Deflactor!$BP$302, IF(AND(AU105&gt;=Deflactor!$BQ$303,AU105&lt;Deflactor!$BQ$304), Deflactor!$BP$303, IF(AND(AU105&gt;=Deflactor!$BQ$304,AU105&lt;Deflactor!$BQ$305), Deflactor!$BP$304, IF(AND(AU105&gt;=Deflactor!$BQ$305,AU105&lt;Deflactor!$BQ$306), Deflactor!$BP$305, IF(AND(AU105&gt;=Deflactor!$BQ$306,AU105&lt;Deflactor!$BQ$307), Deflactor!$BP$306, Deflactor!$BP$307) ) ) ) ) ) ) ) ) )</f>
        <v>5</v>
      </c>
      <c r="AW105" s="57" t="str">
        <f>+IFERROR(VLOOKUP(AV105,Deflactor!$BP$298:$BU$307,6,0),"")</f>
        <v>10 a 15 millones USD</v>
      </c>
    </row>
    <row r="106" spans="1:49" x14ac:dyDescent="0.3">
      <c r="A106" s="3">
        <v>2016</v>
      </c>
      <c r="B106" s="3" t="s">
        <v>152</v>
      </c>
      <c r="C106" s="3" t="s">
        <v>7</v>
      </c>
      <c r="D106" s="3" t="s">
        <v>25</v>
      </c>
      <c r="E106" s="3" t="s">
        <v>153</v>
      </c>
      <c r="F106" s="3" t="s">
        <v>95</v>
      </c>
      <c r="G106" s="3" t="s">
        <v>623</v>
      </c>
      <c r="H106" s="13">
        <v>1993</v>
      </c>
      <c r="I106" s="13" t="s">
        <v>623</v>
      </c>
      <c r="J106" s="10">
        <f xml:space="preserve"> 7301 * 1000000</f>
        <v>7301000000</v>
      </c>
      <c r="K106" s="3" t="s">
        <v>2167</v>
      </c>
      <c r="L106" s="3" t="s">
        <v>1116</v>
      </c>
      <c r="M106" s="3" t="s">
        <v>1117</v>
      </c>
      <c r="N106" s="3" t="s">
        <v>1118</v>
      </c>
      <c r="O106" s="3" t="s">
        <v>1119</v>
      </c>
      <c r="P106" s="3" t="s">
        <v>1120</v>
      </c>
      <c r="Q106" s="3"/>
      <c r="R106" s="3" t="s">
        <v>1121</v>
      </c>
      <c r="S106" s="3" t="s">
        <v>1122</v>
      </c>
      <c r="T106" s="3" t="s">
        <v>1123</v>
      </c>
      <c r="U106" s="3" t="s">
        <v>1150</v>
      </c>
      <c r="V106" s="3"/>
      <c r="W106" s="10">
        <f>IF( J106="s.i", "s.i", IF(ISBLANK(J106),"Actualizando información",IFERROR(J106 / VLOOKUP(A106,Deflactor!$G$3:$H$64,2,0),"Revisar error" )))</f>
        <v>6287413293.9014721</v>
      </c>
      <c r="AR106" s="10">
        <f>5330565 * 1000</f>
        <v>5330565000</v>
      </c>
      <c r="AT106" s="46">
        <f t="shared" si="2"/>
        <v>5330565000</v>
      </c>
      <c r="AU106" s="54">
        <f xml:space="preserve"> IFERROR(ROUND(AT106 / VLOOKUP(A106,Tabla1[#All],2,0),0),"s.i")</f>
        <v>7875753</v>
      </c>
      <c r="AV106" s="33">
        <f xml:space="preserve"> IF(AU106="s.i", "s.i", IF(AND(AU106&gt;=Deflactor!$BQ$298,AU106&lt;Deflactor!$BQ$299), Deflactor!$BP$298, IF(AND(AU106&gt;=Deflactor!$BQ$299,AU106&lt;Deflactor!$BQ$300), Deflactor!$BP$299, IF(AND(AU106&gt;=Deflactor!$BQ$300,AU106&lt;Deflactor!$BQ$301), Deflactor!$BP$300, IF(AND(AU106&gt;=Deflactor!$BQ$301,AU106&lt;Deflactor!$BQ$302), Deflactor!$BP$301, IF(AND(AU106&gt;=Deflactor!$BQ$302,AU106&lt;Deflactor!$BQ$303), Deflactor!$BP$302, IF(AND(AU106&gt;=Deflactor!$BQ$303,AU106&lt;Deflactor!$BQ$304), Deflactor!$BP$303, IF(AND(AU106&gt;=Deflactor!$BQ$304,AU106&lt;Deflactor!$BQ$305), Deflactor!$BP$304, IF(AND(AU106&gt;=Deflactor!$BQ$305,AU106&lt;Deflactor!$BQ$306), Deflactor!$BP$305, IF(AND(AU106&gt;=Deflactor!$BQ$306,AU106&lt;Deflactor!$BQ$307), Deflactor!$BP$306, Deflactor!$BP$307) ) ) ) ) ) ) ) ) )</f>
        <v>4</v>
      </c>
      <c r="AW106" s="57" t="str">
        <f>+IFERROR(VLOOKUP(AV106,Deflactor!$BP$298:$BU$307,6,0),"")</f>
        <v>7,5 a 10 millones USD</v>
      </c>
    </row>
    <row r="107" spans="1:49" x14ac:dyDescent="0.3">
      <c r="A107" s="3">
        <v>2015</v>
      </c>
      <c r="B107" s="3" t="s">
        <v>154</v>
      </c>
      <c r="C107" s="3" t="s">
        <v>155</v>
      </c>
      <c r="D107" s="3" t="s">
        <v>8</v>
      </c>
      <c r="E107" s="3" t="s">
        <v>156</v>
      </c>
      <c r="F107" s="3" t="s">
        <v>157</v>
      </c>
      <c r="G107" s="3" t="s">
        <v>723</v>
      </c>
      <c r="H107" s="13">
        <v>1967</v>
      </c>
      <c r="I107" s="13"/>
      <c r="J107" s="10">
        <f xml:space="preserve"> 127596471 * 1000</f>
        <v>127596471000</v>
      </c>
      <c r="K107" s="3" t="s">
        <v>2304</v>
      </c>
      <c r="L107" s="3" t="s">
        <v>2044</v>
      </c>
      <c r="M107" s="3" t="s">
        <v>2045</v>
      </c>
      <c r="N107" s="3" t="s">
        <v>2046</v>
      </c>
      <c r="O107" s="3" t="s">
        <v>2047</v>
      </c>
      <c r="P107" s="3" t="s">
        <v>2048</v>
      </c>
      <c r="Q107" s="3" t="s">
        <v>735</v>
      </c>
      <c r="R107" s="11" t="s">
        <v>2042</v>
      </c>
      <c r="S107" s="11" t="s">
        <v>2043</v>
      </c>
      <c r="T107" s="3"/>
      <c r="U107" s="3"/>
      <c r="V107" s="3"/>
      <c r="W107" s="10">
        <f>IF( J107="s.i", "s.i", IF(ISBLANK(J107),"Actualizando información",IFERROR(J107 / VLOOKUP(A107,Deflactor!$G$3:$H$64,2,0),"Revisar error" )))</f>
        <v>114794104040.638</v>
      </c>
      <c r="AR107" s="10">
        <f>80410508 * 1000</f>
        <v>80410508000</v>
      </c>
      <c r="AT107" s="46">
        <f t="shared" si="2"/>
        <v>80410508000</v>
      </c>
      <c r="AU107" s="54">
        <f xml:space="preserve"> IFERROR(ROUND(AT107 / VLOOKUP(A107,Tabla1[#All],2,0),0),"s.i")</f>
        <v>122905053</v>
      </c>
      <c r="AV107" s="33">
        <f xml:space="preserve"> IF(AU107="s.i", "s.i", IF(AND(AU107&gt;=Deflactor!$BQ$298,AU107&lt;Deflactor!$BQ$299), Deflactor!$BP$298, IF(AND(AU107&gt;=Deflactor!$BQ$299,AU107&lt;Deflactor!$BQ$300), Deflactor!$BP$299, IF(AND(AU107&gt;=Deflactor!$BQ$300,AU107&lt;Deflactor!$BQ$301), Deflactor!$BP$300, IF(AND(AU107&gt;=Deflactor!$BQ$301,AU107&lt;Deflactor!$BQ$302), Deflactor!$BP$301, IF(AND(AU107&gt;=Deflactor!$BQ$302,AU107&lt;Deflactor!$BQ$303), Deflactor!$BP$302, IF(AND(AU107&gt;=Deflactor!$BQ$303,AU107&lt;Deflactor!$BQ$304), Deflactor!$BP$303, IF(AND(AU107&gt;=Deflactor!$BQ$304,AU107&lt;Deflactor!$BQ$305), Deflactor!$BP$304, IF(AND(AU107&gt;=Deflactor!$BQ$305,AU107&lt;Deflactor!$BQ$306), Deflactor!$BP$305, IF(AND(AU107&gt;=Deflactor!$BQ$306,AU107&lt;Deflactor!$BQ$307), Deflactor!$BP$306, Deflactor!$BP$307) ) ) ) ) ) ) ) ) )</f>
        <v>10</v>
      </c>
      <c r="AW107" s="57" t="str">
        <f>+IFERROR(VLOOKUP(AV107,Deflactor!$BP$298:$BU$307,6,0),"")</f>
        <v>100 millones USD y mas</v>
      </c>
    </row>
    <row r="108" spans="1:49" x14ac:dyDescent="0.3">
      <c r="A108" s="3">
        <v>2015</v>
      </c>
      <c r="B108" s="3" t="s">
        <v>158</v>
      </c>
      <c r="C108" s="3" t="s">
        <v>67</v>
      </c>
      <c r="D108" s="3" t="s">
        <v>159</v>
      </c>
      <c r="E108" s="3" t="s">
        <v>160</v>
      </c>
      <c r="F108" s="3" t="s">
        <v>89</v>
      </c>
      <c r="G108" s="3" t="s">
        <v>623</v>
      </c>
      <c r="H108" s="3" t="s">
        <v>623</v>
      </c>
      <c r="I108" s="3" t="s">
        <v>623</v>
      </c>
      <c r="J108" s="3" t="s">
        <v>623</v>
      </c>
      <c r="K108" s="3" t="s">
        <v>1648</v>
      </c>
      <c r="L108" s="3" t="s">
        <v>2053</v>
      </c>
      <c r="M108" s="3" t="s">
        <v>2054</v>
      </c>
      <c r="N108" s="3" t="s">
        <v>2055</v>
      </c>
      <c r="O108" s="3" t="s">
        <v>2056</v>
      </c>
      <c r="P108" s="3" t="s">
        <v>2056</v>
      </c>
      <c r="Q108" s="3"/>
      <c r="R108" s="29" t="s">
        <v>2049</v>
      </c>
      <c r="S108" s="11" t="s">
        <v>2050</v>
      </c>
      <c r="T108" s="11" t="s">
        <v>2051</v>
      </c>
      <c r="U108" s="3"/>
      <c r="V108" s="3" t="s">
        <v>2052</v>
      </c>
      <c r="W108" s="10" t="str">
        <f>IF( J108="s.i", "s.i", IF(ISBLANK(J108),"Actualizando información",IFERROR(J108 / VLOOKUP(A108,Deflactor!$G$3:$H$64,2,0),"Revisar error" )))</f>
        <v>s.i</v>
      </c>
      <c r="AR108" s="34">
        <f>6577356 * 1000</f>
        <v>6577356000</v>
      </c>
      <c r="AT108" s="46">
        <f t="shared" si="2"/>
        <v>6577356000</v>
      </c>
      <c r="AU108" s="54">
        <f xml:space="preserve"> IFERROR(ROUND(AT108 / VLOOKUP(A108,Tabla1[#All],2,0),0),"s.i")</f>
        <v>10053292</v>
      </c>
      <c r="AV108" s="33">
        <f xml:space="preserve"> IF(AU108="s.i", "s.i", IF(AND(AU108&gt;=Deflactor!$BQ$298,AU108&lt;Deflactor!$BQ$299), Deflactor!$BP$298, IF(AND(AU108&gt;=Deflactor!$BQ$299,AU108&lt;Deflactor!$BQ$300), Deflactor!$BP$299, IF(AND(AU108&gt;=Deflactor!$BQ$300,AU108&lt;Deflactor!$BQ$301), Deflactor!$BP$300, IF(AND(AU108&gt;=Deflactor!$BQ$301,AU108&lt;Deflactor!$BQ$302), Deflactor!$BP$301, IF(AND(AU108&gt;=Deflactor!$BQ$302,AU108&lt;Deflactor!$BQ$303), Deflactor!$BP$302, IF(AND(AU108&gt;=Deflactor!$BQ$303,AU108&lt;Deflactor!$BQ$304), Deflactor!$BP$303, IF(AND(AU108&gt;=Deflactor!$BQ$304,AU108&lt;Deflactor!$BQ$305), Deflactor!$BP$304, IF(AND(AU108&gt;=Deflactor!$BQ$305,AU108&lt;Deflactor!$BQ$306), Deflactor!$BP$305, IF(AND(AU108&gt;=Deflactor!$BQ$306,AU108&lt;Deflactor!$BQ$307), Deflactor!$BP$306, Deflactor!$BP$307) ) ) ) ) ) ) ) ) )</f>
        <v>5</v>
      </c>
      <c r="AW108" s="57" t="str">
        <f>+IFERROR(VLOOKUP(AV108,Deflactor!$BP$298:$BU$307,6,0),"")</f>
        <v>10 a 15 millones USD</v>
      </c>
    </row>
    <row r="109" spans="1:49" x14ac:dyDescent="0.3">
      <c r="A109" s="3">
        <v>2015</v>
      </c>
      <c r="B109" s="3" t="s">
        <v>161</v>
      </c>
      <c r="C109" s="3" t="s">
        <v>67</v>
      </c>
      <c r="D109" s="3" t="s">
        <v>40</v>
      </c>
      <c r="E109" s="3" t="s">
        <v>162</v>
      </c>
      <c r="F109" s="3" t="s">
        <v>95</v>
      </c>
      <c r="G109" s="3" t="s">
        <v>623</v>
      </c>
      <c r="H109" s="3" t="s">
        <v>623</v>
      </c>
      <c r="I109" s="3" t="s">
        <v>623</v>
      </c>
      <c r="J109" s="10">
        <v>16815766000</v>
      </c>
      <c r="K109" s="3"/>
      <c r="L109" s="3" t="s">
        <v>2059</v>
      </c>
      <c r="M109" s="3" t="s">
        <v>2063</v>
      </c>
      <c r="N109" s="3" t="s">
        <v>2060</v>
      </c>
      <c r="O109" s="3" t="s">
        <v>2061</v>
      </c>
      <c r="P109" s="3" t="s">
        <v>2062</v>
      </c>
      <c r="Q109" s="3"/>
      <c r="R109" s="29" t="s">
        <v>2057</v>
      </c>
      <c r="S109" s="29" t="s">
        <v>2058</v>
      </c>
      <c r="T109" s="3"/>
      <c r="U109" s="3"/>
      <c r="V109" s="3"/>
      <c r="W109" s="10">
        <f>IF( J109="s.i", "s.i", IF(ISBLANK(J109),"Actualizando información",IFERROR(J109 / VLOOKUP(A109,Deflactor!$G$3:$H$64,2,0),"Revisar error" )))</f>
        <v>15128559407.626745</v>
      </c>
      <c r="AR109" s="10">
        <f xml:space="preserve"> 17464958 * 1000</f>
        <v>17464958000</v>
      </c>
      <c r="AT109" s="46">
        <f t="shared" si="2"/>
        <v>17464958000</v>
      </c>
      <c r="AU109" s="54">
        <f xml:space="preserve"> IFERROR(ROUND(AT109 / VLOOKUP(A109,Tabla1[#All],2,0),0),"s.i")</f>
        <v>26694665</v>
      </c>
      <c r="AV109" s="33">
        <f xml:space="preserve"> IF(AU109="s.i", "s.i", IF(AND(AU109&gt;=Deflactor!$BQ$298,AU109&lt;Deflactor!$BQ$299), Deflactor!$BP$298, IF(AND(AU109&gt;=Deflactor!$BQ$299,AU109&lt;Deflactor!$BQ$300), Deflactor!$BP$299, IF(AND(AU109&gt;=Deflactor!$BQ$300,AU109&lt;Deflactor!$BQ$301), Deflactor!$BP$300, IF(AND(AU109&gt;=Deflactor!$BQ$301,AU109&lt;Deflactor!$BQ$302), Deflactor!$BP$301, IF(AND(AU109&gt;=Deflactor!$BQ$302,AU109&lt;Deflactor!$BQ$303), Deflactor!$BP$302, IF(AND(AU109&gt;=Deflactor!$BQ$303,AU109&lt;Deflactor!$BQ$304), Deflactor!$BP$303, IF(AND(AU109&gt;=Deflactor!$BQ$304,AU109&lt;Deflactor!$BQ$305), Deflactor!$BP$304, IF(AND(AU109&gt;=Deflactor!$BQ$305,AU109&lt;Deflactor!$BQ$306), Deflactor!$BP$305, IF(AND(AU109&gt;=Deflactor!$BQ$306,AU109&lt;Deflactor!$BQ$307), Deflactor!$BP$306, Deflactor!$BP$307) ) ) ) ) ) ) ) ) )</f>
        <v>7</v>
      </c>
      <c r="AW109" s="57" t="str">
        <f>+IFERROR(VLOOKUP(AV109,Deflactor!$BP$298:$BU$307,6,0),"")</f>
        <v>20 a 30 millones USD</v>
      </c>
    </row>
    <row r="110" spans="1:49" x14ac:dyDescent="0.3">
      <c r="A110" s="3">
        <v>2015</v>
      </c>
      <c r="B110" s="3" t="s">
        <v>163</v>
      </c>
      <c r="C110" s="3" t="s">
        <v>7</v>
      </c>
      <c r="D110" s="3" t="s">
        <v>164</v>
      </c>
      <c r="E110" s="3" t="s">
        <v>165</v>
      </c>
      <c r="F110" s="3" t="s">
        <v>95</v>
      </c>
      <c r="G110" s="3" t="s">
        <v>723</v>
      </c>
      <c r="H110" s="13">
        <v>1979</v>
      </c>
      <c r="I110" s="13"/>
      <c r="J110" s="10">
        <f xml:space="preserve"> 3998919 * 1000</f>
        <v>3998919000</v>
      </c>
      <c r="K110" s="3"/>
      <c r="L110" s="3" t="s">
        <v>2067</v>
      </c>
      <c r="M110" s="3" t="s">
        <v>2068</v>
      </c>
      <c r="N110" s="3" t="s">
        <v>2069</v>
      </c>
      <c r="O110" s="3" t="s">
        <v>2070</v>
      </c>
      <c r="P110" s="3" t="s">
        <v>2071</v>
      </c>
      <c r="Q110" s="3"/>
      <c r="R110" s="11" t="s">
        <v>2064</v>
      </c>
      <c r="S110" s="11" t="s">
        <v>2065</v>
      </c>
      <c r="T110" s="11" t="s">
        <v>2066</v>
      </c>
      <c r="U110" s="3"/>
      <c r="V110" s="3"/>
      <c r="W110" s="10">
        <f>IF( J110="s.i", "s.i", IF(ISBLANK(J110),"Actualizando información",IFERROR(J110 / VLOOKUP(A110,Deflactor!$G$3:$H$64,2,0),"Revisar error" )))</f>
        <v>3597688244.3408961</v>
      </c>
      <c r="AR110" s="34">
        <f xml:space="preserve"> 206000 * 1000</f>
        <v>206000000</v>
      </c>
      <c r="AT110" s="46">
        <f t="shared" si="2"/>
        <v>206000000</v>
      </c>
      <c r="AU110" s="54">
        <f xml:space="preserve"> IFERROR(ROUND(AT110 / VLOOKUP(A110,Tabla1[#All],2,0),0),"s.i")</f>
        <v>314865</v>
      </c>
      <c r="AV110" s="33">
        <f xml:space="preserve"> IF(AU110="s.i", "s.i", IF(AND(AU110&gt;=Deflactor!$BQ$298,AU110&lt;Deflactor!$BQ$299), Deflactor!$BP$298, IF(AND(AU110&gt;=Deflactor!$BQ$299,AU110&lt;Deflactor!$BQ$300), Deflactor!$BP$299, IF(AND(AU110&gt;=Deflactor!$BQ$300,AU110&lt;Deflactor!$BQ$301), Deflactor!$BP$300, IF(AND(AU110&gt;=Deflactor!$BQ$301,AU110&lt;Deflactor!$BQ$302), Deflactor!$BP$301, IF(AND(AU110&gt;=Deflactor!$BQ$302,AU110&lt;Deflactor!$BQ$303), Deflactor!$BP$302, IF(AND(AU110&gt;=Deflactor!$BQ$303,AU110&lt;Deflactor!$BQ$304), Deflactor!$BP$303, IF(AND(AU110&gt;=Deflactor!$BQ$304,AU110&lt;Deflactor!$BQ$305), Deflactor!$BP$304, IF(AND(AU110&gt;=Deflactor!$BQ$305,AU110&lt;Deflactor!$BQ$306), Deflactor!$BP$305, IF(AND(AU110&gt;=Deflactor!$BQ$306,AU110&lt;Deflactor!$BQ$307), Deflactor!$BP$306, Deflactor!$BP$307) ) ) ) ) ) ) ) ) )</f>
        <v>1</v>
      </c>
      <c r="AW110" s="57" t="str">
        <f>+IFERROR(VLOOKUP(AV110,Deflactor!$BP$298:$BU$307,6,0),"")</f>
        <v>2 millones USD y menos</v>
      </c>
    </row>
    <row r="111" spans="1:49" x14ac:dyDescent="0.3">
      <c r="A111" s="3">
        <v>2015</v>
      </c>
      <c r="B111" s="3" t="s">
        <v>166</v>
      </c>
      <c r="C111" s="3" t="s">
        <v>7</v>
      </c>
      <c r="D111" s="3" t="s">
        <v>71</v>
      </c>
      <c r="E111" s="3" t="s">
        <v>167</v>
      </c>
      <c r="F111" s="3" t="s">
        <v>95</v>
      </c>
      <c r="G111" s="3" t="s">
        <v>723</v>
      </c>
      <c r="H111" s="13">
        <v>1964</v>
      </c>
      <c r="I111" s="13"/>
      <c r="J111" s="10">
        <f xml:space="preserve"> 70756 * 1000000</f>
        <v>70756000000</v>
      </c>
      <c r="K111" s="3" t="s">
        <v>2310</v>
      </c>
      <c r="L111" s="3" t="s">
        <v>2075</v>
      </c>
      <c r="M111" s="3" t="s">
        <v>2076</v>
      </c>
      <c r="N111" s="3" t="s">
        <v>2077</v>
      </c>
      <c r="O111" s="3" t="s">
        <v>2078</v>
      </c>
      <c r="P111" s="3" t="s">
        <v>2079</v>
      </c>
      <c r="Q111" s="3"/>
      <c r="R111" s="11" t="s">
        <v>2072</v>
      </c>
      <c r="S111" s="11" t="s">
        <v>2073</v>
      </c>
      <c r="T111" s="29" t="s">
        <v>2074</v>
      </c>
      <c r="U111" s="3"/>
      <c r="V111" s="3"/>
      <c r="W111" s="10">
        <f>IF( J111="s.i", "s.i", IF(ISBLANK(J111),"Actualizando información",IFERROR(J111 / VLOOKUP(A111,Deflactor!$G$3:$H$64,2,0),"Revisar error" )))</f>
        <v>63656710580.180405</v>
      </c>
      <c r="AR111" s="10">
        <f xml:space="preserve"> 70505472 * 1000</f>
        <v>70505472000</v>
      </c>
      <c r="AT111" s="46">
        <f t="shared" si="2"/>
        <v>70505472000</v>
      </c>
      <c r="AU111" s="54">
        <f xml:space="preserve"> IFERROR(ROUND(AT111 / VLOOKUP(A111,Tabla1[#All],2,0),0),"s.i")</f>
        <v>107765502</v>
      </c>
      <c r="AV111" s="33">
        <f xml:space="preserve"> IF(AU111="s.i", "s.i", IF(AND(AU111&gt;=Deflactor!$BQ$298,AU111&lt;Deflactor!$BQ$299), Deflactor!$BP$298, IF(AND(AU111&gt;=Deflactor!$BQ$299,AU111&lt;Deflactor!$BQ$300), Deflactor!$BP$299, IF(AND(AU111&gt;=Deflactor!$BQ$300,AU111&lt;Deflactor!$BQ$301), Deflactor!$BP$300, IF(AND(AU111&gt;=Deflactor!$BQ$301,AU111&lt;Deflactor!$BQ$302), Deflactor!$BP$301, IF(AND(AU111&gt;=Deflactor!$BQ$302,AU111&lt;Deflactor!$BQ$303), Deflactor!$BP$302, IF(AND(AU111&gt;=Deflactor!$BQ$303,AU111&lt;Deflactor!$BQ$304), Deflactor!$BP$303, IF(AND(AU111&gt;=Deflactor!$BQ$304,AU111&lt;Deflactor!$BQ$305), Deflactor!$BP$304, IF(AND(AU111&gt;=Deflactor!$BQ$305,AU111&lt;Deflactor!$BQ$306), Deflactor!$BP$305, IF(AND(AU111&gt;=Deflactor!$BQ$306,AU111&lt;Deflactor!$BQ$307), Deflactor!$BP$306, Deflactor!$BP$307) ) ) ) ) ) ) ) ) )</f>
        <v>10</v>
      </c>
      <c r="AW111" s="57" t="str">
        <f>+IFERROR(VLOOKUP(AV111,Deflactor!$BP$298:$BU$307,6,0),"")</f>
        <v>100 millones USD y mas</v>
      </c>
    </row>
    <row r="112" spans="1:49" x14ac:dyDescent="0.3">
      <c r="A112" s="3">
        <v>2015</v>
      </c>
      <c r="B112" s="3" t="s">
        <v>168</v>
      </c>
      <c r="C112" s="3" t="s">
        <v>7</v>
      </c>
      <c r="D112" s="3" t="s">
        <v>36</v>
      </c>
      <c r="E112" s="3" t="s">
        <v>81</v>
      </c>
      <c r="F112" s="3" t="s">
        <v>89</v>
      </c>
      <c r="G112" s="3" t="s">
        <v>723</v>
      </c>
      <c r="H112" s="13">
        <v>2000</v>
      </c>
      <c r="I112" s="13"/>
      <c r="J112" s="10">
        <f xml:space="preserve"> 4475936  * 1000</f>
        <v>4475936000</v>
      </c>
      <c r="K112" s="3" t="s">
        <v>2088</v>
      </c>
      <c r="L112" s="3" t="s">
        <v>2083</v>
      </c>
      <c r="M112" s="3" t="s">
        <v>2087</v>
      </c>
      <c r="N112" s="3" t="s">
        <v>2084</v>
      </c>
      <c r="O112" s="3" t="s">
        <v>2085</v>
      </c>
      <c r="P112" s="3" t="s">
        <v>2086</v>
      </c>
      <c r="Q112" s="3"/>
      <c r="R112" s="11" t="s">
        <v>2080</v>
      </c>
      <c r="S112" s="11" t="s">
        <v>2081</v>
      </c>
      <c r="T112" s="11" t="s">
        <v>2082</v>
      </c>
      <c r="U112" s="3" t="s">
        <v>168</v>
      </c>
      <c r="V112" s="3"/>
      <c r="W112" s="10">
        <f>IF( J112="s.i", "s.i", IF(ISBLANK(J112),"Actualizando información",IFERROR(J112 / VLOOKUP(A112,Deflactor!$G$3:$H$64,2,0),"Revisar error" )))</f>
        <v>4026843836.9524899</v>
      </c>
      <c r="AR112" s="10">
        <f xml:space="preserve"> 4475936 * 1000</f>
        <v>4475936000</v>
      </c>
      <c r="AT112" s="46">
        <f t="shared" si="2"/>
        <v>4475936000</v>
      </c>
      <c r="AU112" s="54">
        <f xml:space="preserve"> IFERROR(ROUND(AT112 / VLOOKUP(A112,Tabla1[#All],2,0),0),"s.i")</f>
        <v>6841334</v>
      </c>
      <c r="AV112" s="33">
        <f xml:space="preserve"> IF(AU112="s.i", "s.i", IF(AND(AU112&gt;=Deflactor!$BQ$298,AU112&lt;Deflactor!$BQ$299), Deflactor!$BP$298, IF(AND(AU112&gt;=Deflactor!$BQ$299,AU112&lt;Deflactor!$BQ$300), Deflactor!$BP$299, IF(AND(AU112&gt;=Deflactor!$BQ$300,AU112&lt;Deflactor!$BQ$301), Deflactor!$BP$300, IF(AND(AU112&gt;=Deflactor!$BQ$301,AU112&lt;Deflactor!$BQ$302), Deflactor!$BP$301, IF(AND(AU112&gt;=Deflactor!$BQ$302,AU112&lt;Deflactor!$BQ$303), Deflactor!$BP$302, IF(AND(AU112&gt;=Deflactor!$BQ$303,AU112&lt;Deflactor!$BQ$304), Deflactor!$BP$303, IF(AND(AU112&gt;=Deflactor!$BQ$304,AU112&lt;Deflactor!$BQ$305), Deflactor!$BP$304, IF(AND(AU112&gt;=Deflactor!$BQ$305,AU112&lt;Deflactor!$BQ$306), Deflactor!$BP$305, IF(AND(AU112&gt;=Deflactor!$BQ$306,AU112&lt;Deflactor!$BQ$307), Deflactor!$BP$306, Deflactor!$BP$307) ) ) ) ) ) ) ) ) )</f>
        <v>3</v>
      </c>
      <c r="AW112" s="57" t="str">
        <f>+IFERROR(VLOOKUP(AV112,Deflactor!$BP$298:$BU$307,6,0),"")</f>
        <v>5 a 7,5 millones USD</v>
      </c>
    </row>
    <row r="113" spans="1:49" x14ac:dyDescent="0.3">
      <c r="A113" s="3">
        <v>2015</v>
      </c>
      <c r="B113" s="3" t="s">
        <v>169</v>
      </c>
      <c r="C113" s="3" t="s">
        <v>7</v>
      </c>
      <c r="D113" s="3" t="s">
        <v>36</v>
      </c>
      <c r="E113" s="3" t="s">
        <v>37</v>
      </c>
      <c r="F113" s="3" t="s">
        <v>89</v>
      </c>
      <c r="G113" s="3" t="s">
        <v>723</v>
      </c>
      <c r="H113" s="13">
        <v>2009</v>
      </c>
      <c r="I113" s="13"/>
      <c r="J113" s="10">
        <f xml:space="preserve"> (13851853 + 17879975) * 1000</f>
        <v>31731828000</v>
      </c>
      <c r="K113" s="3" t="s">
        <v>763</v>
      </c>
      <c r="L113" s="3" t="s">
        <v>2093</v>
      </c>
      <c r="M113" s="3" t="s">
        <v>2096</v>
      </c>
      <c r="N113" s="3" t="s">
        <v>2094</v>
      </c>
      <c r="O113" s="3" t="s">
        <v>2095</v>
      </c>
      <c r="P113" s="3" t="s">
        <v>2097</v>
      </c>
      <c r="Q113" s="3" t="s">
        <v>2092</v>
      </c>
      <c r="R113" s="11" t="s">
        <v>2089</v>
      </c>
      <c r="S113" s="11" t="s">
        <v>2090</v>
      </c>
      <c r="T113" s="11" t="s">
        <v>2091</v>
      </c>
      <c r="U113" s="3" t="s">
        <v>2108</v>
      </c>
      <c r="V113" s="3"/>
      <c r="W113" s="10">
        <f>IF( J113="s.i", "s.i", IF(ISBLANK(J113),"Actualizando información",IFERROR(J113 / VLOOKUP(A113,Deflactor!$G$3:$H$64,2,0),"Revisar error" )))</f>
        <v>28548021244.503151</v>
      </c>
      <c r="AR113" s="34">
        <f xml:space="preserve"> 50779990 * 1000</f>
        <v>50779990000</v>
      </c>
      <c r="AT113" s="46">
        <f t="shared" si="2"/>
        <v>50779990000</v>
      </c>
      <c r="AU113" s="54">
        <f xml:space="preserve"> IFERROR(ROUND(AT113 / VLOOKUP(A113,Tabla1[#All],2,0),0),"s.i")</f>
        <v>77615694</v>
      </c>
      <c r="AV113" s="33">
        <f xml:space="preserve"> IF(AU113="s.i", "s.i", IF(AND(AU113&gt;=Deflactor!$BQ$298,AU113&lt;Deflactor!$BQ$299), Deflactor!$BP$298, IF(AND(AU113&gt;=Deflactor!$BQ$299,AU113&lt;Deflactor!$BQ$300), Deflactor!$BP$299, IF(AND(AU113&gt;=Deflactor!$BQ$300,AU113&lt;Deflactor!$BQ$301), Deflactor!$BP$300, IF(AND(AU113&gt;=Deflactor!$BQ$301,AU113&lt;Deflactor!$BQ$302), Deflactor!$BP$301, IF(AND(AU113&gt;=Deflactor!$BQ$302,AU113&lt;Deflactor!$BQ$303), Deflactor!$BP$302, IF(AND(AU113&gt;=Deflactor!$BQ$303,AU113&lt;Deflactor!$BQ$304), Deflactor!$BP$303, IF(AND(AU113&gt;=Deflactor!$BQ$304,AU113&lt;Deflactor!$BQ$305), Deflactor!$BP$304, IF(AND(AU113&gt;=Deflactor!$BQ$305,AU113&lt;Deflactor!$BQ$306), Deflactor!$BP$305, IF(AND(AU113&gt;=Deflactor!$BQ$306,AU113&lt;Deflactor!$BQ$307), Deflactor!$BP$306, Deflactor!$BP$307) ) ) ) ) ) ) ) ) )</f>
        <v>9</v>
      </c>
      <c r="AW113" s="57" t="str">
        <f>+IFERROR(VLOOKUP(AV113,Deflactor!$BP$298:$BU$307,6,0),"")</f>
        <v>50 a 100 millones USD</v>
      </c>
    </row>
    <row r="114" spans="1:49" x14ac:dyDescent="0.3">
      <c r="A114" s="3">
        <v>2015</v>
      </c>
      <c r="B114" s="3" t="s">
        <v>170</v>
      </c>
      <c r="C114" s="3" t="s">
        <v>7</v>
      </c>
      <c r="D114" s="3" t="s">
        <v>36</v>
      </c>
      <c r="E114" s="3" t="s">
        <v>37</v>
      </c>
      <c r="F114" s="3" t="s">
        <v>89</v>
      </c>
      <c r="G114" s="3" t="s">
        <v>723</v>
      </c>
      <c r="H114" s="13">
        <v>2009</v>
      </c>
      <c r="I114" s="13"/>
      <c r="J114" s="10">
        <f xml:space="preserve"> (13851853 ) * 1000</f>
        <v>13851853000</v>
      </c>
      <c r="K114" s="3" t="s">
        <v>763</v>
      </c>
      <c r="L114" s="3" t="s">
        <v>2101</v>
      </c>
      <c r="M114" s="3" t="s">
        <v>2102</v>
      </c>
      <c r="N114" s="3" t="s">
        <v>2095</v>
      </c>
      <c r="O114" s="3" t="s">
        <v>2103</v>
      </c>
      <c r="P114" s="3" t="s">
        <v>2104</v>
      </c>
      <c r="Q114" s="3" t="s">
        <v>2092</v>
      </c>
      <c r="R114" s="11" t="s">
        <v>2098</v>
      </c>
      <c r="S114" s="11" t="s">
        <v>2099</v>
      </c>
      <c r="T114" s="11" t="s">
        <v>2100</v>
      </c>
      <c r="U114" s="3" t="s">
        <v>2108</v>
      </c>
      <c r="V114" s="3"/>
      <c r="W114" s="10">
        <f>IF( J114="s.i", "s.i", IF(ISBLANK(J114),"Actualizando información",IFERROR(J114 / VLOOKUP(A114,Deflactor!$G$3:$H$64,2,0),"Revisar error" )))</f>
        <v>12462030038.72751</v>
      </c>
      <c r="AR114" s="10">
        <f xml:space="preserve"> 13851853 * 1000</f>
        <v>13851853000</v>
      </c>
      <c r="AT114" s="46">
        <f t="shared" si="2"/>
        <v>13851853000</v>
      </c>
      <c r="AU114" s="54">
        <f xml:space="preserve"> IFERROR(ROUND(AT114 / VLOOKUP(A114,Tabla1[#All],2,0),0),"s.i")</f>
        <v>21172142</v>
      </c>
      <c r="AV114" s="33">
        <f xml:space="preserve"> IF(AU114="s.i", "s.i", IF(AND(AU114&gt;=Deflactor!$BQ$298,AU114&lt;Deflactor!$BQ$299), Deflactor!$BP$298, IF(AND(AU114&gt;=Deflactor!$BQ$299,AU114&lt;Deflactor!$BQ$300), Deflactor!$BP$299, IF(AND(AU114&gt;=Deflactor!$BQ$300,AU114&lt;Deflactor!$BQ$301), Deflactor!$BP$300, IF(AND(AU114&gt;=Deflactor!$BQ$301,AU114&lt;Deflactor!$BQ$302), Deflactor!$BP$301, IF(AND(AU114&gt;=Deflactor!$BQ$302,AU114&lt;Deflactor!$BQ$303), Deflactor!$BP$302, IF(AND(AU114&gt;=Deflactor!$BQ$303,AU114&lt;Deflactor!$BQ$304), Deflactor!$BP$303, IF(AND(AU114&gt;=Deflactor!$BQ$304,AU114&lt;Deflactor!$BQ$305), Deflactor!$BP$304, IF(AND(AU114&gt;=Deflactor!$BQ$305,AU114&lt;Deflactor!$BQ$306), Deflactor!$BP$305, IF(AND(AU114&gt;=Deflactor!$BQ$306,AU114&lt;Deflactor!$BQ$307), Deflactor!$BP$306, Deflactor!$BP$307) ) ) ) ) ) ) ) ) )</f>
        <v>7</v>
      </c>
      <c r="AW114" s="57" t="str">
        <f>+IFERROR(VLOOKUP(AV114,Deflactor!$BP$298:$BU$307,6,0),"")</f>
        <v>20 a 30 millones USD</v>
      </c>
    </row>
    <row r="115" spans="1:49" x14ac:dyDescent="0.3">
      <c r="A115" s="3">
        <v>2015</v>
      </c>
      <c r="B115" s="3" t="s">
        <v>171</v>
      </c>
      <c r="C115" s="3" t="s">
        <v>7</v>
      </c>
      <c r="D115" s="3" t="s">
        <v>36</v>
      </c>
      <c r="E115" s="3" t="s">
        <v>68</v>
      </c>
      <c r="F115" s="3" t="s">
        <v>89</v>
      </c>
      <c r="G115" s="3" t="s">
        <v>723</v>
      </c>
      <c r="H115" s="13">
        <v>2014</v>
      </c>
      <c r="I115" s="13"/>
      <c r="J115" s="10">
        <f xml:space="preserve"> 4093 * 1000000</f>
        <v>4093000000</v>
      </c>
      <c r="K115" s="3" t="s">
        <v>2279</v>
      </c>
      <c r="L115" s="3" t="s">
        <v>2109</v>
      </c>
      <c r="M115" s="3" t="s">
        <v>2110</v>
      </c>
      <c r="N115" s="3" t="s">
        <v>2111</v>
      </c>
      <c r="O115" s="3" t="s">
        <v>2112</v>
      </c>
      <c r="P115" s="3" t="s">
        <v>2113</v>
      </c>
      <c r="Q115" s="3"/>
      <c r="R115" s="11" t="s">
        <v>2105</v>
      </c>
      <c r="S115" s="11" t="s">
        <v>2106</v>
      </c>
      <c r="T115" s="11" t="s">
        <v>2107</v>
      </c>
      <c r="U115" s="3"/>
      <c r="V115" s="3"/>
      <c r="W115" s="10">
        <f>IF( J115="s.i", "s.i", IF(ISBLANK(J115),"Actualizando información",IFERROR(J115 / VLOOKUP(A115,Deflactor!$G$3:$H$64,2,0),"Revisar error" )))</f>
        <v>3682329645.6085477</v>
      </c>
      <c r="AR115" s="10">
        <f xml:space="preserve"> 3553501 * 1000</f>
        <v>3553501000</v>
      </c>
      <c r="AT115" s="46">
        <f t="shared" si="2"/>
        <v>3553501000</v>
      </c>
      <c r="AU115" s="54">
        <f xml:space="preserve"> IFERROR(ROUND(AT115 / VLOOKUP(A115,Tabla1[#All],2,0),0),"s.i")</f>
        <v>5431420</v>
      </c>
      <c r="AV115" s="33">
        <f xml:space="preserve"> IF(AU115="s.i", "s.i", IF(AND(AU115&gt;=Deflactor!$BQ$298,AU115&lt;Deflactor!$BQ$299), Deflactor!$BP$298, IF(AND(AU115&gt;=Deflactor!$BQ$299,AU115&lt;Deflactor!$BQ$300), Deflactor!$BP$299, IF(AND(AU115&gt;=Deflactor!$BQ$300,AU115&lt;Deflactor!$BQ$301), Deflactor!$BP$300, IF(AND(AU115&gt;=Deflactor!$BQ$301,AU115&lt;Deflactor!$BQ$302), Deflactor!$BP$301, IF(AND(AU115&gt;=Deflactor!$BQ$302,AU115&lt;Deflactor!$BQ$303), Deflactor!$BP$302, IF(AND(AU115&gt;=Deflactor!$BQ$303,AU115&lt;Deflactor!$BQ$304), Deflactor!$BP$303, IF(AND(AU115&gt;=Deflactor!$BQ$304,AU115&lt;Deflactor!$BQ$305), Deflactor!$BP$304, IF(AND(AU115&gt;=Deflactor!$BQ$305,AU115&lt;Deflactor!$BQ$306), Deflactor!$BP$305, IF(AND(AU115&gt;=Deflactor!$BQ$306,AU115&lt;Deflactor!$BQ$307), Deflactor!$BP$306, Deflactor!$BP$307) ) ) ) ) ) ) ) ) )</f>
        <v>3</v>
      </c>
      <c r="AW115" s="57" t="str">
        <f>+IFERROR(VLOOKUP(AV115,Deflactor!$BP$298:$BU$307,6,0),"")</f>
        <v>5 a 7,5 millones USD</v>
      </c>
    </row>
    <row r="116" spans="1:49" x14ac:dyDescent="0.3">
      <c r="A116" s="3">
        <v>2015</v>
      </c>
      <c r="B116" s="3" t="s">
        <v>172</v>
      </c>
      <c r="C116" s="3" t="s">
        <v>7</v>
      </c>
      <c r="D116" s="3" t="s">
        <v>64</v>
      </c>
      <c r="E116" s="3" t="s">
        <v>65</v>
      </c>
      <c r="F116" s="3" t="s">
        <v>89</v>
      </c>
      <c r="G116" s="3" t="s">
        <v>723</v>
      </c>
      <c r="H116" s="13">
        <v>2014</v>
      </c>
      <c r="I116" s="13"/>
      <c r="J116" s="10">
        <f xml:space="preserve"> 99252 * 1000000</f>
        <v>99252000000</v>
      </c>
      <c r="K116" s="3" t="s">
        <v>2291</v>
      </c>
      <c r="L116" s="3" t="s">
        <v>2117</v>
      </c>
      <c r="M116" s="3" t="s">
        <v>2118</v>
      </c>
      <c r="N116" s="3" t="s">
        <v>2119</v>
      </c>
      <c r="O116" s="3" t="s">
        <v>2120</v>
      </c>
      <c r="P116" s="3" t="s">
        <v>2121</v>
      </c>
      <c r="Q116" s="3"/>
      <c r="R116" s="11" t="s">
        <v>2114</v>
      </c>
      <c r="S116" s="11" t="s">
        <v>2115</v>
      </c>
      <c r="T116" s="11" t="s">
        <v>2116</v>
      </c>
      <c r="U116" s="3"/>
      <c r="V116" s="3"/>
      <c r="W116" s="10">
        <f>IF( J116="s.i", "s.i", IF(ISBLANK(J116),"Actualizando información",IFERROR(J116 / VLOOKUP(A116,Deflactor!$G$3:$H$64,2,0),"Revisar error" )))</f>
        <v>89293569994.121567</v>
      </c>
      <c r="AR116" s="10">
        <f xml:space="preserve"> 98194534 * 1000</f>
        <v>98194534000</v>
      </c>
      <c r="AT116" s="46">
        <f t="shared" si="2"/>
        <v>98194534000</v>
      </c>
      <c r="AU116" s="54">
        <f xml:space="preserve"> IFERROR(ROUND(AT116 / VLOOKUP(A116,Tabla1[#All],2,0),0),"s.i")</f>
        <v>150087404</v>
      </c>
      <c r="AV116" s="33">
        <f xml:space="preserve"> IF(AU116="s.i", "s.i", IF(AND(AU116&gt;=Deflactor!$BQ$298,AU116&lt;Deflactor!$BQ$299), Deflactor!$BP$298, IF(AND(AU116&gt;=Deflactor!$BQ$299,AU116&lt;Deflactor!$BQ$300), Deflactor!$BP$299, IF(AND(AU116&gt;=Deflactor!$BQ$300,AU116&lt;Deflactor!$BQ$301), Deflactor!$BP$300, IF(AND(AU116&gt;=Deflactor!$BQ$301,AU116&lt;Deflactor!$BQ$302), Deflactor!$BP$301, IF(AND(AU116&gt;=Deflactor!$BQ$302,AU116&lt;Deflactor!$BQ$303), Deflactor!$BP$302, IF(AND(AU116&gt;=Deflactor!$BQ$303,AU116&lt;Deflactor!$BQ$304), Deflactor!$BP$303, IF(AND(AU116&gt;=Deflactor!$BQ$304,AU116&lt;Deflactor!$BQ$305), Deflactor!$BP$304, IF(AND(AU116&gt;=Deflactor!$BQ$305,AU116&lt;Deflactor!$BQ$306), Deflactor!$BP$305, IF(AND(AU116&gt;=Deflactor!$BQ$306,AU116&lt;Deflactor!$BQ$307), Deflactor!$BP$306, Deflactor!$BP$307) ) ) ) ) ) ) ) ) )</f>
        <v>10</v>
      </c>
      <c r="AW116" s="57" t="str">
        <f>+IFERROR(VLOOKUP(AV116,Deflactor!$BP$298:$BU$307,6,0),"")</f>
        <v>100 millones USD y mas</v>
      </c>
    </row>
    <row r="117" spans="1:49" x14ac:dyDescent="0.3">
      <c r="A117" s="3">
        <v>2015</v>
      </c>
      <c r="B117" s="3" t="s">
        <v>173</v>
      </c>
      <c r="C117" s="3" t="s">
        <v>7</v>
      </c>
      <c r="D117" s="3" t="s">
        <v>36</v>
      </c>
      <c r="E117" s="3" t="s">
        <v>37</v>
      </c>
      <c r="F117" s="3" t="s">
        <v>89</v>
      </c>
      <c r="G117" s="3" t="s">
        <v>723</v>
      </c>
      <c r="H117" s="13">
        <v>2010</v>
      </c>
      <c r="I117" s="13"/>
      <c r="J117" s="10">
        <f xml:space="preserve"> ( 17879975) * 1000</f>
        <v>17879975000</v>
      </c>
      <c r="K117" s="3" t="s">
        <v>763</v>
      </c>
      <c r="L117" s="3" t="s">
        <v>2101</v>
      </c>
      <c r="M117" s="3" t="s">
        <v>2125</v>
      </c>
      <c r="N117" s="3" t="s">
        <v>2097</v>
      </c>
      <c r="O117" s="3" t="s">
        <v>2126</v>
      </c>
      <c r="P117" s="3" t="s">
        <v>2127</v>
      </c>
      <c r="Q117" s="3"/>
      <c r="R117" s="11" t="s">
        <v>2122</v>
      </c>
      <c r="S117" s="11" t="s">
        <v>2123</v>
      </c>
      <c r="T117" s="11" t="s">
        <v>2124</v>
      </c>
      <c r="U117" s="3" t="s">
        <v>2108</v>
      </c>
      <c r="V117" s="3"/>
      <c r="W117" s="10">
        <f>IF( J117="s.i", "s.i", IF(ISBLANK(J117),"Actualizando información",IFERROR(J117 / VLOOKUP(A117,Deflactor!$G$3:$H$64,2,0),"Revisar error" )))</f>
        <v>16085991205.77564</v>
      </c>
      <c r="AR117" s="10">
        <f xml:space="preserve"> 17210637 * 1000</f>
        <v>17210637000</v>
      </c>
      <c r="AT117" s="46">
        <f t="shared" si="2"/>
        <v>17210637000</v>
      </c>
      <c r="AU117" s="54">
        <f xml:space="preserve"> IFERROR(ROUND(AT117 / VLOOKUP(A117,Tabla1[#All],2,0),0),"s.i")</f>
        <v>26305943</v>
      </c>
      <c r="AV117" s="33">
        <f xml:space="preserve"> IF(AU117="s.i", "s.i", IF(AND(AU117&gt;=Deflactor!$BQ$298,AU117&lt;Deflactor!$BQ$299), Deflactor!$BP$298, IF(AND(AU117&gt;=Deflactor!$BQ$299,AU117&lt;Deflactor!$BQ$300), Deflactor!$BP$299, IF(AND(AU117&gt;=Deflactor!$BQ$300,AU117&lt;Deflactor!$BQ$301), Deflactor!$BP$300, IF(AND(AU117&gt;=Deflactor!$BQ$301,AU117&lt;Deflactor!$BQ$302), Deflactor!$BP$301, IF(AND(AU117&gt;=Deflactor!$BQ$302,AU117&lt;Deflactor!$BQ$303), Deflactor!$BP$302, IF(AND(AU117&gt;=Deflactor!$BQ$303,AU117&lt;Deflactor!$BQ$304), Deflactor!$BP$303, IF(AND(AU117&gt;=Deflactor!$BQ$304,AU117&lt;Deflactor!$BQ$305), Deflactor!$BP$304, IF(AND(AU117&gt;=Deflactor!$BQ$305,AU117&lt;Deflactor!$BQ$306), Deflactor!$BP$305, IF(AND(AU117&gt;=Deflactor!$BQ$306,AU117&lt;Deflactor!$BQ$307), Deflactor!$BP$306, Deflactor!$BP$307) ) ) ) ) ) ) ) ) )</f>
        <v>7</v>
      </c>
      <c r="AW117" s="57" t="str">
        <f>+IFERROR(VLOOKUP(AV117,Deflactor!$BP$298:$BU$307,6,0),"")</f>
        <v>20 a 30 millones USD</v>
      </c>
    </row>
    <row r="118" spans="1:49" x14ac:dyDescent="0.3">
      <c r="A118" s="3">
        <v>2015</v>
      </c>
      <c r="B118" s="3" t="s">
        <v>174</v>
      </c>
      <c r="C118" s="3" t="s">
        <v>7</v>
      </c>
      <c r="D118" s="3" t="s">
        <v>20</v>
      </c>
      <c r="E118" s="3" t="s">
        <v>23</v>
      </c>
      <c r="F118" s="3" t="s">
        <v>89</v>
      </c>
      <c r="G118" s="3" t="s">
        <v>723</v>
      </c>
      <c r="H118" s="13">
        <v>2012</v>
      </c>
      <c r="I118" s="13"/>
      <c r="J118" s="10">
        <f xml:space="preserve"> 6208 * 1000000</f>
        <v>6208000000</v>
      </c>
      <c r="K118" s="3"/>
      <c r="L118" s="3" t="s">
        <v>2131</v>
      </c>
      <c r="M118" s="3" t="s">
        <v>2132</v>
      </c>
      <c r="N118" s="3" t="s">
        <v>2133</v>
      </c>
      <c r="O118" s="3" t="s">
        <v>2134</v>
      </c>
      <c r="P118" s="3" t="s">
        <v>2135</v>
      </c>
      <c r="Q118" s="3"/>
      <c r="R118" s="11" t="s">
        <v>2128</v>
      </c>
      <c r="S118" s="11" t="s">
        <v>2129</v>
      </c>
      <c r="T118" s="11" t="s">
        <v>2130</v>
      </c>
      <c r="U118" s="3"/>
      <c r="V118" s="3"/>
      <c r="W118" s="10">
        <f>IF( J118="s.i", "s.i", IF(ISBLANK(J118),"Actualizando información",IFERROR(J118 / VLOOKUP(A118,Deflactor!$G$3:$H$64,2,0),"Revisar error" )))</f>
        <v>5585121534.3117189</v>
      </c>
      <c r="AR118" s="10">
        <f xml:space="preserve"> 6151072 * 1000</f>
        <v>6151072000</v>
      </c>
      <c r="AT118" s="46">
        <f t="shared" si="2"/>
        <v>6151072000</v>
      </c>
      <c r="AU118" s="54">
        <f xml:space="preserve"> IFERROR(ROUND(AT118 / VLOOKUP(A118,Tabla1[#All],2,0),0),"s.i")</f>
        <v>9401729</v>
      </c>
      <c r="AV118" s="33">
        <f xml:space="preserve"> IF(AU118="s.i", "s.i", IF(AND(AU118&gt;=Deflactor!$BQ$298,AU118&lt;Deflactor!$BQ$299), Deflactor!$BP$298, IF(AND(AU118&gt;=Deflactor!$BQ$299,AU118&lt;Deflactor!$BQ$300), Deflactor!$BP$299, IF(AND(AU118&gt;=Deflactor!$BQ$300,AU118&lt;Deflactor!$BQ$301), Deflactor!$BP$300, IF(AND(AU118&gt;=Deflactor!$BQ$301,AU118&lt;Deflactor!$BQ$302), Deflactor!$BP$301, IF(AND(AU118&gt;=Deflactor!$BQ$302,AU118&lt;Deflactor!$BQ$303), Deflactor!$BP$302, IF(AND(AU118&gt;=Deflactor!$BQ$303,AU118&lt;Deflactor!$BQ$304), Deflactor!$BP$303, IF(AND(AU118&gt;=Deflactor!$BQ$304,AU118&lt;Deflactor!$BQ$305), Deflactor!$BP$304, IF(AND(AU118&gt;=Deflactor!$BQ$305,AU118&lt;Deflactor!$BQ$306), Deflactor!$BP$305, IF(AND(AU118&gt;=Deflactor!$BQ$306,AU118&lt;Deflactor!$BQ$307), Deflactor!$BP$306, Deflactor!$BP$307) ) ) ) ) ) ) ) ) )</f>
        <v>4</v>
      </c>
      <c r="AW118" s="57" t="str">
        <f>+IFERROR(VLOOKUP(AV118,Deflactor!$BP$298:$BU$307,6,0),"")</f>
        <v>7,5 a 10 millones USD</v>
      </c>
    </row>
    <row r="119" spans="1:49" x14ac:dyDescent="0.3">
      <c r="A119" s="3">
        <v>2015</v>
      </c>
      <c r="B119" s="3" t="s">
        <v>175</v>
      </c>
      <c r="C119" s="3" t="s">
        <v>7</v>
      </c>
      <c r="D119" s="3" t="s">
        <v>20</v>
      </c>
      <c r="E119" s="3" t="s">
        <v>176</v>
      </c>
      <c r="F119" s="3" t="s">
        <v>89</v>
      </c>
      <c r="G119" s="3" t="s">
        <v>723</v>
      </c>
      <c r="H119" s="13">
        <v>2011</v>
      </c>
      <c r="I119" s="13"/>
      <c r="J119" s="10">
        <f xml:space="preserve"> 3793702 * 1000</f>
        <v>3793702000</v>
      </c>
      <c r="K119" s="3" t="s">
        <v>1787</v>
      </c>
      <c r="L119" s="3" t="s">
        <v>2139</v>
      </c>
      <c r="M119" s="3" t="s">
        <v>2140</v>
      </c>
      <c r="N119" s="3" t="s">
        <v>2141</v>
      </c>
      <c r="O119" s="3" t="s">
        <v>2142</v>
      </c>
      <c r="P119" s="3" t="s">
        <v>2143</v>
      </c>
      <c r="Q119" s="3"/>
      <c r="R119" s="11" t="s">
        <v>2136</v>
      </c>
      <c r="S119" s="11" t="s">
        <v>2137</v>
      </c>
      <c r="T119" s="11" t="s">
        <v>2138</v>
      </c>
      <c r="U119" s="3"/>
      <c r="V119" s="3"/>
      <c r="W119" s="10">
        <f>IF( J119="s.i", "s.i", IF(ISBLANK(J119),"Actualizando información",IFERROR(J119 / VLOOKUP(A119,Deflactor!$G$3:$H$64,2,0),"Revisar error" )))</f>
        <v>3413061651.8945613</v>
      </c>
      <c r="AR119" s="10">
        <f xml:space="preserve"> 2747591 * 1000</f>
        <v>2747591000</v>
      </c>
      <c r="AT119" s="46">
        <f t="shared" si="2"/>
        <v>2747591000</v>
      </c>
      <c r="AU119" s="54">
        <f xml:space="preserve"> IFERROR(ROUND(AT119 / VLOOKUP(A119,Tabla1[#All],2,0),0),"s.i")</f>
        <v>4199611</v>
      </c>
      <c r="AV119" s="33">
        <f xml:space="preserve"> IF(AU119="s.i", "s.i", IF(AND(AU119&gt;=Deflactor!$BQ$298,AU119&lt;Deflactor!$BQ$299), Deflactor!$BP$298, IF(AND(AU119&gt;=Deflactor!$BQ$299,AU119&lt;Deflactor!$BQ$300), Deflactor!$BP$299, IF(AND(AU119&gt;=Deflactor!$BQ$300,AU119&lt;Deflactor!$BQ$301), Deflactor!$BP$300, IF(AND(AU119&gt;=Deflactor!$BQ$301,AU119&lt;Deflactor!$BQ$302), Deflactor!$BP$301, IF(AND(AU119&gt;=Deflactor!$BQ$302,AU119&lt;Deflactor!$BQ$303), Deflactor!$BP$302, IF(AND(AU119&gt;=Deflactor!$BQ$303,AU119&lt;Deflactor!$BQ$304), Deflactor!$BP$303, IF(AND(AU119&gt;=Deflactor!$BQ$304,AU119&lt;Deflactor!$BQ$305), Deflactor!$BP$304, IF(AND(AU119&gt;=Deflactor!$BQ$305,AU119&lt;Deflactor!$BQ$306), Deflactor!$BP$305, IF(AND(AU119&gt;=Deflactor!$BQ$306,AU119&lt;Deflactor!$BQ$307), Deflactor!$BP$306, Deflactor!$BP$307) ) ) ) ) ) ) ) ) )</f>
        <v>2</v>
      </c>
      <c r="AW119" s="57" t="str">
        <f>+IFERROR(VLOOKUP(AV119,Deflactor!$BP$298:$BU$307,6,0),"")</f>
        <v>2 a 5 millones USD</v>
      </c>
    </row>
    <row r="120" spans="1:49" x14ac:dyDescent="0.3">
      <c r="A120" s="3">
        <v>2015</v>
      </c>
      <c r="B120" s="3" t="s">
        <v>177</v>
      </c>
      <c r="C120" s="3" t="s">
        <v>7</v>
      </c>
      <c r="D120" s="3" t="s">
        <v>20</v>
      </c>
      <c r="E120" s="3" t="s">
        <v>178</v>
      </c>
      <c r="F120" s="3" t="s">
        <v>89</v>
      </c>
      <c r="G120" s="3" t="s">
        <v>723</v>
      </c>
      <c r="H120" s="13">
        <v>2007</v>
      </c>
      <c r="I120" s="13"/>
      <c r="J120" s="10">
        <f xml:space="preserve"> 4936 * 1000000</f>
        <v>4936000000</v>
      </c>
      <c r="K120" s="3" t="s">
        <v>2148</v>
      </c>
      <c r="L120" s="3" t="s">
        <v>2149</v>
      </c>
      <c r="M120" s="3" t="s">
        <v>2147</v>
      </c>
      <c r="N120" s="3" t="s">
        <v>2150</v>
      </c>
      <c r="O120" s="3" t="s">
        <v>2152</v>
      </c>
      <c r="P120" s="3" t="s">
        <v>2153</v>
      </c>
      <c r="Q120" s="3" t="s">
        <v>2151</v>
      </c>
      <c r="R120" s="11" t="s">
        <v>2144</v>
      </c>
      <c r="S120" s="11" t="s">
        <v>2145</v>
      </c>
      <c r="T120" s="11" t="s">
        <v>2146</v>
      </c>
      <c r="U120" s="3"/>
      <c r="V120" s="3"/>
      <c r="W120" s="10">
        <f>IF( J120="s.i", "s.i", IF(ISBLANK(J120),"Actualizando información",IFERROR(J120 / VLOOKUP(A120,Deflactor!$G$3:$H$64,2,0),"Revisar error" )))</f>
        <v>4440747405.5030031</v>
      </c>
      <c r="AR120" s="10">
        <f xml:space="preserve"> 4795504 * 1000</f>
        <v>4795504000</v>
      </c>
      <c r="AT120" s="46">
        <f t="shared" si="2"/>
        <v>4795504000</v>
      </c>
      <c r="AU120" s="54">
        <f xml:space="preserve"> IFERROR(ROUND(AT120 / VLOOKUP(A120,Tabla1[#All],2,0),0),"s.i")</f>
        <v>7329784</v>
      </c>
      <c r="AV120" s="33">
        <f xml:space="preserve"> IF(AU120="s.i", "s.i", IF(AND(AU120&gt;=Deflactor!$BQ$298,AU120&lt;Deflactor!$BQ$299), Deflactor!$BP$298, IF(AND(AU120&gt;=Deflactor!$BQ$299,AU120&lt;Deflactor!$BQ$300), Deflactor!$BP$299, IF(AND(AU120&gt;=Deflactor!$BQ$300,AU120&lt;Deflactor!$BQ$301), Deflactor!$BP$300, IF(AND(AU120&gt;=Deflactor!$BQ$301,AU120&lt;Deflactor!$BQ$302), Deflactor!$BP$301, IF(AND(AU120&gt;=Deflactor!$BQ$302,AU120&lt;Deflactor!$BQ$303), Deflactor!$BP$302, IF(AND(AU120&gt;=Deflactor!$BQ$303,AU120&lt;Deflactor!$BQ$304), Deflactor!$BP$303, IF(AND(AU120&gt;=Deflactor!$BQ$304,AU120&lt;Deflactor!$BQ$305), Deflactor!$BP$304, IF(AND(AU120&gt;=Deflactor!$BQ$305,AU120&lt;Deflactor!$BQ$306), Deflactor!$BP$305, IF(AND(AU120&gt;=Deflactor!$BQ$306,AU120&lt;Deflactor!$BQ$307), Deflactor!$BP$306, Deflactor!$BP$307) ) ) ) ) ) ) ) ) )</f>
        <v>3</v>
      </c>
      <c r="AW120" s="57" t="str">
        <f>+IFERROR(VLOOKUP(AV120,Deflactor!$BP$298:$BU$307,6,0),"")</f>
        <v>5 a 7,5 millones USD</v>
      </c>
    </row>
    <row r="121" spans="1:49" x14ac:dyDescent="0.3">
      <c r="A121" s="3">
        <v>2015</v>
      </c>
      <c r="B121" s="3" t="s">
        <v>179</v>
      </c>
      <c r="C121" s="3" t="s">
        <v>7</v>
      </c>
      <c r="D121" s="3" t="s">
        <v>36</v>
      </c>
      <c r="E121" s="3" t="s">
        <v>37</v>
      </c>
      <c r="F121" s="3" t="s">
        <v>89</v>
      </c>
      <c r="G121" s="3" t="s">
        <v>723</v>
      </c>
      <c r="H121" s="13">
        <v>2009</v>
      </c>
      <c r="I121" s="13"/>
      <c r="J121" s="10">
        <f xml:space="preserve"> 4120000 * 1000</f>
        <v>4120000000</v>
      </c>
      <c r="K121" s="3" t="s">
        <v>2162</v>
      </c>
      <c r="L121" s="3" t="s">
        <v>2157</v>
      </c>
      <c r="M121" s="3" t="s">
        <v>2158</v>
      </c>
      <c r="N121" s="3" t="s">
        <v>2159</v>
      </c>
      <c r="O121" s="3" t="s">
        <v>2160</v>
      </c>
      <c r="P121" s="3" t="s">
        <v>2161</v>
      </c>
      <c r="Q121" s="3"/>
      <c r="R121" s="11" t="s">
        <v>2154</v>
      </c>
      <c r="S121" s="11" t="s">
        <v>2155</v>
      </c>
      <c r="T121" s="11" t="s">
        <v>2156</v>
      </c>
      <c r="U121" s="3"/>
      <c r="V121" s="3"/>
      <c r="W121" s="10">
        <f>IF( J121="s.i", "s.i", IF(ISBLANK(J121),"Actualizando información",IFERROR(J121 / VLOOKUP(A121,Deflactor!$G$3:$H$64,2,0),"Revisar error" )))</f>
        <v>3706620605.8898649</v>
      </c>
      <c r="AR121" s="10">
        <f xml:space="preserve"> 4120000 * 1000</f>
        <v>4120000000</v>
      </c>
      <c r="AT121" s="46">
        <f t="shared" si="2"/>
        <v>4120000000</v>
      </c>
      <c r="AU121" s="54">
        <f xml:space="preserve"> IFERROR(ROUND(AT121 / VLOOKUP(A121,Tabla1[#All],2,0),0),"s.i")</f>
        <v>6297297</v>
      </c>
      <c r="AV121" s="33">
        <f xml:space="preserve"> IF(AU121="s.i", "s.i", IF(AND(AU121&gt;=Deflactor!$BQ$298,AU121&lt;Deflactor!$BQ$299), Deflactor!$BP$298, IF(AND(AU121&gt;=Deflactor!$BQ$299,AU121&lt;Deflactor!$BQ$300), Deflactor!$BP$299, IF(AND(AU121&gt;=Deflactor!$BQ$300,AU121&lt;Deflactor!$BQ$301), Deflactor!$BP$300, IF(AND(AU121&gt;=Deflactor!$BQ$301,AU121&lt;Deflactor!$BQ$302), Deflactor!$BP$301, IF(AND(AU121&gt;=Deflactor!$BQ$302,AU121&lt;Deflactor!$BQ$303), Deflactor!$BP$302, IF(AND(AU121&gt;=Deflactor!$BQ$303,AU121&lt;Deflactor!$BQ$304), Deflactor!$BP$303, IF(AND(AU121&gt;=Deflactor!$BQ$304,AU121&lt;Deflactor!$BQ$305), Deflactor!$BP$304, IF(AND(AU121&gt;=Deflactor!$BQ$305,AU121&lt;Deflactor!$BQ$306), Deflactor!$BP$305, IF(AND(AU121&gt;=Deflactor!$BQ$306,AU121&lt;Deflactor!$BQ$307), Deflactor!$BP$306, Deflactor!$BP$307) ) ) ) ) ) ) ) ) )</f>
        <v>3</v>
      </c>
      <c r="AW121" s="57" t="str">
        <f>+IFERROR(VLOOKUP(AV121,Deflactor!$BP$298:$BU$307,6,0),"")</f>
        <v>5 a 7,5 millones USD</v>
      </c>
    </row>
    <row r="122" spans="1:49" x14ac:dyDescent="0.3">
      <c r="A122" s="3">
        <v>2015</v>
      </c>
      <c r="B122" s="3" t="s">
        <v>180</v>
      </c>
      <c r="C122" s="3" t="s">
        <v>7</v>
      </c>
      <c r="D122" s="3" t="s">
        <v>25</v>
      </c>
      <c r="E122" s="3" t="s">
        <v>181</v>
      </c>
      <c r="F122" s="3" t="s">
        <v>95</v>
      </c>
      <c r="G122" s="3" t="s">
        <v>723</v>
      </c>
      <c r="H122" s="13">
        <v>1964</v>
      </c>
      <c r="I122" s="13"/>
      <c r="J122" s="10">
        <f xml:space="preserve"> 17169605 * 1000000</f>
        <v>17169605000000</v>
      </c>
      <c r="K122" s="3" t="s">
        <v>2167</v>
      </c>
      <c r="L122" s="3" t="s">
        <v>2168</v>
      </c>
      <c r="M122" s="3" t="s">
        <v>2169</v>
      </c>
      <c r="N122" s="3" t="s">
        <v>2170</v>
      </c>
      <c r="O122" s="3" t="s">
        <v>2171</v>
      </c>
      <c r="P122" s="3" t="s">
        <v>2172</v>
      </c>
      <c r="Q122" s="3"/>
      <c r="R122" s="11" t="s">
        <v>2164</v>
      </c>
      <c r="S122" s="11" t="s">
        <v>2165</v>
      </c>
      <c r="T122" s="11" t="s">
        <v>2166</v>
      </c>
      <c r="U122" s="3"/>
      <c r="V122" s="3"/>
      <c r="W122" s="10">
        <f>IF( J122="s.i", "s.i", IF(ISBLANK(J122),"Actualizando información",IFERROR(J122 / VLOOKUP(A122,Deflactor!$G$3:$H$64,2,0),"Revisar error" )))</f>
        <v>15446896040774.188</v>
      </c>
      <c r="AR122" s="34">
        <f xml:space="preserve"> 15439654 * 1000</f>
        <v>15439654000</v>
      </c>
      <c r="AT122" s="46">
        <f t="shared" si="2"/>
        <v>15439654000</v>
      </c>
      <c r="AU122" s="54">
        <f xml:space="preserve"> IFERROR(ROUND(AT122 / VLOOKUP(A122,Tabla1[#All],2,0),0),"s.i")</f>
        <v>23599049</v>
      </c>
      <c r="AV122" s="33">
        <f xml:space="preserve"> IF(AU122="s.i", "s.i", IF(AND(AU122&gt;=Deflactor!$BQ$298,AU122&lt;Deflactor!$BQ$299), Deflactor!$BP$298, IF(AND(AU122&gt;=Deflactor!$BQ$299,AU122&lt;Deflactor!$BQ$300), Deflactor!$BP$299, IF(AND(AU122&gt;=Deflactor!$BQ$300,AU122&lt;Deflactor!$BQ$301), Deflactor!$BP$300, IF(AND(AU122&gt;=Deflactor!$BQ$301,AU122&lt;Deflactor!$BQ$302), Deflactor!$BP$301, IF(AND(AU122&gt;=Deflactor!$BQ$302,AU122&lt;Deflactor!$BQ$303), Deflactor!$BP$302, IF(AND(AU122&gt;=Deflactor!$BQ$303,AU122&lt;Deflactor!$BQ$304), Deflactor!$BP$303, IF(AND(AU122&gt;=Deflactor!$BQ$304,AU122&lt;Deflactor!$BQ$305), Deflactor!$BP$304, IF(AND(AU122&gt;=Deflactor!$BQ$305,AU122&lt;Deflactor!$BQ$306), Deflactor!$BP$305, IF(AND(AU122&gt;=Deflactor!$BQ$306,AU122&lt;Deflactor!$BQ$307), Deflactor!$BP$306, Deflactor!$BP$307) ) ) ) ) ) ) ) ) )</f>
        <v>7</v>
      </c>
      <c r="AW122" s="57" t="str">
        <f>+IFERROR(VLOOKUP(AV122,Deflactor!$BP$298:$BU$307,6,0),"")</f>
        <v>20 a 30 millones USD</v>
      </c>
    </row>
    <row r="123" spans="1:49" x14ac:dyDescent="0.3">
      <c r="A123" s="3">
        <v>2015</v>
      </c>
      <c r="B123" s="3" t="s">
        <v>182</v>
      </c>
      <c r="C123" s="3" t="s">
        <v>7</v>
      </c>
      <c r="D123" s="3" t="s">
        <v>12</v>
      </c>
      <c r="E123" s="3" t="s">
        <v>105</v>
      </c>
      <c r="F123" s="3" t="s">
        <v>95</v>
      </c>
      <c r="G123" s="3" t="s">
        <v>723</v>
      </c>
      <c r="H123" s="13">
        <v>2007</v>
      </c>
      <c r="I123" s="13"/>
      <c r="J123" s="10">
        <f xml:space="preserve"> 5861 * 1000000</f>
        <v>5861000000</v>
      </c>
      <c r="K123" s="3" t="s">
        <v>2181</v>
      </c>
      <c r="L123" s="3" t="s">
        <v>2176</v>
      </c>
      <c r="M123" s="3" t="s">
        <v>2177</v>
      </c>
      <c r="N123" s="3" t="s">
        <v>2180</v>
      </c>
      <c r="O123" s="3" t="s">
        <v>2179</v>
      </c>
      <c r="P123" s="3" t="s">
        <v>2178</v>
      </c>
      <c r="Q123" s="3"/>
      <c r="R123" s="11" t="s">
        <v>2173</v>
      </c>
      <c r="S123" s="11" t="s">
        <v>2174</v>
      </c>
      <c r="T123" s="11" t="s">
        <v>2175</v>
      </c>
      <c r="U123" s="3"/>
      <c r="V123" s="3"/>
      <c r="W123" s="10">
        <f>IF( J123="s.i", "s.i", IF(ISBLANK(J123),"Actualizando información",IFERROR(J123 / VLOOKUP(A123,Deflactor!$G$3:$H$64,2,0),"Revisar error" )))</f>
        <v>5272937711.4370136</v>
      </c>
      <c r="AR123" s="34">
        <f xml:space="preserve"> 5861743 * 1000</f>
        <v>5861743000</v>
      </c>
      <c r="AT123" s="46">
        <f t="shared" si="2"/>
        <v>5861743000</v>
      </c>
      <c r="AU123" s="54">
        <f xml:space="preserve"> IFERROR(ROUND(AT123 / VLOOKUP(A123,Tabla1[#All],2,0),0),"s.i")</f>
        <v>8959499</v>
      </c>
      <c r="AV123" s="33">
        <f xml:space="preserve"> IF(AU123="s.i", "s.i", IF(AND(AU123&gt;=Deflactor!$BQ$298,AU123&lt;Deflactor!$BQ$299), Deflactor!$BP$298, IF(AND(AU123&gt;=Deflactor!$BQ$299,AU123&lt;Deflactor!$BQ$300), Deflactor!$BP$299, IF(AND(AU123&gt;=Deflactor!$BQ$300,AU123&lt;Deflactor!$BQ$301), Deflactor!$BP$300, IF(AND(AU123&gt;=Deflactor!$BQ$301,AU123&lt;Deflactor!$BQ$302), Deflactor!$BP$301, IF(AND(AU123&gt;=Deflactor!$BQ$302,AU123&lt;Deflactor!$BQ$303), Deflactor!$BP$302, IF(AND(AU123&gt;=Deflactor!$BQ$303,AU123&lt;Deflactor!$BQ$304), Deflactor!$BP$303, IF(AND(AU123&gt;=Deflactor!$BQ$304,AU123&lt;Deflactor!$BQ$305), Deflactor!$BP$304, IF(AND(AU123&gt;=Deflactor!$BQ$305,AU123&lt;Deflactor!$BQ$306), Deflactor!$BP$305, IF(AND(AU123&gt;=Deflactor!$BQ$306,AU123&lt;Deflactor!$BQ$307), Deflactor!$BP$306, Deflactor!$BP$307) ) ) ) ) ) ) ) ) )</f>
        <v>4</v>
      </c>
      <c r="AW123" s="57" t="str">
        <f>+IFERROR(VLOOKUP(AV123,Deflactor!$BP$298:$BU$307,6,0),"")</f>
        <v>7,5 a 10 millones USD</v>
      </c>
    </row>
    <row r="124" spans="1:49" x14ac:dyDescent="0.3">
      <c r="A124" s="3">
        <v>2015</v>
      </c>
      <c r="B124" s="3" t="s">
        <v>183</v>
      </c>
      <c r="C124" s="3" t="s">
        <v>7</v>
      </c>
      <c r="D124" s="3" t="s">
        <v>45</v>
      </c>
      <c r="E124" s="3" t="s">
        <v>184</v>
      </c>
      <c r="F124" s="3" t="s">
        <v>95</v>
      </c>
      <c r="G124" s="3" t="s">
        <v>723</v>
      </c>
      <c r="H124" s="13">
        <v>1987</v>
      </c>
      <c r="I124" s="13"/>
      <c r="J124" s="10">
        <v>34616336</v>
      </c>
      <c r="K124" s="3" t="s">
        <v>2192</v>
      </c>
      <c r="L124" s="3" t="s">
        <v>2185</v>
      </c>
      <c r="M124" s="3" t="s">
        <v>2186</v>
      </c>
      <c r="N124" s="3" t="s">
        <v>2187</v>
      </c>
      <c r="O124" s="3" t="s">
        <v>2188</v>
      </c>
      <c r="P124" s="3" t="s">
        <v>2189</v>
      </c>
      <c r="Q124" s="3"/>
      <c r="R124" s="11" t="s">
        <v>2182</v>
      </c>
      <c r="S124" s="11" t="s">
        <v>2183</v>
      </c>
      <c r="T124" s="11" t="s">
        <v>2184</v>
      </c>
      <c r="U124" s="3" t="s">
        <v>183</v>
      </c>
      <c r="V124" s="3"/>
      <c r="W124" s="10">
        <f>IF( J124="s.i", "s.i", IF(ISBLANK(J124),"Actualizando información",IFERROR(J124 / VLOOKUP(A124,Deflactor!$G$3:$H$64,2,0),"Revisar error" )))</f>
        <v>31143112.698545422</v>
      </c>
      <c r="AR124" s="34">
        <f xml:space="preserve"> 9670356 * 1000</f>
        <v>9670356000</v>
      </c>
      <c r="AS124" s="43">
        <f xml:space="preserve"> 13624 * 1000</f>
        <v>13624000</v>
      </c>
      <c r="AT124" s="56">
        <f>AR124 + ROUND(AS124*Deflactor!BJ20,0)</f>
        <v>18583844376</v>
      </c>
      <c r="AU124" s="54">
        <f xml:space="preserve"> IFERROR(ROUND(AT124 / VLOOKUP(A124,Tabla1[#All],2,0),0),"s.i")</f>
        <v>28404849</v>
      </c>
      <c r="AV124" s="33">
        <f xml:space="preserve"> IF(AU124="s.i", "s.i", IF(AND(AU124&gt;=Deflactor!$BQ$298,AU124&lt;Deflactor!$BQ$299), Deflactor!$BP$298, IF(AND(AU124&gt;=Deflactor!$BQ$299,AU124&lt;Deflactor!$BQ$300), Deflactor!$BP$299, IF(AND(AU124&gt;=Deflactor!$BQ$300,AU124&lt;Deflactor!$BQ$301), Deflactor!$BP$300, IF(AND(AU124&gt;=Deflactor!$BQ$301,AU124&lt;Deflactor!$BQ$302), Deflactor!$BP$301, IF(AND(AU124&gt;=Deflactor!$BQ$302,AU124&lt;Deflactor!$BQ$303), Deflactor!$BP$302, IF(AND(AU124&gt;=Deflactor!$BQ$303,AU124&lt;Deflactor!$BQ$304), Deflactor!$BP$303, IF(AND(AU124&gt;=Deflactor!$BQ$304,AU124&lt;Deflactor!$BQ$305), Deflactor!$BP$304, IF(AND(AU124&gt;=Deflactor!$BQ$305,AU124&lt;Deflactor!$BQ$306), Deflactor!$BP$305, IF(AND(AU124&gt;=Deflactor!$BQ$306,AU124&lt;Deflactor!$BQ$307), Deflactor!$BP$306, Deflactor!$BP$307) ) ) ) ) ) ) ) ) )</f>
        <v>7</v>
      </c>
      <c r="AW124" t="str">
        <f>+IFERROR(VLOOKUP(AV124,Deflactor!$BP$298:$BU$307,6,0),"")</f>
        <v>20 a 30 millones USD</v>
      </c>
    </row>
    <row r="125" spans="1:49" x14ac:dyDescent="0.3">
      <c r="A125" s="3">
        <v>2015</v>
      </c>
      <c r="B125" s="3" t="s">
        <v>185</v>
      </c>
      <c r="C125" s="3" t="s">
        <v>7</v>
      </c>
      <c r="D125" s="3" t="s">
        <v>36</v>
      </c>
      <c r="E125" s="3" t="s">
        <v>98</v>
      </c>
      <c r="F125" s="3" t="s">
        <v>89</v>
      </c>
      <c r="G125" s="3" t="s">
        <v>723</v>
      </c>
      <c r="H125" s="13">
        <v>1970</v>
      </c>
      <c r="I125" s="13"/>
      <c r="J125" s="10">
        <f xml:space="preserve"> 293866943 * 1000000</f>
        <v>293866943000000</v>
      </c>
      <c r="K125" s="3"/>
      <c r="L125" s="3" t="s">
        <v>2197</v>
      </c>
      <c r="M125" s="3" t="s">
        <v>2198</v>
      </c>
      <c r="N125" s="3" t="s">
        <v>2199</v>
      </c>
      <c r="O125" s="3" t="s">
        <v>2200</v>
      </c>
      <c r="P125" s="3" t="s">
        <v>2201</v>
      </c>
      <c r="Q125" s="3"/>
      <c r="R125" s="11" t="s">
        <v>2194</v>
      </c>
      <c r="S125" s="11" t="s">
        <v>2195</v>
      </c>
      <c r="T125" s="11" t="s">
        <v>2196</v>
      </c>
      <c r="U125" s="3"/>
      <c r="V125" s="3"/>
      <c r="W125" s="10">
        <f>IF( J125="s.i", "s.i", IF(ISBLANK(J125),"Actualizando información",IFERROR(J125 / VLOOKUP(A125,Deflactor!$G$3:$H$64,2,0),"Revisar error" )))</f>
        <v>264381860755743.28</v>
      </c>
      <c r="AR125" s="34"/>
      <c r="AT125" s="46">
        <f>'Notas reunion'!T46</f>
        <v>253201137000</v>
      </c>
      <c r="AU125" s="54">
        <f xml:space="preserve"> IFERROR(ROUND(AT125 / VLOOKUP(A125,Tabla1[#All],2,0),0),"s.i")</f>
        <v>387010354</v>
      </c>
      <c r="AV125" s="33">
        <f xml:space="preserve"> IF(AU125="s.i", "s.i", IF(AND(AU125&gt;=Deflactor!$BQ$298,AU125&lt;Deflactor!$BQ$299), Deflactor!$BP$298, IF(AND(AU125&gt;=Deflactor!$BQ$299,AU125&lt;Deflactor!$BQ$300), Deflactor!$BP$299, IF(AND(AU125&gt;=Deflactor!$BQ$300,AU125&lt;Deflactor!$BQ$301), Deflactor!$BP$300, IF(AND(AU125&gt;=Deflactor!$BQ$301,AU125&lt;Deflactor!$BQ$302), Deflactor!$BP$301, IF(AND(AU125&gt;=Deflactor!$BQ$302,AU125&lt;Deflactor!$BQ$303), Deflactor!$BP$302, IF(AND(AU125&gt;=Deflactor!$BQ$303,AU125&lt;Deflactor!$BQ$304), Deflactor!$BP$303, IF(AND(AU125&gt;=Deflactor!$BQ$304,AU125&lt;Deflactor!$BQ$305), Deflactor!$BP$304, IF(AND(AU125&gt;=Deflactor!$BQ$305,AU125&lt;Deflactor!$BQ$306), Deflactor!$BP$305, IF(AND(AU125&gt;=Deflactor!$BQ$306,AU125&lt;Deflactor!$BQ$307), Deflactor!$BP$306, Deflactor!$BP$307) ) ) ) ) ) ) ) ) )</f>
        <v>10</v>
      </c>
      <c r="AW125" s="57" t="str">
        <f>+IFERROR(VLOOKUP(AV125,Deflactor!$BP$298:$BU$307,6,0),"")</f>
        <v>100 millones USD y mas</v>
      </c>
    </row>
    <row r="126" spans="1:49" x14ac:dyDescent="0.3">
      <c r="A126" s="3">
        <v>2014</v>
      </c>
      <c r="B126" s="3" t="s">
        <v>201</v>
      </c>
      <c r="C126" s="3" t="s">
        <v>92</v>
      </c>
      <c r="D126" s="3" t="s">
        <v>20</v>
      </c>
      <c r="E126" s="3" t="s">
        <v>23</v>
      </c>
      <c r="F126" s="3" t="s">
        <v>95</v>
      </c>
      <c r="G126" s="3" t="s">
        <v>723</v>
      </c>
      <c r="H126" s="13">
        <v>1990</v>
      </c>
      <c r="I126" s="13" t="s">
        <v>623</v>
      </c>
      <c r="J126" s="10">
        <f xml:space="preserve"> 66147145 * 1000</f>
        <v>66147145000</v>
      </c>
      <c r="K126" s="3" t="s">
        <v>2310</v>
      </c>
      <c r="L126" s="3" t="s">
        <v>1369</v>
      </c>
      <c r="M126" s="3" t="s">
        <v>1370</v>
      </c>
      <c r="N126" s="3" t="s">
        <v>1371</v>
      </c>
      <c r="O126" s="3"/>
      <c r="P126" s="3"/>
      <c r="Q126" s="3"/>
      <c r="R126" s="3" t="s">
        <v>1372</v>
      </c>
      <c r="S126" s="3" t="s">
        <v>1373</v>
      </c>
      <c r="T126" s="3"/>
      <c r="U126" s="3"/>
      <c r="V126" s="3"/>
      <c r="W126" s="10">
        <f>IF( J126="s.i", "s.i", IF(ISBLANK(J126),"Actualizando información",IFERROR(J126 / VLOOKUP(A126,Deflactor!$G$3:$H$64,2,0),"Revisar error" )))</f>
        <v>62458148721.964233</v>
      </c>
      <c r="AR126" s="10">
        <f xml:space="preserve"> 63272651 * 1000</f>
        <v>63272651000</v>
      </c>
      <c r="AT126" s="46">
        <f t="shared" si="2"/>
        <v>63272651000</v>
      </c>
      <c r="AU126" s="54">
        <f xml:space="preserve"> IFERROR(ROUND(AT126 / VLOOKUP(A126,Tabla1[#All],2,0),0),"s.i")</f>
        <v>111003501</v>
      </c>
      <c r="AV126" s="33">
        <f xml:space="preserve"> IF(AU126="s.i", "s.i", IF(AND(AU126&gt;=Deflactor!$BQ$298,AU126&lt;Deflactor!$BQ$299), Deflactor!$BP$298, IF(AND(AU126&gt;=Deflactor!$BQ$299,AU126&lt;Deflactor!$BQ$300), Deflactor!$BP$299, IF(AND(AU126&gt;=Deflactor!$BQ$300,AU126&lt;Deflactor!$BQ$301), Deflactor!$BP$300, IF(AND(AU126&gt;=Deflactor!$BQ$301,AU126&lt;Deflactor!$BQ$302), Deflactor!$BP$301, IF(AND(AU126&gt;=Deflactor!$BQ$302,AU126&lt;Deflactor!$BQ$303), Deflactor!$BP$302, IF(AND(AU126&gt;=Deflactor!$BQ$303,AU126&lt;Deflactor!$BQ$304), Deflactor!$BP$303, IF(AND(AU126&gt;=Deflactor!$BQ$304,AU126&lt;Deflactor!$BQ$305), Deflactor!$BP$304, IF(AND(AU126&gt;=Deflactor!$BQ$305,AU126&lt;Deflactor!$BQ$306), Deflactor!$BP$305, IF(AND(AU126&gt;=Deflactor!$BQ$306,AU126&lt;Deflactor!$BQ$307), Deflactor!$BP$306, Deflactor!$BP$307) ) ) ) ) ) ) ) ) )</f>
        <v>10</v>
      </c>
      <c r="AW126" s="57" t="str">
        <f>+IFERROR(VLOOKUP(AV126,Deflactor!$BP$298:$BU$307,6,0),"")</f>
        <v>100 millones USD y mas</v>
      </c>
    </row>
    <row r="127" spans="1:49" x14ac:dyDescent="0.3">
      <c r="A127" s="3">
        <v>2014</v>
      </c>
      <c r="B127" s="3" t="s">
        <v>186</v>
      </c>
      <c r="C127" s="3" t="s">
        <v>92</v>
      </c>
      <c r="D127" s="3" t="s">
        <v>25</v>
      </c>
      <c r="E127" s="3" t="s">
        <v>29</v>
      </c>
      <c r="F127" s="3" t="s">
        <v>89</v>
      </c>
      <c r="G127" s="3" t="s">
        <v>723</v>
      </c>
      <c r="H127" s="12">
        <v>2005</v>
      </c>
      <c r="I127" s="13" t="s">
        <v>623</v>
      </c>
      <c r="J127" s="10">
        <f xml:space="preserve"> 19217.4 * 1000000</f>
        <v>19217400000</v>
      </c>
      <c r="K127" s="3" t="s">
        <v>2193</v>
      </c>
      <c r="L127" s="3" t="s">
        <v>898</v>
      </c>
      <c r="M127" s="3" t="s">
        <v>899</v>
      </c>
      <c r="N127" s="3" t="s">
        <v>900</v>
      </c>
      <c r="O127" s="3" t="s">
        <v>877</v>
      </c>
      <c r="P127" s="3" t="s">
        <v>888</v>
      </c>
      <c r="Q127" s="3"/>
      <c r="R127" s="11" t="s">
        <v>901</v>
      </c>
      <c r="S127" s="11" t="s">
        <v>902</v>
      </c>
      <c r="T127" s="3"/>
      <c r="U127" s="3"/>
      <c r="V127" s="3"/>
      <c r="W127" s="10">
        <f>IF( J127="s.i", "s.i", IF(ISBLANK(J127),"Actualizando información",IFERROR(J127 / VLOOKUP(A127,Deflactor!$G$3:$H$64,2,0),"Revisar error" )))</f>
        <v>18145654317.347717</v>
      </c>
      <c r="AR127" s="34">
        <f xml:space="preserve"> 711184 * 1000</f>
        <v>711184000</v>
      </c>
      <c r="AT127" s="46">
        <f t="shared" si="2"/>
        <v>711184000</v>
      </c>
      <c r="AU127" s="54">
        <f xml:space="preserve"> IFERROR(ROUND(AT127 / VLOOKUP(A127,Tabla1[#All],2,0),0),"s.i")</f>
        <v>1247678</v>
      </c>
      <c r="AV127" s="33">
        <f xml:space="preserve"> IF(AU127="s.i", "s.i", IF(AND(AU127&gt;=Deflactor!$BQ$298,AU127&lt;Deflactor!$BQ$299), Deflactor!$BP$298, IF(AND(AU127&gt;=Deflactor!$BQ$299,AU127&lt;Deflactor!$BQ$300), Deflactor!$BP$299, IF(AND(AU127&gt;=Deflactor!$BQ$300,AU127&lt;Deflactor!$BQ$301), Deflactor!$BP$300, IF(AND(AU127&gt;=Deflactor!$BQ$301,AU127&lt;Deflactor!$BQ$302), Deflactor!$BP$301, IF(AND(AU127&gt;=Deflactor!$BQ$302,AU127&lt;Deflactor!$BQ$303), Deflactor!$BP$302, IF(AND(AU127&gt;=Deflactor!$BQ$303,AU127&lt;Deflactor!$BQ$304), Deflactor!$BP$303, IF(AND(AU127&gt;=Deflactor!$BQ$304,AU127&lt;Deflactor!$BQ$305), Deflactor!$BP$304, IF(AND(AU127&gt;=Deflactor!$BQ$305,AU127&lt;Deflactor!$BQ$306), Deflactor!$BP$305, IF(AND(AU127&gt;=Deflactor!$BQ$306,AU127&lt;Deflactor!$BQ$307), Deflactor!$BP$306, Deflactor!$BP$307) ) ) ) ) ) ) ) ) )</f>
        <v>1</v>
      </c>
      <c r="AW127" s="57" t="str">
        <f>+IFERROR(VLOOKUP(AV127,Deflactor!$BP$298:$BU$307,6,0),"")</f>
        <v>2 millones USD y menos</v>
      </c>
    </row>
    <row r="128" spans="1:49" x14ac:dyDescent="0.3">
      <c r="A128" s="3">
        <v>2014</v>
      </c>
      <c r="B128" s="3" t="s">
        <v>187</v>
      </c>
      <c r="C128" s="3" t="s">
        <v>92</v>
      </c>
      <c r="D128" s="3" t="s">
        <v>25</v>
      </c>
      <c r="E128" s="3" t="s">
        <v>29</v>
      </c>
      <c r="F128" s="3" t="s">
        <v>89</v>
      </c>
      <c r="G128" s="3" t="s">
        <v>723</v>
      </c>
      <c r="H128" s="12">
        <v>2005</v>
      </c>
      <c r="I128" s="13" t="s">
        <v>623</v>
      </c>
      <c r="J128" s="10">
        <f xml:space="preserve"> 19217.4 * 1000000</f>
        <v>19217400000</v>
      </c>
      <c r="K128" s="3" t="s">
        <v>2193</v>
      </c>
      <c r="L128" s="3" t="s">
        <v>898</v>
      </c>
      <c r="M128" s="3" t="s">
        <v>899</v>
      </c>
      <c r="N128" s="3" t="s">
        <v>900</v>
      </c>
      <c r="O128" s="3" t="s">
        <v>877</v>
      </c>
      <c r="P128" s="3" t="s">
        <v>888</v>
      </c>
      <c r="Q128" s="3"/>
      <c r="R128" s="11" t="s">
        <v>901</v>
      </c>
      <c r="S128" s="11" t="s">
        <v>902</v>
      </c>
      <c r="T128" s="3"/>
      <c r="U128" s="3"/>
      <c r="V128" s="3"/>
      <c r="W128" s="10">
        <f>IF( J128="s.i", "s.i", IF(ISBLANK(J128),"Actualizando información",IFERROR(J128 / VLOOKUP(A128,Deflactor!$G$3:$H$64,2,0),"Revisar error" )))</f>
        <v>18145654317.347717</v>
      </c>
      <c r="AR128" s="34">
        <f xml:space="preserve"> 1081076 * 1000</f>
        <v>1081076000</v>
      </c>
      <c r="AT128" s="46">
        <f t="shared" si="2"/>
        <v>1081076000</v>
      </c>
      <c r="AU128" s="54">
        <f xml:space="preserve"> IFERROR(ROUND(AT128 / VLOOKUP(A128,Tabla1[#All],2,0),0),"s.i")</f>
        <v>1896605</v>
      </c>
      <c r="AV128" s="33">
        <f xml:space="preserve"> IF(AU128="s.i", "s.i", IF(AND(AU128&gt;=Deflactor!$BQ$298,AU128&lt;Deflactor!$BQ$299), Deflactor!$BP$298, IF(AND(AU128&gt;=Deflactor!$BQ$299,AU128&lt;Deflactor!$BQ$300), Deflactor!$BP$299, IF(AND(AU128&gt;=Deflactor!$BQ$300,AU128&lt;Deflactor!$BQ$301), Deflactor!$BP$300, IF(AND(AU128&gt;=Deflactor!$BQ$301,AU128&lt;Deflactor!$BQ$302), Deflactor!$BP$301, IF(AND(AU128&gt;=Deflactor!$BQ$302,AU128&lt;Deflactor!$BQ$303), Deflactor!$BP$302, IF(AND(AU128&gt;=Deflactor!$BQ$303,AU128&lt;Deflactor!$BQ$304), Deflactor!$BP$303, IF(AND(AU128&gt;=Deflactor!$BQ$304,AU128&lt;Deflactor!$BQ$305), Deflactor!$BP$304, IF(AND(AU128&gt;=Deflactor!$BQ$305,AU128&lt;Deflactor!$BQ$306), Deflactor!$BP$305, IF(AND(AU128&gt;=Deflactor!$BQ$306,AU128&lt;Deflactor!$BQ$307), Deflactor!$BP$306, Deflactor!$BP$307) ) ) ) ) ) ) ) ) )</f>
        <v>1</v>
      </c>
      <c r="AW128" s="57" t="str">
        <f>+IFERROR(VLOOKUP(AV128,Deflactor!$BP$298:$BU$307,6,0),"")</f>
        <v>2 millones USD y menos</v>
      </c>
    </row>
    <row r="129" spans="1:49" ht="14.25" customHeight="1" x14ac:dyDescent="0.3">
      <c r="A129" s="3">
        <v>2014</v>
      </c>
      <c r="B129" s="3" t="s">
        <v>188</v>
      </c>
      <c r="C129" s="3" t="s">
        <v>92</v>
      </c>
      <c r="D129" s="3" t="s">
        <v>25</v>
      </c>
      <c r="E129" s="3" t="s">
        <v>29</v>
      </c>
      <c r="F129" s="3" t="s">
        <v>89</v>
      </c>
      <c r="G129" s="3" t="s">
        <v>723</v>
      </c>
      <c r="H129" s="12">
        <v>2005</v>
      </c>
      <c r="I129" s="13" t="s">
        <v>623</v>
      </c>
      <c r="J129" s="10">
        <f xml:space="preserve"> 19217.4 * 1000000</f>
        <v>19217400000</v>
      </c>
      <c r="K129" s="3" t="s">
        <v>2193</v>
      </c>
      <c r="L129" s="3" t="s">
        <v>898</v>
      </c>
      <c r="M129" s="3" t="s">
        <v>899</v>
      </c>
      <c r="N129" s="3" t="s">
        <v>900</v>
      </c>
      <c r="O129" s="3" t="s">
        <v>877</v>
      </c>
      <c r="P129" s="3" t="s">
        <v>888</v>
      </c>
      <c r="Q129" s="3"/>
      <c r="R129" s="11" t="s">
        <v>901</v>
      </c>
      <c r="S129" s="11" t="s">
        <v>902</v>
      </c>
      <c r="T129" s="3"/>
      <c r="U129" s="3" t="s">
        <v>877</v>
      </c>
      <c r="V129" s="3"/>
      <c r="W129" s="10">
        <f>IF( J129="s.i", "s.i", IF(ISBLANK(J129),"Actualizando información",IFERROR(J129 / VLOOKUP(A129,Deflactor!$G$3:$H$64,2,0),"Revisar error" )))</f>
        <v>18145654317.347717</v>
      </c>
      <c r="AR129" s="34">
        <f xml:space="preserve"> 7165717 * 1000</f>
        <v>7165717000</v>
      </c>
      <c r="AT129" s="46">
        <f t="shared" si="2"/>
        <v>7165717000</v>
      </c>
      <c r="AU129" s="54">
        <f xml:space="preserve"> IFERROR(ROUND(AT129 / VLOOKUP(A129,Tabla1[#All],2,0),0),"s.i")</f>
        <v>12571303</v>
      </c>
      <c r="AV129" s="33">
        <f xml:space="preserve"> IF(AU129="s.i", "s.i", IF(AND(AU129&gt;=Deflactor!$BQ$298,AU129&lt;Deflactor!$BQ$299), Deflactor!$BP$298, IF(AND(AU129&gt;=Deflactor!$BQ$299,AU129&lt;Deflactor!$BQ$300), Deflactor!$BP$299, IF(AND(AU129&gt;=Deflactor!$BQ$300,AU129&lt;Deflactor!$BQ$301), Deflactor!$BP$300, IF(AND(AU129&gt;=Deflactor!$BQ$301,AU129&lt;Deflactor!$BQ$302), Deflactor!$BP$301, IF(AND(AU129&gt;=Deflactor!$BQ$302,AU129&lt;Deflactor!$BQ$303), Deflactor!$BP$302, IF(AND(AU129&gt;=Deflactor!$BQ$303,AU129&lt;Deflactor!$BQ$304), Deflactor!$BP$303, IF(AND(AU129&gt;=Deflactor!$BQ$304,AU129&lt;Deflactor!$BQ$305), Deflactor!$BP$304, IF(AND(AU129&gt;=Deflactor!$BQ$305,AU129&lt;Deflactor!$BQ$306), Deflactor!$BP$305, IF(AND(AU129&gt;=Deflactor!$BQ$306,AU129&lt;Deflactor!$BQ$307), Deflactor!$BP$306, Deflactor!$BP$307) ) ) ) ) ) ) ) ) )</f>
        <v>5</v>
      </c>
      <c r="AW129" s="57" t="str">
        <f>+IFERROR(VLOOKUP(AV129,Deflactor!$BP$298:$BU$307,6,0),"")</f>
        <v>10 a 15 millones USD</v>
      </c>
    </row>
    <row r="130" spans="1:49" x14ac:dyDescent="0.3">
      <c r="A130" s="3">
        <v>2014</v>
      </c>
      <c r="B130" s="3" t="s">
        <v>189</v>
      </c>
      <c r="C130" s="3" t="s">
        <v>92</v>
      </c>
      <c r="D130" s="3" t="s">
        <v>25</v>
      </c>
      <c r="E130" s="3" t="s">
        <v>29</v>
      </c>
      <c r="F130" s="3" t="s">
        <v>89</v>
      </c>
      <c r="G130" s="3" t="s">
        <v>723</v>
      </c>
      <c r="H130" s="12">
        <v>2005</v>
      </c>
      <c r="I130" s="13" t="s">
        <v>623</v>
      </c>
      <c r="J130" s="10">
        <f xml:space="preserve"> 19217.4 * 1000000</f>
        <v>19217400000</v>
      </c>
      <c r="K130" s="3" t="s">
        <v>2193</v>
      </c>
      <c r="L130" s="3" t="s">
        <v>898</v>
      </c>
      <c r="M130" s="3" t="s">
        <v>899</v>
      </c>
      <c r="N130" s="3" t="s">
        <v>900</v>
      </c>
      <c r="O130" s="3" t="s">
        <v>877</v>
      </c>
      <c r="P130" s="3" t="s">
        <v>888</v>
      </c>
      <c r="Q130" s="3"/>
      <c r="R130" s="11" t="s">
        <v>901</v>
      </c>
      <c r="S130" s="11" t="s">
        <v>902</v>
      </c>
      <c r="T130" s="3"/>
      <c r="U130" s="3"/>
      <c r="V130" s="3"/>
      <c r="W130" s="10">
        <f>IF( J130="s.i", "s.i", IF(ISBLANK(J130),"Actualizando información",IFERROR(J130 / VLOOKUP(A130,Deflactor!$G$3:$H$64,2,0),"Revisar error" )))</f>
        <v>18145654317.347717</v>
      </c>
      <c r="AR130" s="34">
        <f xml:space="preserve"> 7766752 * 1000</f>
        <v>7766752000</v>
      </c>
      <c r="AT130" s="46">
        <f t="shared" si="2"/>
        <v>7766752000</v>
      </c>
      <c r="AU130" s="54">
        <f xml:space="preserve"> IFERROR(ROUND(AT130 / VLOOKUP(A130,Tabla1[#All],2,0),0),"s.i")</f>
        <v>13625740</v>
      </c>
      <c r="AV130" s="33">
        <f xml:space="preserve"> IF(AU130="s.i", "s.i", IF(AND(AU130&gt;=Deflactor!$BQ$298,AU130&lt;Deflactor!$BQ$299), Deflactor!$BP$298, IF(AND(AU130&gt;=Deflactor!$BQ$299,AU130&lt;Deflactor!$BQ$300), Deflactor!$BP$299, IF(AND(AU130&gt;=Deflactor!$BQ$300,AU130&lt;Deflactor!$BQ$301), Deflactor!$BP$300, IF(AND(AU130&gt;=Deflactor!$BQ$301,AU130&lt;Deflactor!$BQ$302), Deflactor!$BP$301, IF(AND(AU130&gt;=Deflactor!$BQ$302,AU130&lt;Deflactor!$BQ$303), Deflactor!$BP$302, IF(AND(AU130&gt;=Deflactor!$BQ$303,AU130&lt;Deflactor!$BQ$304), Deflactor!$BP$303, IF(AND(AU130&gt;=Deflactor!$BQ$304,AU130&lt;Deflactor!$BQ$305), Deflactor!$BP$304, IF(AND(AU130&gt;=Deflactor!$BQ$305,AU130&lt;Deflactor!$BQ$306), Deflactor!$BP$305, IF(AND(AU130&gt;=Deflactor!$BQ$306,AU130&lt;Deflactor!$BQ$307), Deflactor!$BP$306, Deflactor!$BP$307) ) ) ) ) ) ) ) ) )</f>
        <v>5</v>
      </c>
      <c r="AW130" s="57" t="str">
        <f>+IFERROR(VLOOKUP(AV130,Deflactor!$BP$298:$BU$307,6,0),"")</f>
        <v>10 a 15 millones USD</v>
      </c>
    </row>
    <row r="131" spans="1:49" x14ac:dyDescent="0.3">
      <c r="A131" s="3">
        <v>2014</v>
      </c>
      <c r="B131" s="3" t="s">
        <v>190</v>
      </c>
      <c r="C131" s="3" t="s">
        <v>7</v>
      </c>
      <c r="D131" s="3" t="s">
        <v>25</v>
      </c>
      <c r="E131" s="3" t="s">
        <v>181</v>
      </c>
      <c r="F131" s="3" t="s">
        <v>95</v>
      </c>
      <c r="G131" s="3"/>
      <c r="H131" s="13">
        <v>1999</v>
      </c>
      <c r="I131" s="13" t="s">
        <v>623</v>
      </c>
      <c r="J131" s="10">
        <f xml:space="preserve"> 10836562 * 1000000</f>
        <v>10836562000000</v>
      </c>
      <c r="K131" s="3"/>
      <c r="L131" s="3" t="s">
        <v>1374</v>
      </c>
      <c r="M131" s="3" t="s">
        <v>1375</v>
      </c>
      <c r="N131" s="3" t="s">
        <v>1376</v>
      </c>
      <c r="O131" s="3" t="s">
        <v>1377</v>
      </c>
      <c r="P131" s="3" t="s">
        <v>1378</v>
      </c>
      <c r="Q131" s="3"/>
      <c r="R131" s="3" t="s">
        <v>1379</v>
      </c>
      <c r="S131" s="3" t="s">
        <v>1380</v>
      </c>
      <c r="T131" s="3" t="s">
        <v>1381</v>
      </c>
      <c r="U131" s="3"/>
      <c r="V131" s="3"/>
      <c r="W131" s="10">
        <f>IF( J131="s.i", "s.i", IF(ISBLANK(J131),"Actualizando información",IFERROR(J131 / VLOOKUP(A131,Deflactor!$G$3:$H$64,2,0),"Revisar error" )))</f>
        <v>10232211851785.686</v>
      </c>
      <c r="AR131" s="34">
        <f xml:space="preserve"> 10389574 * 1000</f>
        <v>10389574000</v>
      </c>
      <c r="AT131" s="46">
        <f t="shared" ref="AT131:AT194" si="5">AR131</f>
        <v>10389574000</v>
      </c>
      <c r="AU131" s="54">
        <f xml:space="preserve"> IFERROR(ROUND(AT131 / VLOOKUP(A131,Tabla1[#All],2,0),0),"s.i")</f>
        <v>18227134</v>
      </c>
      <c r="AV131" s="33">
        <f xml:space="preserve"> IF(AU131="s.i", "s.i", IF(AND(AU131&gt;=Deflactor!$BQ$298,AU131&lt;Deflactor!$BQ$299), Deflactor!$BP$298, IF(AND(AU131&gt;=Deflactor!$BQ$299,AU131&lt;Deflactor!$BQ$300), Deflactor!$BP$299, IF(AND(AU131&gt;=Deflactor!$BQ$300,AU131&lt;Deflactor!$BQ$301), Deflactor!$BP$300, IF(AND(AU131&gt;=Deflactor!$BQ$301,AU131&lt;Deflactor!$BQ$302), Deflactor!$BP$301, IF(AND(AU131&gt;=Deflactor!$BQ$302,AU131&lt;Deflactor!$BQ$303), Deflactor!$BP$302, IF(AND(AU131&gt;=Deflactor!$BQ$303,AU131&lt;Deflactor!$BQ$304), Deflactor!$BP$303, IF(AND(AU131&gt;=Deflactor!$BQ$304,AU131&lt;Deflactor!$BQ$305), Deflactor!$BP$304, IF(AND(AU131&gt;=Deflactor!$BQ$305,AU131&lt;Deflactor!$BQ$306), Deflactor!$BP$305, IF(AND(AU131&gt;=Deflactor!$BQ$306,AU131&lt;Deflactor!$BQ$307), Deflactor!$BP$306, Deflactor!$BP$307) ) ) ) ) ) ) ) ) )</f>
        <v>6</v>
      </c>
      <c r="AW131" s="57" t="str">
        <f>+IFERROR(VLOOKUP(AV131,Deflactor!$BP$298:$BU$307,6,0),"")</f>
        <v>15 a 20 millones USD</v>
      </c>
    </row>
    <row r="132" spans="1:49" x14ac:dyDescent="0.3">
      <c r="A132" s="3">
        <v>2014</v>
      </c>
      <c r="B132" s="3" t="s">
        <v>211</v>
      </c>
      <c r="C132" s="3" t="s">
        <v>92</v>
      </c>
      <c r="D132" s="3" t="s">
        <v>25</v>
      </c>
      <c r="E132" s="3" t="s">
        <v>29</v>
      </c>
      <c r="F132" s="3" t="s">
        <v>89</v>
      </c>
      <c r="G132" s="3" t="s">
        <v>723</v>
      </c>
      <c r="H132" s="12">
        <v>2005</v>
      </c>
      <c r="I132" s="13" t="s">
        <v>623</v>
      </c>
      <c r="J132" s="10">
        <f xml:space="preserve"> 19217.4 * 1000000</f>
        <v>19217400000</v>
      </c>
      <c r="K132" s="3" t="s">
        <v>2193</v>
      </c>
      <c r="L132" s="3" t="s">
        <v>898</v>
      </c>
      <c r="M132" s="3" t="s">
        <v>899</v>
      </c>
      <c r="N132" s="3" t="s">
        <v>900</v>
      </c>
      <c r="O132" s="3" t="s">
        <v>877</v>
      </c>
      <c r="P132" s="3" t="s">
        <v>888</v>
      </c>
      <c r="Q132" s="3"/>
      <c r="R132" s="11" t="s">
        <v>901</v>
      </c>
      <c r="S132" s="11" t="s">
        <v>902</v>
      </c>
      <c r="T132" s="3"/>
      <c r="U132" s="3" t="s">
        <v>1144</v>
      </c>
      <c r="V132" s="3"/>
      <c r="W132" s="10">
        <f>IF( J132="s.i", "s.i", IF(ISBLANK(J132),"Actualizando información",IFERROR(J132 / VLOOKUP(A132,Deflactor!$G$3:$H$64,2,0),"Revisar error" )))</f>
        <v>18145654317.347717</v>
      </c>
      <c r="AR132" s="34">
        <f xml:space="preserve"> 2091851 * 1000</f>
        <v>2091851000</v>
      </c>
      <c r="AT132" s="46">
        <f t="shared" si="5"/>
        <v>2091851000</v>
      </c>
      <c r="AU132" s="54">
        <f xml:space="preserve"> IFERROR(ROUND(AT132 / VLOOKUP(A132,Tabla1[#All],2,0),0),"s.i")</f>
        <v>3669876</v>
      </c>
      <c r="AV132" s="33">
        <f xml:space="preserve"> IF(AU132="s.i", "s.i", IF(AND(AU132&gt;=Deflactor!$BQ$298,AU132&lt;Deflactor!$BQ$299), Deflactor!$BP$298, IF(AND(AU132&gt;=Deflactor!$BQ$299,AU132&lt;Deflactor!$BQ$300), Deflactor!$BP$299, IF(AND(AU132&gt;=Deflactor!$BQ$300,AU132&lt;Deflactor!$BQ$301), Deflactor!$BP$300, IF(AND(AU132&gt;=Deflactor!$BQ$301,AU132&lt;Deflactor!$BQ$302), Deflactor!$BP$301, IF(AND(AU132&gt;=Deflactor!$BQ$302,AU132&lt;Deflactor!$BQ$303), Deflactor!$BP$302, IF(AND(AU132&gt;=Deflactor!$BQ$303,AU132&lt;Deflactor!$BQ$304), Deflactor!$BP$303, IF(AND(AU132&gt;=Deflactor!$BQ$304,AU132&lt;Deflactor!$BQ$305), Deflactor!$BP$304, IF(AND(AU132&gt;=Deflactor!$BQ$305,AU132&lt;Deflactor!$BQ$306), Deflactor!$BP$305, IF(AND(AU132&gt;=Deflactor!$BQ$306,AU132&lt;Deflactor!$BQ$307), Deflactor!$BP$306, Deflactor!$BP$307) ) ) ) ) ) ) ) ) )</f>
        <v>2</v>
      </c>
      <c r="AW132" s="57" t="str">
        <f>+IFERROR(VLOOKUP(AV132,Deflactor!$BP$298:$BU$307,6,0),"")</f>
        <v>2 a 5 millones USD</v>
      </c>
    </row>
    <row r="133" spans="1:49" x14ac:dyDescent="0.3">
      <c r="A133" s="3">
        <v>2014</v>
      </c>
      <c r="B133" s="3" t="s">
        <v>212</v>
      </c>
      <c r="C133" s="3" t="s">
        <v>92</v>
      </c>
      <c r="D133" s="3" t="s">
        <v>25</v>
      </c>
      <c r="E133" s="3" t="s">
        <v>29</v>
      </c>
      <c r="F133" s="3" t="s">
        <v>89</v>
      </c>
      <c r="G133" s="3" t="s">
        <v>723</v>
      </c>
      <c r="H133" s="12">
        <v>2005</v>
      </c>
      <c r="I133" s="13" t="s">
        <v>623</v>
      </c>
      <c r="J133" s="10">
        <f xml:space="preserve"> 19217.4 * 1000000</f>
        <v>19217400000</v>
      </c>
      <c r="K133" s="3" t="s">
        <v>2193</v>
      </c>
      <c r="L133" s="3" t="s">
        <v>898</v>
      </c>
      <c r="M133" s="3" t="s">
        <v>899</v>
      </c>
      <c r="N133" s="3" t="s">
        <v>900</v>
      </c>
      <c r="O133" s="3" t="s">
        <v>877</v>
      </c>
      <c r="P133" s="3" t="s">
        <v>888</v>
      </c>
      <c r="Q133" s="3"/>
      <c r="R133" s="11" t="s">
        <v>901</v>
      </c>
      <c r="S133" s="11" t="s">
        <v>902</v>
      </c>
      <c r="T133" s="3"/>
      <c r="U133" s="3"/>
      <c r="V133" s="3"/>
      <c r="W133" s="10">
        <f>IF( J133="s.i", "s.i", IF(ISBLANK(J133),"Actualizando información",IFERROR(J133 / VLOOKUP(A133,Deflactor!$G$3:$H$64,2,0),"Revisar error" )))</f>
        <v>18145654317.347717</v>
      </c>
      <c r="AR133" s="34">
        <f xml:space="preserve"> 1513506 * 1000</f>
        <v>1513506000</v>
      </c>
      <c r="AT133" s="46">
        <f t="shared" si="5"/>
        <v>1513506000</v>
      </c>
      <c r="AU133" s="54">
        <f xml:space="preserve"> IFERROR(ROUND(AT133 / VLOOKUP(A133,Tabla1[#All],2,0),0),"s.i")</f>
        <v>2655246</v>
      </c>
      <c r="AV133" s="33">
        <f xml:space="preserve"> IF(AU133="s.i", "s.i", IF(AND(AU133&gt;=Deflactor!$BQ$298,AU133&lt;Deflactor!$BQ$299), Deflactor!$BP$298, IF(AND(AU133&gt;=Deflactor!$BQ$299,AU133&lt;Deflactor!$BQ$300), Deflactor!$BP$299, IF(AND(AU133&gt;=Deflactor!$BQ$300,AU133&lt;Deflactor!$BQ$301), Deflactor!$BP$300, IF(AND(AU133&gt;=Deflactor!$BQ$301,AU133&lt;Deflactor!$BQ$302), Deflactor!$BP$301, IF(AND(AU133&gt;=Deflactor!$BQ$302,AU133&lt;Deflactor!$BQ$303), Deflactor!$BP$302, IF(AND(AU133&gt;=Deflactor!$BQ$303,AU133&lt;Deflactor!$BQ$304), Deflactor!$BP$303, IF(AND(AU133&gt;=Deflactor!$BQ$304,AU133&lt;Deflactor!$BQ$305), Deflactor!$BP$304, IF(AND(AU133&gt;=Deflactor!$BQ$305,AU133&lt;Deflactor!$BQ$306), Deflactor!$BP$305, IF(AND(AU133&gt;=Deflactor!$BQ$306,AU133&lt;Deflactor!$BQ$307), Deflactor!$BP$306, Deflactor!$BP$307) ) ) ) ) ) ) ) ) )</f>
        <v>2</v>
      </c>
      <c r="AW133" s="57" t="str">
        <f>+IFERROR(VLOOKUP(AV133,Deflactor!$BP$298:$BU$307,6,0),"")</f>
        <v>2 a 5 millones USD</v>
      </c>
    </row>
    <row r="134" spans="1:49" x14ac:dyDescent="0.3">
      <c r="A134" s="3">
        <v>2014</v>
      </c>
      <c r="B134" s="3" t="s">
        <v>191</v>
      </c>
      <c r="C134" s="3" t="s">
        <v>7</v>
      </c>
      <c r="D134" s="3" t="s">
        <v>36</v>
      </c>
      <c r="E134" s="3" t="s">
        <v>37</v>
      </c>
      <c r="F134" s="3" t="s">
        <v>89</v>
      </c>
      <c r="G134" s="3" t="s">
        <v>723</v>
      </c>
      <c r="H134" s="13">
        <v>2010</v>
      </c>
      <c r="I134" s="13" t="s">
        <v>623</v>
      </c>
      <c r="J134" s="10">
        <f xml:space="preserve"> 21566 * 1000000</f>
        <v>21566000000</v>
      </c>
      <c r="K134" s="3" t="s">
        <v>802</v>
      </c>
      <c r="L134" s="3" t="s">
        <v>1382</v>
      </c>
      <c r="M134" s="3" t="s">
        <v>1383</v>
      </c>
      <c r="N134" s="3" t="s">
        <v>1384</v>
      </c>
      <c r="O134" s="3" t="s">
        <v>1385</v>
      </c>
      <c r="P134" s="3"/>
      <c r="Q134" s="3"/>
      <c r="R134" s="3" t="s">
        <v>1386</v>
      </c>
      <c r="S134" s="3" t="s">
        <v>1387</v>
      </c>
      <c r="T134" s="3"/>
      <c r="U134" s="3"/>
      <c r="V134" s="3"/>
      <c r="W134" s="10">
        <f>IF( J134="s.i", "s.i", IF(ISBLANK(J134),"Actualizando información",IFERROR(J134 / VLOOKUP(A134,Deflactor!$G$3:$H$64,2,0),"Revisar error" )))</f>
        <v>20363273960.469204</v>
      </c>
      <c r="AR134" s="34">
        <f xml:space="preserve"> 721000 * 1000</f>
        <v>721000000</v>
      </c>
      <c r="AT134" s="46">
        <f t="shared" si="5"/>
        <v>721000000</v>
      </c>
      <c r="AU134" s="54">
        <f xml:space="preserve"> IFERROR(ROUND(AT134 / VLOOKUP(A134,Tabla1[#All],2,0),0),"s.i")</f>
        <v>1264899</v>
      </c>
      <c r="AV134" s="33">
        <f xml:space="preserve"> IF(AU134="s.i", "s.i", IF(AND(AU134&gt;=Deflactor!$BQ$298,AU134&lt;Deflactor!$BQ$299), Deflactor!$BP$298, IF(AND(AU134&gt;=Deflactor!$BQ$299,AU134&lt;Deflactor!$BQ$300), Deflactor!$BP$299, IF(AND(AU134&gt;=Deflactor!$BQ$300,AU134&lt;Deflactor!$BQ$301), Deflactor!$BP$300, IF(AND(AU134&gt;=Deflactor!$BQ$301,AU134&lt;Deflactor!$BQ$302), Deflactor!$BP$301, IF(AND(AU134&gt;=Deflactor!$BQ$302,AU134&lt;Deflactor!$BQ$303), Deflactor!$BP$302, IF(AND(AU134&gt;=Deflactor!$BQ$303,AU134&lt;Deflactor!$BQ$304), Deflactor!$BP$303, IF(AND(AU134&gt;=Deflactor!$BQ$304,AU134&lt;Deflactor!$BQ$305), Deflactor!$BP$304, IF(AND(AU134&gt;=Deflactor!$BQ$305,AU134&lt;Deflactor!$BQ$306), Deflactor!$BP$305, IF(AND(AU134&gt;=Deflactor!$BQ$306,AU134&lt;Deflactor!$BQ$307), Deflactor!$BP$306, Deflactor!$BP$307) ) ) ) ) ) ) ) ) )</f>
        <v>1</v>
      </c>
      <c r="AW134" s="57" t="str">
        <f>+IFERROR(VLOOKUP(AV134,Deflactor!$BP$298:$BU$307,6,0),"")</f>
        <v>2 millones USD y menos</v>
      </c>
    </row>
    <row r="135" spans="1:49" x14ac:dyDescent="0.3">
      <c r="A135" s="3">
        <v>2014</v>
      </c>
      <c r="B135" s="3" t="s">
        <v>192</v>
      </c>
      <c r="C135" s="3" t="s">
        <v>7</v>
      </c>
      <c r="D135" s="3" t="s">
        <v>36</v>
      </c>
      <c r="E135" s="3" t="s">
        <v>37</v>
      </c>
      <c r="F135" s="3" t="s">
        <v>89</v>
      </c>
      <c r="G135" s="3" t="s">
        <v>723</v>
      </c>
      <c r="H135" s="13">
        <v>2009</v>
      </c>
      <c r="I135" s="13" t="s">
        <v>623</v>
      </c>
      <c r="J135" s="10">
        <f xml:space="preserve"> 27310036 * 1000000</f>
        <v>27310036000000</v>
      </c>
      <c r="K135" s="3"/>
      <c r="L135" s="3" t="s">
        <v>1388</v>
      </c>
      <c r="M135" s="3" t="s">
        <v>1389</v>
      </c>
      <c r="N135" s="3" t="s">
        <v>1390</v>
      </c>
      <c r="O135" s="3"/>
      <c r="P135" s="3"/>
      <c r="Q135" s="3"/>
      <c r="R135" s="3" t="s">
        <v>1391</v>
      </c>
      <c r="S135" s="3" t="s">
        <v>1392</v>
      </c>
      <c r="T135" s="3"/>
      <c r="U135" s="3"/>
      <c r="V135" s="3"/>
      <c r="W135" s="10">
        <f>IF( J135="s.i", "s.i", IF(ISBLANK(J135),"Actualizando información",IFERROR(J135 / VLOOKUP(A135,Deflactor!$G$3:$H$64,2,0),"Revisar error" )))</f>
        <v>25786967677746.293</v>
      </c>
      <c r="AR135" s="34">
        <f xml:space="preserve"> 26852009 * 1000</f>
        <v>26852009000</v>
      </c>
      <c r="AT135" s="46">
        <f t="shared" si="5"/>
        <v>26852009000</v>
      </c>
      <c r="AU135" s="54">
        <f xml:space="preserve"> IFERROR(ROUND(AT135 / VLOOKUP(A135,Tabla1[#All],2,0),0),"s.i")</f>
        <v>47108300</v>
      </c>
      <c r="AV135" s="33">
        <f xml:space="preserve"> IF(AU135="s.i", "s.i", IF(AND(AU135&gt;=Deflactor!$BQ$298,AU135&lt;Deflactor!$BQ$299), Deflactor!$BP$298, IF(AND(AU135&gt;=Deflactor!$BQ$299,AU135&lt;Deflactor!$BQ$300), Deflactor!$BP$299, IF(AND(AU135&gt;=Deflactor!$BQ$300,AU135&lt;Deflactor!$BQ$301), Deflactor!$BP$300, IF(AND(AU135&gt;=Deflactor!$BQ$301,AU135&lt;Deflactor!$BQ$302), Deflactor!$BP$301, IF(AND(AU135&gt;=Deflactor!$BQ$302,AU135&lt;Deflactor!$BQ$303), Deflactor!$BP$302, IF(AND(AU135&gt;=Deflactor!$BQ$303,AU135&lt;Deflactor!$BQ$304), Deflactor!$BP$303, IF(AND(AU135&gt;=Deflactor!$BQ$304,AU135&lt;Deflactor!$BQ$305), Deflactor!$BP$304, IF(AND(AU135&gt;=Deflactor!$BQ$305,AU135&lt;Deflactor!$BQ$306), Deflactor!$BP$305, IF(AND(AU135&gt;=Deflactor!$BQ$306,AU135&lt;Deflactor!$BQ$307), Deflactor!$BP$306, Deflactor!$BP$307) ) ) ) ) ) ) ) ) )</f>
        <v>8</v>
      </c>
      <c r="AW135" s="57" t="str">
        <f>+IFERROR(VLOOKUP(AV135,Deflactor!$BP$298:$BU$307,6,0),"")</f>
        <v>30 a 50 millones USD</v>
      </c>
    </row>
    <row r="136" spans="1:49" x14ac:dyDescent="0.3">
      <c r="A136" s="3">
        <v>2014</v>
      </c>
      <c r="B136" s="3" t="s">
        <v>193</v>
      </c>
      <c r="C136" s="3" t="s">
        <v>7</v>
      </c>
      <c r="D136" s="3" t="s">
        <v>36</v>
      </c>
      <c r="E136" s="3" t="s">
        <v>81</v>
      </c>
      <c r="F136" s="3" t="s">
        <v>194</v>
      </c>
      <c r="G136" s="3" t="s">
        <v>623</v>
      </c>
      <c r="H136" s="13">
        <v>1964</v>
      </c>
      <c r="I136" s="13" t="s">
        <v>623</v>
      </c>
      <c r="J136" s="10">
        <f xml:space="preserve"> 11549 * 1000000</f>
        <v>11549000000</v>
      </c>
      <c r="K136" s="3"/>
      <c r="L136" s="3" t="s">
        <v>1393</v>
      </c>
      <c r="M136" s="3" t="s">
        <v>1394</v>
      </c>
      <c r="N136" s="3" t="s">
        <v>1395</v>
      </c>
      <c r="O136" s="3"/>
      <c r="P136" s="3"/>
      <c r="Q136" s="3"/>
      <c r="R136" s="3" t="s">
        <v>1396</v>
      </c>
      <c r="S136" s="3" t="s">
        <v>1397</v>
      </c>
      <c r="T136" s="3" t="s">
        <v>1398</v>
      </c>
      <c r="U136" s="3"/>
      <c r="V136" s="3"/>
      <c r="W136" s="10">
        <f>IF( J136="s.i", "s.i", IF(ISBLANK(J136),"Actualizando información",IFERROR(J136 / VLOOKUP(A136,Deflactor!$G$3:$H$64,2,0),"Revisar error" )))</f>
        <v>10904917507.625839</v>
      </c>
      <c r="AR136" s="34">
        <f xml:space="preserve"> 20246240 * 1000</f>
        <v>20246240000</v>
      </c>
      <c r="AT136" s="46">
        <f t="shared" si="5"/>
        <v>20246240000</v>
      </c>
      <c r="AU136" s="54">
        <f xml:space="preserve"> IFERROR(ROUND(AT136 / VLOOKUP(A136,Tabla1[#All],2,0),0),"s.i")</f>
        <v>35519351</v>
      </c>
      <c r="AV136" s="33">
        <f xml:space="preserve"> IF(AU136="s.i", "s.i", IF(AND(AU136&gt;=Deflactor!$BQ$298,AU136&lt;Deflactor!$BQ$299), Deflactor!$BP$298, IF(AND(AU136&gt;=Deflactor!$BQ$299,AU136&lt;Deflactor!$BQ$300), Deflactor!$BP$299, IF(AND(AU136&gt;=Deflactor!$BQ$300,AU136&lt;Deflactor!$BQ$301), Deflactor!$BP$300, IF(AND(AU136&gt;=Deflactor!$BQ$301,AU136&lt;Deflactor!$BQ$302), Deflactor!$BP$301, IF(AND(AU136&gt;=Deflactor!$BQ$302,AU136&lt;Deflactor!$BQ$303), Deflactor!$BP$302, IF(AND(AU136&gt;=Deflactor!$BQ$303,AU136&lt;Deflactor!$BQ$304), Deflactor!$BP$303, IF(AND(AU136&gt;=Deflactor!$BQ$304,AU136&lt;Deflactor!$BQ$305), Deflactor!$BP$304, IF(AND(AU136&gt;=Deflactor!$BQ$305,AU136&lt;Deflactor!$BQ$306), Deflactor!$BP$305, IF(AND(AU136&gt;=Deflactor!$BQ$306,AU136&lt;Deflactor!$BQ$307), Deflactor!$BP$306, Deflactor!$BP$307) ) ) ) ) ) ) ) ) )</f>
        <v>8</v>
      </c>
      <c r="AW136" s="57" t="str">
        <f>+IFERROR(VLOOKUP(AV136,Deflactor!$BP$298:$BU$307,6,0),"")</f>
        <v>30 a 50 millones USD</v>
      </c>
    </row>
    <row r="137" spans="1:49" x14ac:dyDescent="0.3">
      <c r="A137" s="3">
        <v>2014</v>
      </c>
      <c r="B137" s="3" t="s">
        <v>195</v>
      </c>
      <c r="C137" s="3" t="s">
        <v>7</v>
      </c>
      <c r="D137" s="3" t="s">
        <v>36</v>
      </c>
      <c r="E137" s="3" t="s">
        <v>81</v>
      </c>
      <c r="F137" s="3" t="s">
        <v>194</v>
      </c>
      <c r="G137" s="3" t="s">
        <v>623</v>
      </c>
      <c r="H137" s="13">
        <v>1964</v>
      </c>
      <c r="I137" s="13" t="s">
        <v>623</v>
      </c>
      <c r="J137" s="10">
        <f t="shared" ref="J137:J141" si="6" xml:space="preserve"> 11549 * 1000000</f>
        <v>11549000000</v>
      </c>
      <c r="K137" s="3"/>
      <c r="L137" s="3" t="s">
        <v>1393</v>
      </c>
      <c r="M137" s="3" t="s">
        <v>1394</v>
      </c>
      <c r="N137" s="3" t="s">
        <v>1395</v>
      </c>
      <c r="O137" s="3"/>
      <c r="P137" s="3"/>
      <c r="Q137" s="3"/>
      <c r="R137" s="3" t="s">
        <v>1396</v>
      </c>
      <c r="S137" s="3" t="s">
        <v>1397</v>
      </c>
      <c r="T137" s="3" t="s">
        <v>1398</v>
      </c>
      <c r="U137" s="3"/>
      <c r="V137" s="3"/>
      <c r="W137" s="10">
        <f>IF( J137="s.i", "s.i", IF(ISBLANK(J137),"Actualizando información",IFERROR(J137 / VLOOKUP(A137,Deflactor!$G$3:$H$64,2,0),"Revisar error" )))</f>
        <v>10904917507.625839</v>
      </c>
      <c r="AR137" s="34"/>
      <c r="AT137" s="46"/>
      <c r="AU137" s="54"/>
      <c r="AV137" s="33">
        <f xml:space="preserve"> IF(AU137="s.i", "s.i", IF(AND(AU137&gt;=Deflactor!$BQ$298,AU137&lt;Deflactor!$BQ$299), Deflactor!$BP$298, IF(AND(AU137&gt;=Deflactor!$BQ$299,AU137&lt;Deflactor!$BQ$300), Deflactor!$BP$299, IF(AND(AU137&gt;=Deflactor!$BQ$300,AU137&lt;Deflactor!$BQ$301), Deflactor!$BP$300, IF(AND(AU137&gt;=Deflactor!$BQ$301,AU137&lt;Deflactor!$BQ$302), Deflactor!$BP$301, IF(AND(AU137&gt;=Deflactor!$BQ$302,AU137&lt;Deflactor!$BQ$303), Deflactor!$BP$302, IF(AND(AU137&gt;=Deflactor!$BQ$303,AU137&lt;Deflactor!$BQ$304), Deflactor!$BP$303, IF(AND(AU137&gt;=Deflactor!$BQ$304,AU137&lt;Deflactor!$BQ$305), Deflactor!$BP$304, IF(AND(AU137&gt;=Deflactor!$BQ$305,AU137&lt;Deflactor!$BQ$306), Deflactor!$BP$305, IF(AND(AU137&gt;=Deflactor!$BQ$306,AU137&lt;Deflactor!$BQ$307), Deflactor!$BP$306, Deflactor!$BP$307) ) ) ) ) ) ) ) ) )</f>
        <v>10</v>
      </c>
      <c r="AW137" s="57" t="str">
        <f>+IFERROR(VLOOKUP(AV137,Deflactor!$BP$298:$BU$307,6,0),"")</f>
        <v>100 millones USD y mas</v>
      </c>
    </row>
    <row r="138" spans="1:49" x14ac:dyDescent="0.3">
      <c r="A138" s="3">
        <v>2014</v>
      </c>
      <c r="B138" s="3" t="s">
        <v>196</v>
      </c>
      <c r="C138" s="3" t="s">
        <v>7</v>
      </c>
      <c r="D138" s="3" t="s">
        <v>36</v>
      </c>
      <c r="E138" s="3" t="s">
        <v>81</v>
      </c>
      <c r="F138" s="3" t="s">
        <v>194</v>
      </c>
      <c r="G138" s="3" t="s">
        <v>623</v>
      </c>
      <c r="H138" s="13">
        <v>1964</v>
      </c>
      <c r="I138" s="13" t="s">
        <v>623</v>
      </c>
      <c r="J138" s="10">
        <f t="shared" si="6"/>
        <v>11549000000</v>
      </c>
      <c r="K138" s="3"/>
      <c r="L138" s="3" t="s">
        <v>1393</v>
      </c>
      <c r="M138" s="3" t="s">
        <v>1394</v>
      </c>
      <c r="N138" s="3" t="s">
        <v>1395</v>
      </c>
      <c r="O138" s="3"/>
      <c r="P138" s="3"/>
      <c r="Q138" s="3"/>
      <c r="R138" s="3" t="s">
        <v>1396</v>
      </c>
      <c r="S138" s="3" t="s">
        <v>1397</v>
      </c>
      <c r="T138" s="3" t="s">
        <v>1398</v>
      </c>
      <c r="U138" s="3"/>
      <c r="V138" s="3"/>
      <c r="W138" s="10">
        <f>IF( J138="s.i", "s.i", IF(ISBLANK(J138),"Actualizando información",IFERROR(J138 / VLOOKUP(A138,Deflactor!$G$3:$H$64,2,0),"Revisar error" )))</f>
        <v>10904917507.625839</v>
      </c>
      <c r="AR138" s="34">
        <f xml:space="preserve"> 20246240 * 1000</f>
        <v>20246240000</v>
      </c>
      <c r="AT138" s="46">
        <f t="shared" si="5"/>
        <v>20246240000</v>
      </c>
      <c r="AU138" s="54">
        <f xml:space="preserve"> IFERROR(ROUND(AT138 / VLOOKUP(A138,Tabla1[#All],2,0),0),"s.i")</f>
        <v>35519351</v>
      </c>
      <c r="AV138" s="33">
        <f xml:space="preserve"> IF(AU138="s.i", "s.i", IF(AND(AU138&gt;=Deflactor!$BQ$298,AU138&lt;Deflactor!$BQ$299), Deflactor!$BP$298, IF(AND(AU138&gt;=Deflactor!$BQ$299,AU138&lt;Deflactor!$BQ$300), Deflactor!$BP$299, IF(AND(AU138&gt;=Deflactor!$BQ$300,AU138&lt;Deflactor!$BQ$301), Deflactor!$BP$300, IF(AND(AU138&gt;=Deflactor!$BQ$301,AU138&lt;Deflactor!$BQ$302), Deflactor!$BP$301, IF(AND(AU138&gt;=Deflactor!$BQ$302,AU138&lt;Deflactor!$BQ$303), Deflactor!$BP$302, IF(AND(AU138&gt;=Deflactor!$BQ$303,AU138&lt;Deflactor!$BQ$304), Deflactor!$BP$303, IF(AND(AU138&gt;=Deflactor!$BQ$304,AU138&lt;Deflactor!$BQ$305), Deflactor!$BP$304, IF(AND(AU138&gt;=Deflactor!$BQ$305,AU138&lt;Deflactor!$BQ$306), Deflactor!$BP$305, IF(AND(AU138&gt;=Deflactor!$BQ$306,AU138&lt;Deflactor!$BQ$307), Deflactor!$BP$306, Deflactor!$BP$307) ) ) ) ) ) ) ) ) )</f>
        <v>8</v>
      </c>
      <c r="AW138" s="57" t="str">
        <f>+IFERROR(VLOOKUP(AV138,Deflactor!$BP$298:$BU$307,6,0),"")</f>
        <v>30 a 50 millones USD</v>
      </c>
    </row>
    <row r="139" spans="1:49" x14ac:dyDescent="0.3">
      <c r="A139" s="3">
        <v>2014</v>
      </c>
      <c r="B139" s="3" t="s">
        <v>197</v>
      </c>
      <c r="C139" s="3" t="s">
        <v>7</v>
      </c>
      <c r="D139" s="3" t="s">
        <v>36</v>
      </c>
      <c r="E139" s="3" t="s">
        <v>81</v>
      </c>
      <c r="F139" s="3" t="s">
        <v>95</v>
      </c>
      <c r="G139" s="3" t="s">
        <v>623</v>
      </c>
      <c r="H139" s="13">
        <v>1964</v>
      </c>
      <c r="I139" s="13" t="s">
        <v>623</v>
      </c>
      <c r="J139" s="10">
        <f t="shared" si="6"/>
        <v>11549000000</v>
      </c>
      <c r="K139" s="3"/>
      <c r="L139" s="3" t="s">
        <v>1393</v>
      </c>
      <c r="M139" s="3" t="s">
        <v>1394</v>
      </c>
      <c r="N139" s="3" t="s">
        <v>1395</v>
      </c>
      <c r="O139" s="3"/>
      <c r="P139" s="3"/>
      <c r="Q139" s="3"/>
      <c r="R139" s="3" t="s">
        <v>1396</v>
      </c>
      <c r="S139" s="3" t="s">
        <v>1397</v>
      </c>
      <c r="T139" s="3" t="s">
        <v>1398</v>
      </c>
      <c r="U139" s="3"/>
      <c r="V139" s="3" t="s">
        <v>1216</v>
      </c>
      <c r="W139" s="10">
        <f>IF( J139="s.i", "s.i", IF(ISBLANK(J139),"Actualizando información",IFERROR(J139 / VLOOKUP(A139,Deflactor!$G$3:$H$64,2,0),"Revisar error" )))</f>
        <v>10904917507.625839</v>
      </c>
      <c r="AR139" s="34">
        <f xml:space="preserve"> 314898 * 1000</f>
        <v>314898000</v>
      </c>
      <c r="AT139" s="46">
        <f t="shared" si="5"/>
        <v>314898000</v>
      </c>
      <c r="AU139" s="54">
        <f xml:space="preserve"> IFERROR(ROUND(AT139 / VLOOKUP(A139,Tabla1[#All],2,0),0),"s.i")</f>
        <v>552447</v>
      </c>
      <c r="AV139" s="33">
        <f xml:space="preserve"> IF(AU139="s.i", "s.i", IF(AND(AU139&gt;=Deflactor!$BQ$298,AU139&lt;Deflactor!$BQ$299), Deflactor!$BP$298, IF(AND(AU139&gt;=Deflactor!$BQ$299,AU139&lt;Deflactor!$BQ$300), Deflactor!$BP$299, IF(AND(AU139&gt;=Deflactor!$BQ$300,AU139&lt;Deflactor!$BQ$301), Deflactor!$BP$300, IF(AND(AU139&gt;=Deflactor!$BQ$301,AU139&lt;Deflactor!$BQ$302), Deflactor!$BP$301, IF(AND(AU139&gt;=Deflactor!$BQ$302,AU139&lt;Deflactor!$BQ$303), Deflactor!$BP$302, IF(AND(AU139&gt;=Deflactor!$BQ$303,AU139&lt;Deflactor!$BQ$304), Deflactor!$BP$303, IF(AND(AU139&gt;=Deflactor!$BQ$304,AU139&lt;Deflactor!$BQ$305), Deflactor!$BP$304, IF(AND(AU139&gt;=Deflactor!$BQ$305,AU139&lt;Deflactor!$BQ$306), Deflactor!$BP$305, IF(AND(AU139&gt;=Deflactor!$BQ$306,AU139&lt;Deflactor!$BQ$307), Deflactor!$BP$306, Deflactor!$BP$307) ) ) ) ) ) ) ) ) )</f>
        <v>1</v>
      </c>
      <c r="AW139" s="57" t="str">
        <f>+IFERROR(VLOOKUP(AV139,Deflactor!$BP$298:$BU$307,6,0),"")</f>
        <v>2 millones USD y menos</v>
      </c>
    </row>
    <row r="140" spans="1:49" x14ac:dyDescent="0.3">
      <c r="A140" s="3">
        <v>2014</v>
      </c>
      <c r="B140" s="3" t="s">
        <v>205</v>
      </c>
      <c r="C140" s="3" t="s">
        <v>7</v>
      </c>
      <c r="D140" s="3" t="s">
        <v>36</v>
      </c>
      <c r="E140" s="3" t="s">
        <v>81</v>
      </c>
      <c r="F140" s="3" t="s">
        <v>89</v>
      </c>
      <c r="G140" s="3" t="s">
        <v>623</v>
      </c>
      <c r="H140" s="13">
        <v>1964</v>
      </c>
      <c r="I140" s="13" t="s">
        <v>623</v>
      </c>
      <c r="J140" s="10">
        <f t="shared" si="6"/>
        <v>11549000000</v>
      </c>
      <c r="K140" s="3" t="s">
        <v>1787</v>
      </c>
      <c r="L140" s="3" t="s">
        <v>1393</v>
      </c>
      <c r="M140" s="3" t="s">
        <v>1394</v>
      </c>
      <c r="N140" s="3" t="s">
        <v>1395</v>
      </c>
      <c r="O140" s="3"/>
      <c r="P140" s="3"/>
      <c r="Q140" s="3"/>
      <c r="R140" s="3" t="s">
        <v>1396</v>
      </c>
      <c r="S140" s="3" t="s">
        <v>1397</v>
      </c>
      <c r="T140" s="3" t="s">
        <v>1398</v>
      </c>
      <c r="U140" s="3"/>
      <c r="V140" s="3"/>
      <c r="W140" s="10">
        <f>IF( J140="s.i", "s.i", IF(ISBLANK(J140),"Actualizando información",IFERROR(J140 / VLOOKUP(A140,Deflactor!$G$3:$H$64,2,0),"Revisar error" )))</f>
        <v>10904917507.625839</v>
      </c>
      <c r="AR140" s="34"/>
      <c r="AT140" s="46">
        <f>'Notas reunion'!T48</f>
        <v>312243000</v>
      </c>
      <c r="AU140" s="54">
        <f xml:space="preserve"> IFERROR(ROUND(AT140 / VLOOKUP(A140,Tabla1[#All],2,0),0),"s.i")</f>
        <v>547789</v>
      </c>
      <c r="AV140" s="33">
        <f xml:space="preserve"> IF(AU140="s.i", "s.i", IF(AND(AU140&gt;=Deflactor!$BQ$298,AU140&lt;Deflactor!$BQ$299), Deflactor!$BP$298, IF(AND(AU140&gt;=Deflactor!$BQ$299,AU140&lt;Deflactor!$BQ$300), Deflactor!$BP$299, IF(AND(AU140&gt;=Deflactor!$BQ$300,AU140&lt;Deflactor!$BQ$301), Deflactor!$BP$300, IF(AND(AU140&gt;=Deflactor!$BQ$301,AU140&lt;Deflactor!$BQ$302), Deflactor!$BP$301, IF(AND(AU140&gt;=Deflactor!$BQ$302,AU140&lt;Deflactor!$BQ$303), Deflactor!$BP$302, IF(AND(AU140&gt;=Deflactor!$BQ$303,AU140&lt;Deflactor!$BQ$304), Deflactor!$BP$303, IF(AND(AU140&gt;=Deflactor!$BQ$304,AU140&lt;Deflactor!$BQ$305), Deflactor!$BP$304, IF(AND(AU140&gt;=Deflactor!$BQ$305,AU140&lt;Deflactor!$BQ$306), Deflactor!$BP$305, IF(AND(AU140&gt;=Deflactor!$BQ$306,AU140&lt;Deflactor!$BQ$307), Deflactor!$BP$306, Deflactor!$BP$307) ) ) ) ) ) ) ) ) )</f>
        <v>1</v>
      </c>
      <c r="AW140" s="57" t="str">
        <f>+IFERROR(VLOOKUP(AV140,Deflactor!$BP$298:$BU$307,6,0),"")</f>
        <v>2 millones USD y menos</v>
      </c>
    </row>
    <row r="141" spans="1:49" x14ac:dyDescent="0.3">
      <c r="A141" s="3">
        <v>2014</v>
      </c>
      <c r="B141" s="3" t="s">
        <v>206</v>
      </c>
      <c r="C141" s="3" t="s">
        <v>7</v>
      </c>
      <c r="D141" s="3" t="s">
        <v>36</v>
      </c>
      <c r="E141" s="3" t="s">
        <v>81</v>
      </c>
      <c r="F141" s="3" t="s">
        <v>95</v>
      </c>
      <c r="G141" s="3" t="s">
        <v>623</v>
      </c>
      <c r="H141" s="13">
        <v>1964</v>
      </c>
      <c r="I141" s="13" t="s">
        <v>623</v>
      </c>
      <c r="J141" s="10">
        <f t="shared" si="6"/>
        <v>11549000000</v>
      </c>
      <c r="K141" s="3"/>
      <c r="L141" s="3" t="s">
        <v>1393</v>
      </c>
      <c r="M141" s="3" t="s">
        <v>1394</v>
      </c>
      <c r="N141" s="3" t="s">
        <v>1395</v>
      </c>
      <c r="O141" s="3"/>
      <c r="P141" s="3"/>
      <c r="Q141" s="3"/>
      <c r="R141" s="3" t="s">
        <v>1396</v>
      </c>
      <c r="S141" s="3" t="s">
        <v>1397</v>
      </c>
      <c r="T141" s="3" t="s">
        <v>1398</v>
      </c>
      <c r="U141" s="3"/>
      <c r="V141" s="3"/>
      <c r="W141" s="10">
        <f>IF( J141="s.i", "s.i", IF(ISBLANK(J141),"Actualizando información",IFERROR(J141 / VLOOKUP(A141,Deflactor!$G$3:$H$64,2,0),"Revisar error" )))</f>
        <v>10904917507.625839</v>
      </c>
      <c r="AR141" s="10">
        <f xml:space="preserve"> 5960219 * 1000</f>
        <v>5960219000</v>
      </c>
      <c r="AT141" s="46">
        <f t="shared" si="5"/>
        <v>5960219000</v>
      </c>
      <c r="AU141" s="54">
        <f xml:space="preserve"> IFERROR(ROUND(AT141 / VLOOKUP(A141,Tabla1[#All],2,0),0),"s.i")</f>
        <v>10456416</v>
      </c>
      <c r="AV141" s="33">
        <f xml:space="preserve"> IF(AU141="s.i", "s.i", IF(AND(AU141&gt;=Deflactor!$BQ$298,AU141&lt;Deflactor!$BQ$299), Deflactor!$BP$298, IF(AND(AU141&gt;=Deflactor!$BQ$299,AU141&lt;Deflactor!$BQ$300), Deflactor!$BP$299, IF(AND(AU141&gt;=Deflactor!$BQ$300,AU141&lt;Deflactor!$BQ$301), Deflactor!$BP$300, IF(AND(AU141&gt;=Deflactor!$BQ$301,AU141&lt;Deflactor!$BQ$302), Deflactor!$BP$301, IF(AND(AU141&gt;=Deflactor!$BQ$302,AU141&lt;Deflactor!$BQ$303), Deflactor!$BP$302, IF(AND(AU141&gt;=Deflactor!$BQ$303,AU141&lt;Deflactor!$BQ$304), Deflactor!$BP$303, IF(AND(AU141&gt;=Deflactor!$BQ$304,AU141&lt;Deflactor!$BQ$305), Deflactor!$BP$304, IF(AND(AU141&gt;=Deflactor!$BQ$305,AU141&lt;Deflactor!$BQ$306), Deflactor!$BP$305, IF(AND(AU141&gt;=Deflactor!$BQ$306,AU141&lt;Deflactor!$BQ$307), Deflactor!$BP$306, Deflactor!$BP$307) ) ) ) ) ) ) ) ) )</f>
        <v>5</v>
      </c>
      <c r="AW141" s="57" t="str">
        <f>+IFERROR(VLOOKUP(AV141,Deflactor!$BP$298:$BU$307,6,0),"")</f>
        <v>10 a 15 millones USD</v>
      </c>
    </row>
    <row r="142" spans="1:49" x14ac:dyDescent="0.3">
      <c r="A142" s="3">
        <v>2014</v>
      </c>
      <c r="B142" s="3" t="s">
        <v>207</v>
      </c>
      <c r="C142" s="3" t="s">
        <v>7</v>
      </c>
      <c r="D142" s="3" t="s">
        <v>36</v>
      </c>
      <c r="E142" s="3" t="s">
        <v>68</v>
      </c>
      <c r="F142" s="3" t="s">
        <v>95</v>
      </c>
      <c r="G142" s="3" t="s">
        <v>723</v>
      </c>
      <c r="H142" s="12">
        <v>2005</v>
      </c>
      <c r="I142" s="13" t="s">
        <v>623</v>
      </c>
      <c r="J142" s="10">
        <f xml:space="preserve"> 6237.7 * 1000000</f>
        <v>6237700000</v>
      </c>
      <c r="K142" s="3" t="s">
        <v>1650</v>
      </c>
      <c r="L142" s="3" t="s">
        <v>891</v>
      </c>
      <c r="M142" s="3" t="s">
        <v>853</v>
      </c>
      <c r="N142" s="3" t="s">
        <v>854</v>
      </c>
      <c r="O142" s="3" t="s">
        <v>892</v>
      </c>
      <c r="P142" s="3" t="s">
        <v>893</v>
      </c>
      <c r="Q142" s="3" t="s">
        <v>894</v>
      </c>
      <c r="R142" s="11" t="s">
        <v>895</v>
      </c>
      <c r="S142" s="11" t="s">
        <v>896</v>
      </c>
      <c r="T142" s="11" t="s">
        <v>897</v>
      </c>
      <c r="U142" s="3" t="s">
        <v>1141</v>
      </c>
      <c r="V142" s="3"/>
      <c r="W142" s="10">
        <f>IF( J142="s.i", "s.i", IF(ISBLANK(J142),"Actualizando información",IFERROR(J142 / VLOOKUP(A142,Deflactor!$G$3:$H$64,2,0),"Revisar error" )))</f>
        <v>5889826299.8803101</v>
      </c>
      <c r="AR142" s="10">
        <f xml:space="preserve"> 5880004 * 1000</f>
        <v>5880004000</v>
      </c>
      <c r="AT142" s="46">
        <f t="shared" si="5"/>
        <v>5880004000</v>
      </c>
      <c r="AU142" s="54">
        <f xml:space="preserve"> IFERROR(ROUND(AT142 / VLOOKUP(A142,Tabla1[#All],2,0),0),"s.i")</f>
        <v>10315690</v>
      </c>
      <c r="AV142" s="33">
        <f xml:space="preserve"> IF(AU142="s.i", "s.i", IF(AND(AU142&gt;=Deflactor!$BQ$298,AU142&lt;Deflactor!$BQ$299), Deflactor!$BP$298, IF(AND(AU142&gt;=Deflactor!$BQ$299,AU142&lt;Deflactor!$BQ$300), Deflactor!$BP$299, IF(AND(AU142&gt;=Deflactor!$BQ$300,AU142&lt;Deflactor!$BQ$301), Deflactor!$BP$300, IF(AND(AU142&gt;=Deflactor!$BQ$301,AU142&lt;Deflactor!$BQ$302), Deflactor!$BP$301, IF(AND(AU142&gt;=Deflactor!$BQ$302,AU142&lt;Deflactor!$BQ$303), Deflactor!$BP$302, IF(AND(AU142&gt;=Deflactor!$BQ$303,AU142&lt;Deflactor!$BQ$304), Deflactor!$BP$303, IF(AND(AU142&gt;=Deflactor!$BQ$304,AU142&lt;Deflactor!$BQ$305), Deflactor!$BP$304, IF(AND(AU142&gt;=Deflactor!$BQ$305,AU142&lt;Deflactor!$BQ$306), Deflactor!$BP$305, IF(AND(AU142&gt;=Deflactor!$BQ$306,AU142&lt;Deflactor!$BQ$307), Deflactor!$BP$306, Deflactor!$BP$307) ) ) ) ) ) ) ) ) )</f>
        <v>5</v>
      </c>
      <c r="AW142" s="57" t="str">
        <f>+IFERROR(VLOOKUP(AV142,Deflactor!$BP$298:$BU$307,6,0),"")</f>
        <v>10 a 15 millones USD</v>
      </c>
    </row>
    <row r="143" spans="1:49" x14ac:dyDescent="0.3">
      <c r="A143" s="3">
        <v>2014</v>
      </c>
      <c r="B143" s="3" t="s">
        <v>208</v>
      </c>
      <c r="C143" s="3" t="s">
        <v>7</v>
      </c>
      <c r="D143" s="3" t="s">
        <v>40</v>
      </c>
      <c r="E143" s="3" t="s">
        <v>160</v>
      </c>
      <c r="F143" s="3" t="s">
        <v>95</v>
      </c>
      <c r="G143" s="3" t="s">
        <v>723</v>
      </c>
      <c r="H143" s="12">
        <v>1981</v>
      </c>
      <c r="I143" s="13" t="s">
        <v>623</v>
      </c>
      <c r="J143" s="10">
        <f xml:space="preserve"> 34285 * 1000000</f>
        <v>34285000000</v>
      </c>
      <c r="K143" s="3" t="s">
        <v>1831</v>
      </c>
      <c r="L143" s="3" t="s">
        <v>1399</v>
      </c>
      <c r="M143" s="3" t="s">
        <v>1400</v>
      </c>
      <c r="N143" s="3" t="s">
        <v>1401</v>
      </c>
      <c r="O143" s="3" t="s">
        <v>1402</v>
      </c>
      <c r="P143" s="3"/>
      <c r="Q143" s="3"/>
      <c r="R143" s="3" t="s">
        <v>1403</v>
      </c>
      <c r="S143" s="3" t="s">
        <v>1404</v>
      </c>
      <c r="T143" s="3" t="s">
        <v>1405</v>
      </c>
      <c r="U143" s="3"/>
      <c r="V143" s="3"/>
      <c r="W143" s="10">
        <f>IF( J143="s.i", "s.i", IF(ISBLANK(J143),"Actualizando información",IFERROR(J143 / VLOOKUP(A143,Deflactor!$G$3:$H$64,2,0),"Revisar error" )))</f>
        <v>32372941098.705681</v>
      </c>
      <c r="AR143" s="10">
        <f xml:space="preserve"> 34285184 * 1000</f>
        <v>34285184000</v>
      </c>
      <c r="AT143" s="46">
        <f t="shared" si="5"/>
        <v>34285184000</v>
      </c>
      <c r="AU143" s="54">
        <f xml:space="preserve"> IFERROR(ROUND(AT143 / VLOOKUP(A143,Tabla1[#All],2,0),0),"s.i")</f>
        <v>60148823</v>
      </c>
      <c r="AV143" s="33">
        <f xml:space="preserve"> IF(AU143="s.i", "s.i", IF(AND(AU143&gt;=Deflactor!$BQ$298,AU143&lt;Deflactor!$BQ$299), Deflactor!$BP$298, IF(AND(AU143&gt;=Deflactor!$BQ$299,AU143&lt;Deflactor!$BQ$300), Deflactor!$BP$299, IF(AND(AU143&gt;=Deflactor!$BQ$300,AU143&lt;Deflactor!$BQ$301), Deflactor!$BP$300, IF(AND(AU143&gt;=Deflactor!$BQ$301,AU143&lt;Deflactor!$BQ$302), Deflactor!$BP$301, IF(AND(AU143&gt;=Deflactor!$BQ$302,AU143&lt;Deflactor!$BQ$303), Deflactor!$BP$302, IF(AND(AU143&gt;=Deflactor!$BQ$303,AU143&lt;Deflactor!$BQ$304), Deflactor!$BP$303, IF(AND(AU143&gt;=Deflactor!$BQ$304,AU143&lt;Deflactor!$BQ$305), Deflactor!$BP$304, IF(AND(AU143&gt;=Deflactor!$BQ$305,AU143&lt;Deflactor!$BQ$306), Deflactor!$BP$305, IF(AND(AU143&gt;=Deflactor!$BQ$306,AU143&lt;Deflactor!$BQ$307), Deflactor!$BP$306, Deflactor!$BP$307) ) ) ) ) ) ) ) ) )</f>
        <v>9</v>
      </c>
      <c r="AW143" s="57" t="str">
        <f>+IFERROR(VLOOKUP(AV143,Deflactor!$BP$298:$BU$307,6,0),"")</f>
        <v>50 a 100 millones USD</v>
      </c>
    </row>
    <row r="144" spans="1:49" x14ac:dyDescent="0.3">
      <c r="A144" s="3">
        <v>2014</v>
      </c>
      <c r="B144" s="3" t="s">
        <v>198</v>
      </c>
      <c r="C144" s="3" t="s">
        <v>7</v>
      </c>
      <c r="D144" s="3" t="s">
        <v>54</v>
      </c>
      <c r="E144" s="3" t="s">
        <v>55</v>
      </c>
      <c r="F144" s="3" t="s">
        <v>89</v>
      </c>
      <c r="G144" s="3" t="s">
        <v>723</v>
      </c>
      <c r="H144" s="13">
        <v>2008</v>
      </c>
      <c r="I144" s="13" t="s">
        <v>623</v>
      </c>
      <c r="J144" s="10">
        <f xml:space="preserve"> 46130757 * 1000000</f>
        <v>46130757000000</v>
      </c>
      <c r="K144" s="3" t="s">
        <v>1659</v>
      </c>
      <c r="L144" s="3" t="s">
        <v>1406</v>
      </c>
      <c r="M144" s="3" t="s">
        <v>1407</v>
      </c>
      <c r="N144" s="3"/>
      <c r="O144" s="3"/>
      <c r="P144" s="3"/>
      <c r="Q144" s="3"/>
      <c r="R144" s="3" t="s">
        <v>1408</v>
      </c>
      <c r="S144" s="3" t="s">
        <v>1409</v>
      </c>
      <c r="T144" s="3"/>
      <c r="U144" s="3"/>
      <c r="V144" s="3"/>
      <c r="W144" s="10">
        <f>IF( J144="s.i", "s.i", IF(ISBLANK(J144),"Actualizando información",IFERROR(J144 / VLOOKUP(A144,Deflactor!$G$3:$H$64,2,0),"Revisar error" )))</f>
        <v>43558065603024.781</v>
      </c>
      <c r="AR144" s="34"/>
      <c r="AT144" s="46">
        <f>'Notas reunion'!T49</f>
        <v>44468210000</v>
      </c>
      <c r="AU144" s="54">
        <f xml:space="preserve"> IFERROR(ROUND(AT144 / VLOOKUP(A144,Tabla1[#All],2,0),0),"s.i")</f>
        <v>78013596</v>
      </c>
      <c r="AV144" s="33">
        <f xml:space="preserve"> IF(AU144="s.i", "s.i", IF(AND(AU144&gt;=Deflactor!$BQ$298,AU144&lt;Deflactor!$BQ$299), Deflactor!$BP$298, IF(AND(AU144&gt;=Deflactor!$BQ$299,AU144&lt;Deflactor!$BQ$300), Deflactor!$BP$299, IF(AND(AU144&gt;=Deflactor!$BQ$300,AU144&lt;Deflactor!$BQ$301), Deflactor!$BP$300, IF(AND(AU144&gt;=Deflactor!$BQ$301,AU144&lt;Deflactor!$BQ$302), Deflactor!$BP$301, IF(AND(AU144&gt;=Deflactor!$BQ$302,AU144&lt;Deflactor!$BQ$303), Deflactor!$BP$302, IF(AND(AU144&gt;=Deflactor!$BQ$303,AU144&lt;Deflactor!$BQ$304), Deflactor!$BP$303, IF(AND(AU144&gt;=Deflactor!$BQ$304,AU144&lt;Deflactor!$BQ$305), Deflactor!$BP$304, IF(AND(AU144&gt;=Deflactor!$BQ$305,AU144&lt;Deflactor!$BQ$306), Deflactor!$BP$305, IF(AND(AU144&gt;=Deflactor!$BQ$306,AU144&lt;Deflactor!$BQ$307), Deflactor!$BP$306, Deflactor!$BP$307) ) ) ) ) ) ) ) ) )</f>
        <v>9</v>
      </c>
      <c r="AW144" s="57" t="str">
        <f>+IFERROR(VLOOKUP(AV144,Deflactor!$BP$298:$BU$307,6,0),"")</f>
        <v>50 a 100 millones USD</v>
      </c>
    </row>
    <row r="145" spans="1:49" x14ac:dyDescent="0.3">
      <c r="A145" s="3">
        <v>2014</v>
      </c>
      <c r="B145" s="3" t="s">
        <v>199</v>
      </c>
      <c r="C145" s="3" t="s">
        <v>7</v>
      </c>
      <c r="D145" s="3" t="s">
        <v>32</v>
      </c>
      <c r="E145" s="3" t="s">
        <v>33</v>
      </c>
      <c r="F145" s="3" t="s">
        <v>89</v>
      </c>
      <c r="G145" s="3" t="s">
        <v>723</v>
      </c>
      <c r="H145" s="13">
        <v>2011</v>
      </c>
      <c r="I145" s="13" t="s">
        <v>623</v>
      </c>
      <c r="J145" s="10">
        <f xml:space="preserve"> 215848343 * 1000</f>
        <v>215848343000</v>
      </c>
      <c r="K145" s="3" t="s">
        <v>1653</v>
      </c>
      <c r="L145" s="3" t="s">
        <v>1410</v>
      </c>
      <c r="M145" s="3" t="s">
        <v>1411</v>
      </c>
      <c r="N145" s="3" t="s">
        <v>1412</v>
      </c>
      <c r="O145" s="3"/>
      <c r="P145" s="3"/>
      <c r="Q145" s="3"/>
      <c r="R145" s="3" t="s">
        <v>1413</v>
      </c>
      <c r="S145" s="3" t="s">
        <v>1414</v>
      </c>
      <c r="T145" s="3"/>
      <c r="U145" s="3" t="s">
        <v>1197</v>
      </c>
      <c r="V145" s="3"/>
      <c r="W145" s="10">
        <f>IF( J145="s.i", "s.i", IF(ISBLANK(J145),"Actualizando información",IFERROR(J145 / VLOOKUP(A145,Deflactor!$G$3:$H$64,2,0),"Revisar error" )))</f>
        <v>203810578800.99811</v>
      </c>
      <c r="AR145" s="34">
        <f xml:space="preserve"> (1579222 + 3838249 + 3098960 + 10958085 + 16878226 + 13818608 + 19349283 + 22186502 + 14847326 + 11585787 + 2293046 + 3914402 + 87911471 + 3954004 + 845955) * 1000</f>
        <v>217059126000</v>
      </c>
      <c r="AT145" s="46">
        <f t="shared" si="5"/>
        <v>217059126000</v>
      </c>
      <c r="AU145" s="54">
        <f xml:space="preserve"> IFERROR(ROUND(AT145 / VLOOKUP(A145,Tabla1[#All],2,0),0),"s.i")</f>
        <v>380801540</v>
      </c>
      <c r="AV145" s="33">
        <f xml:space="preserve"> IF(AU145="s.i", "s.i", IF(AND(AU145&gt;=Deflactor!$BQ$298,AU145&lt;Deflactor!$BQ$299), Deflactor!$BP$298, IF(AND(AU145&gt;=Deflactor!$BQ$299,AU145&lt;Deflactor!$BQ$300), Deflactor!$BP$299, IF(AND(AU145&gt;=Deflactor!$BQ$300,AU145&lt;Deflactor!$BQ$301), Deflactor!$BP$300, IF(AND(AU145&gt;=Deflactor!$BQ$301,AU145&lt;Deflactor!$BQ$302), Deflactor!$BP$301, IF(AND(AU145&gt;=Deflactor!$BQ$302,AU145&lt;Deflactor!$BQ$303), Deflactor!$BP$302, IF(AND(AU145&gt;=Deflactor!$BQ$303,AU145&lt;Deflactor!$BQ$304), Deflactor!$BP$303, IF(AND(AU145&gt;=Deflactor!$BQ$304,AU145&lt;Deflactor!$BQ$305), Deflactor!$BP$304, IF(AND(AU145&gt;=Deflactor!$BQ$305,AU145&lt;Deflactor!$BQ$306), Deflactor!$BP$305, IF(AND(AU145&gt;=Deflactor!$BQ$306,AU145&lt;Deflactor!$BQ$307), Deflactor!$BP$306, Deflactor!$BP$307) ) ) ) ) ) ) ) ) )</f>
        <v>10</v>
      </c>
      <c r="AW145" s="57" t="str">
        <f>+IFERROR(VLOOKUP(AV145,Deflactor!$BP$298:$BU$307,6,0),"")</f>
        <v>100 millones USD y mas</v>
      </c>
    </row>
    <row r="146" spans="1:49" x14ac:dyDescent="0.3">
      <c r="A146" s="3">
        <v>2014</v>
      </c>
      <c r="B146" s="3" t="s">
        <v>200</v>
      </c>
      <c r="C146" s="3" t="s">
        <v>7</v>
      </c>
      <c r="D146" s="3" t="s">
        <v>32</v>
      </c>
      <c r="E146" s="3" t="s">
        <v>33</v>
      </c>
      <c r="F146" s="3" t="s">
        <v>89</v>
      </c>
      <c r="G146" s="3" t="s">
        <v>623</v>
      </c>
      <c r="H146" s="13">
        <v>2002</v>
      </c>
      <c r="I146" s="13" t="s">
        <v>623</v>
      </c>
      <c r="J146" s="10">
        <f xml:space="preserve"> 3040838 * 1000</f>
        <v>3040838000</v>
      </c>
      <c r="K146" s="3"/>
      <c r="L146" s="3" t="s">
        <v>1415</v>
      </c>
      <c r="M146" s="3" t="s">
        <v>1416</v>
      </c>
      <c r="N146" s="3"/>
      <c r="O146" s="3"/>
      <c r="P146" s="3"/>
      <c r="Q146" s="3"/>
      <c r="R146" s="3" t="s">
        <v>1413</v>
      </c>
      <c r="S146" s="3" t="s">
        <v>1414</v>
      </c>
      <c r="T146" s="3"/>
      <c r="U146" s="3"/>
      <c r="V146" s="3"/>
      <c r="W146" s="10">
        <f>IF( J146="s.i", "s.i", IF(ISBLANK(J146),"Actualizando información",IFERROR(J146 / VLOOKUP(A146,Deflactor!$G$3:$H$64,2,0),"Revisar error" )))</f>
        <v>2871251843.8006701</v>
      </c>
      <c r="AR146" s="34">
        <f xml:space="preserve"> 3040838 * 1000</f>
        <v>3040838000</v>
      </c>
      <c r="AT146" s="46">
        <f t="shared" si="5"/>
        <v>3040838000</v>
      </c>
      <c r="AU146" s="54">
        <f xml:space="preserve"> IFERROR(ROUND(AT146 / VLOOKUP(A146,Tabla1[#All],2,0),0),"s.i")</f>
        <v>5334748</v>
      </c>
      <c r="AV146" s="33">
        <f xml:space="preserve"> IF(AU146="s.i", "s.i", IF(AND(AU146&gt;=Deflactor!$BQ$298,AU146&lt;Deflactor!$BQ$299), Deflactor!$BP$298, IF(AND(AU146&gt;=Deflactor!$BQ$299,AU146&lt;Deflactor!$BQ$300), Deflactor!$BP$299, IF(AND(AU146&gt;=Deflactor!$BQ$300,AU146&lt;Deflactor!$BQ$301), Deflactor!$BP$300, IF(AND(AU146&gt;=Deflactor!$BQ$301,AU146&lt;Deflactor!$BQ$302), Deflactor!$BP$301, IF(AND(AU146&gt;=Deflactor!$BQ$302,AU146&lt;Deflactor!$BQ$303), Deflactor!$BP$302, IF(AND(AU146&gt;=Deflactor!$BQ$303,AU146&lt;Deflactor!$BQ$304), Deflactor!$BP$303, IF(AND(AU146&gt;=Deflactor!$BQ$304,AU146&lt;Deflactor!$BQ$305), Deflactor!$BP$304, IF(AND(AU146&gt;=Deflactor!$BQ$305,AU146&lt;Deflactor!$BQ$306), Deflactor!$BP$305, IF(AND(AU146&gt;=Deflactor!$BQ$306,AU146&lt;Deflactor!$BQ$307), Deflactor!$BP$306, Deflactor!$BP$307) ) ) ) ) ) ) ) ) )</f>
        <v>3</v>
      </c>
      <c r="AW146" s="57" t="str">
        <f>+IFERROR(VLOOKUP(AV146,Deflactor!$BP$298:$BU$307,6,0),"")</f>
        <v>5 a 7,5 millones USD</v>
      </c>
    </row>
    <row r="147" spans="1:49" x14ac:dyDescent="0.3">
      <c r="A147" s="3">
        <v>2014</v>
      </c>
      <c r="B147" s="3" t="s">
        <v>204</v>
      </c>
      <c r="C147" s="3" t="s">
        <v>7</v>
      </c>
      <c r="D147" s="3" t="s">
        <v>12</v>
      </c>
      <c r="E147" s="3" t="s">
        <v>105</v>
      </c>
      <c r="F147" s="3" t="s">
        <v>95</v>
      </c>
      <c r="G147" s="3" t="s">
        <v>723</v>
      </c>
      <c r="H147" s="13">
        <v>2010</v>
      </c>
      <c r="I147" s="13" t="s">
        <v>623</v>
      </c>
      <c r="J147" s="10" t="s">
        <v>623</v>
      </c>
      <c r="K147" s="3"/>
      <c r="L147" s="3" t="s">
        <v>1417</v>
      </c>
      <c r="M147" s="3" t="s">
        <v>1418</v>
      </c>
      <c r="N147" s="3" t="s">
        <v>1419</v>
      </c>
      <c r="O147" s="3" t="s">
        <v>1420</v>
      </c>
      <c r="P147" s="3" t="s">
        <v>1421</v>
      </c>
      <c r="Q147" s="3"/>
      <c r="R147" s="3" t="s">
        <v>1422</v>
      </c>
      <c r="S147" s="3" t="s">
        <v>1423</v>
      </c>
      <c r="T147" s="3" t="s">
        <v>1424</v>
      </c>
      <c r="U147" s="3"/>
      <c r="V147" s="3"/>
      <c r="W147" s="10" t="str">
        <f>IF( J147="s.i", "s.i", IF(ISBLANK(J147),"Actualizando información",IFERROR(J147 / VLOOKUP(A147,Deflactor!$G$3:$H$64,2,0),"Revisar error" )))</f>
        <v>s.i</v>
      </c>
      <c r="AR147" s="34">
        <f xml:space="preserve"> 5863206 * 1000</f>
        <v>5863206000</v>
      </c>
      <c r="AT147" s="46">
        <f t="shared" si="5"/>
        <v>5863206000</v>
      </c>
      <c r="AU147" s="54">
        <f xml:space="preserve"> IFERROR(ROUND(AT147 / VLOOKUP(A147,Tabla1[#All],2,0),0),"s.i")</f>
        <v>10286220</v>
      </c>
      <c r="AV147" s="33">
        <f xml:space="preserve"> IF(AU147="s.i", "s.i", IF(AND(AU147&gt;=Deflactor!$BQ$298,AU147&lt;Deflactor!$BQ$299), Deflactor!$BP$298, IF(AND(AU147&gt;=Deflactor!$BQ$299,AU147&lt;Deflactor!$BQ$300), Deflactor!$BP$299, IF(AND(AU147&gt;=Deflactor!$BQ$300,AU147&lt;Deflactor!$BQ$301), Deflactor!$BP$300, IF(AND(AU147&gt;=Deflactor!$BQ$301,AU147&lt;Deflactor!$BQ$302), Deflactor!$BP$301, IF(AND(AU147&gt;=Deflactor!$BQ$302,AU147&lt;Deflactor!$BQ$303), Deflactor!$BP$302, IF(AND(AU147&gt;=Deflactor!$BQ$303,AU147&lt;Deflactor!$BQ$304), Deflactor!$BP$303, IF(AND(AU147&gt;=Deflactor!$BQ$304,AU147&lt;Deflactor!$BQ$305), Deflactor!$BP$304, IF(AND(AU147&gt;=Deflactor!$BQ$305,AU147&lt;Deflactor!$BQ$306), Deflactor!$BP$305, IF(AND(AU147&gt;=Deflactor!$BQ$306,AU147&lt;Deflactor!$BQ$307), Deflactor!$BP$306, Deflactor!$BP$307) ) ) ) ) ) ) ) ) )</f>
        <v>5</v>
      </c>
      <c r="AW147" s="57" t="str">
        <f>+IFERROR(VLOOKUP(AV147,Deflactor!$BP$298:$BU$307,6,0),"")</f>
        <v>10 a 15 millones USD</v>
      </c>
    </row>
    <row r="148" spans="1:49" x14ac:dyDescent="0.3">
      <c r="A148" s="3">
        <v>2014</v>
      </c>
      <c r="B148" s="3" t="s">
        <v>202</v>
      </c>
      <c r="C148" s="3" t="s">
        <v>92</v>
      </c>
      <c r="D148" s="3" t="s">
        <v>64</v>
      </c>
      <c r="E148" s="3" t="s">
        <v>203</v>
      </c>
      <c r="F148" s="3" t="s">
        <v>95</v>
      </c>
      <c r="G148" s="3" t="s">
        <v>723</v>
      </c>
      <c r="H148" s="13">
        <v>1981</v>
      </c>
      <c r="I148" s="13" t="s">
        <v>623</v>
      </c>
      <c r="J148" s="10">
        <f xml:space="preserve"> 275.3 * 1000000000</f>
        <v>275300000000</v>
      </c>
      <c r="K148" s="3"/>
      <c r="L148" s="3" t="s">
        <v>1425</v>
      </c>
      <c r="M148" s="3" t="s">
        <v>1426</v>
      </c>
      <c r="N148" s="3"/>
      <c r="O148" s="3"/>
      <c r="P148" s="3"/>
      <c r="Q148" s="3"/>
      <c r="R148" s="3" t="s">
        <v>1427</v>
      </c>
      <c r="S148" s="3" t="s">
        <v>1428</v>
      </c>
      <c r="T148" s="3"/>
      <c r="U148" s="3"/>
      <c r="V148" s="3"/>
      <c r="W148" s="10">
        <f>IF( J148="s.i", "s.i", IF(ISBLANK(J148),"Actualizando información",IFERROR(J148 / VLOOKUP(A148,Deflactor!$G$3:$H$64,2,0),"Revisar error" )))</f>
        <v>259946643852.22906</v>
      </c>
      <c r="AR148" s="10">
        <f xml:space="preserve"> 197941838 * 1000</f>
        <v>197941838000</v>
      </c>
      <c r="AT148" s="46">
        <f t="shared" si="5"/>
        <v>197941838000</v>
      </c>
      <c r="AU148" s="54">
        <f xml:space="preserve"> IFERROR(ROUND(AT148 / VLOOKUP(A148,Tabla1[#All],2,0),0),"s.i")</f>
        <v>347262786</v>
      </c>
      <c r="AV148" s="33">
        <f xml:space="preserve"> IF(AU148="s.i", "s.i", IF(AND(AU148&gt;=Deflactor!$BQ$298,AU148&lt;Deflactor!$BQ$299), Deflactor!$BP$298, IF(AND(AU148&gt;=Deflactor!$BQ$299,AU148&lt;Deflactor!$BQ$300), Deflactor!$BP$299, IF(AND(AU148&gt;=Deflactor!$BQ$300,AU148&lt;Deflactor!$BQ$301), Deflactor!$BP$300, IF(AND(AU148&gt;=Deflactor!$BQ$301,AU148&lt;Deflactor!$BQ$302), Deflactor!$BP$301, IF(AND(AU148&gt;=Deflactor!$BQ$302,AU148&lt;Deflactor!$BQ$303), Deflactor!$BP$302, IF(AND(AU148&gt;=Deflactor!$BQ$303,AU148&lt;Deflactor!$BQ$304), Deflactor!$BP$303, IF(AND(AU148&gt;=Deflactor!$BQ$304,AU148&lt;Deflactor!$BQ$305), Deflactor!$BP$304, IF(AND(AU148&gt;=Deflactor!$BQ$305,AU148&lt;Deflactor!$BQ$306), Deflactor!$BP$305, IF(AND(AU148&gt;=Deflactor!$BQ$306,AU148&lt;Deflactor!$BQ$307), Deflactor!$BP$306, Deflactor!$BP$307) ) ) ) ) ) ) ) ) )</f>
        <v>10</v>
      </c>
      <c r="AW148" s="57" t="str">
        <f>+IFERROR(VLOOKUP(AV148,Deflactor!$BP$298:$BU$307,6,0),"")</f>
        <v>100 millones USD y mas</v>
      </c>
    </row>
    <row r="149" spans="1:49" x14ac:dyDescent="0.3">
      <c r="A149" s="3">
        <v>2014</v>
      </c>
      <c r="B149" s="3" t="s">
        <v>209</v>
      </c>
      <c r="C149" s="3" t="s">
        <v>7</v>
      </c>
      <c r="D149" s="3" t="s">
        <v>48</v>
      </c>
      <c r="E149" s="3" t="s">
        <v>49</v>
      </c>
      <c r="F149" s="3" t="s">
        <v>89</v>
      </c>
      <c r="G149" s="3" t="s">
        <v>623</v>
      </c>
      <c r="H149" s="12">
        <v>1993</v>
      </c>
      <c r="I149" s="13" t="s">
        <v>623</v>
      </c>
      <c r="J149" s="10">
        <f xml:space="preserve"> 4013 * 1000000</f>
        <v>4013000000</v>
      </c>
      <c r="K149" s="3"/>
      <c r="L149" s="3" t="s">
        <v>1429</v>
      </c>
      <c r="M149" s="3" t="s">
        <v>1430</v>
      </c>
      <c r="N149" s="3" t="s">
        <v>1431</v>
      </c>
      <c r="O149" s="3" t="s">
        <v>1432</v>
      </c>
      <c r="P149" s="3"/>
      <c r="Q149" s="3"/>
      <c r="R149" s="3" t="s">
        <v>1433</v>
      </c>
      <c r="S149" s="3" t="s">
        <v>1434</v>
      </c>
      <c r="T149" s="3"/>
      <c r="U149" s="3"/>
      <c r="V149" s="3"/>
      <c r="W149" s="10">
        <f>IF( J149="s.i", "s.i", IF(ISBLANK(J149),"Actualizando información",IFERROR(J149 / VLOOKUP(A149,Deflactor!$G$3:$H$64,2,0),"Revisar error" )))</f>
        <v>3789196809.9491291</v>
      </c>
      <c r="AR149" s="10">
        <f xml:space="preserve"> 4012788 * 1000</f>
        <v>4012788000</v>
      </c>
      <c r="AT149" s="46">
        <f t="shared" si="5"/>
        <v>4012788000</v>
      </c>
      <c r="AU149" s="54">
        <f xml:space="preserve"> IFERROR(ROUND(AT149 / VLOOKUP(A149,Tabla1[#All],2,0),0),"s.i")</f>
        <v>7039906</v>
      </c>
      <c r="AV149" s="33">
        <f xml:space="preserve"> IF(AU149="s.i", "s.i", IF(AND(AU149&gt;=Deflactor!$BQ$298,AU149&lt;Deflactor!$BQ$299), Deflactor!$BP$298, IF(AND(AU149&gt;=Deflactor!$BQ$299,AU149&lt;Deflactor!$BQ$300), Deflactor!$BP$299, IF(AND(AU149&gt;=Deflactor!$BQ$300,AU149&lt;Deflactor!$BQ$301), Deflactor!$BP$300, IF(AND(AU149&gt;=Deflactor!$BQ$301,AU149&lt;Deflactor!$BQ$302), Deflactor!$BP$301, IF(AND(AU149&gt;=Deflactor!$BQ$302,AU149&lt;Deflactor!$BQ$303), Deflactor!$BP$302, IF(AND(AU149&gt;=Deflactor!$BQ$303,AU149&lt;Deflactor!$BQ$304), Deflactor!$BP$303, IF(AND(AU149&gt;=Deflactor!$BQ$304,AU149&lt;Deflactor!$BQ$305), Deflactor!$BP$304, IF(AND(AU149&gt;=Deflactor!$BQ$305,AU149&lt;Deflactor!$BQ$306), Deflactor!$BP$305, IF(AND(AU149&gt;=Deflactor!$BQ$306,AU149&lt;Deflactor!$BQ$307), Deflactor!$BP$306, Deflactor!$BP$307) ) ) ) ) ) ) ) ) )</f>
        <v>3</v>
      </c>
      <c r="AW149" s="57" t="str">
        <f>+IFERROR(VLOOKUP(AV149,Deflactor!$BP$298:$BU$307,6,0),"")</f>
        <v>5 a 7,5 millones USD</v>
      </c>
    </row>
    <row r="150" spans="1:49" x14ac:dyDescent="0.3">
      <c r="A150" s="3">
        <v>2014</v>
      </c>
      <c r="B150" s="3" t="s">
        <v>210</v>
      </c>
      <c r="C150" s="3" t="s">
        <v>7</v>
      </c>
      <c r="D150" s="3" t="s">
        <v>48</v>
      </c>
      <c r="E150" s="3" t="s">
        <v>88</v>
      </c>
      <c r="F150" s="3" t="s">
        <v>89</v>
      </c>
      <c r="G150" s="3" t="s">
        <v>903</v>
      </c>
      <c r="H150" s="13">
        <v>2001</v>
      </c>
      <c r="I150" s="13" t="s">
        <v>623</v>
      </c>
      <c r="J150" s="10">
        <f xml:space="preserve"> 13838 * 1000000</f>
        <v>13838000000</v>
      </c>
      <c r="K150" s="3" t="s">
        <v>1667</v>
      </c>
      <c r="L150" s="3" t="s">
        <v>1435</v>
      </c>
      <c r="M150" s="3" t="s">
        <v>1436</v>
      </c>
      <c r="N150" s="3" t="s">
        <v>1437</v>
      </c>
      <c r="O150" s="3" t="s">
        <v>1438</v>
      </c>
      <c r="P150" s="3" t="s">
        <v>1439</v>
      </c>
      <c r="Q150" s="3"/>
      <c r="R150" s="3" t="s">
        <v>1440</v>
      </c>
      <c r="S150" s="3" t="s">
        <v>1441</v>
      </c>
      <c r="T150" s="3"/>
      <c r="U150" s="3"/>
      <c r="V150" s="3"/>
      <c r="W150" s="10">
        <f>IF( J150="s.i", "s.i", IF(ISBLANK(J150),"Actualizando información",IFERROR(J150 / VLOOKUP(A150,Deflactor!$G$3:$H$64,2,0),"Revisar error" )))</f>
        <v>13066261015.717928</v>
      </c>
      <c r="AR150" s="10">
        <f xml:space="preserve"> 13838050 * 1000</f>
        <v>13838050000</v>
      </c>
      <c r="AT150" s="46">
        <f t="shared" si="5"/>
        <v>13838050000</v>
      </c>
      <c r="AU150" s="54">
        <f xml:space="preserve"> IFERROR(ROUND(AT150 / VLOOKUP(A150,Tabla1[#All],2,0),0),"s.i")</f>
        <v>24277029</v>
      </c>
      <c r="AV150" s="33">
        <f xml:space="preserve"> IF(AU150="s.i", "s.i", IF(AND(AU150&gt;=Deflactor!$BQ$298,AU150&lt;Deflactor!$BQ$299), Deflactor!$BP$298, IF(AND(AU150&gt;=Deflactor!$BQ$299,AU150&lt;Deflactor!$BQ$300), Deflactor!$BP$299, IF(AND(AU150&gt;=Deflactor!$BQ$300,AU150&lt;Deflactor!$BQ$301), Deflactor!$BP$300, IF(AND(AU150&gt;=Deflactor!$BQ$301,AU150&lt;Deflactor!$BQ$302), Deflactor!$BP$301, IF(AND(AU150&gt;=Deflactor!$BQ$302,AU150&lt;Deflactor!$BQ$303), Deflactor!$BP$302, IF(AND(AU150&gt;=Deflactor!$BQ$303,AU150&lt;Deflactor!$BQ$304), Deflactor!$BP$303, IF(AND(AU150&gt;=Deflactor!$BQ$304,AU150&lt;Deflactor!$BQ$305), Deflactor!$BP$304, IF(AND(AU150&gt;=Deflactor!$BQ$305,AU150&lt;Deflactor!$BQ$306), Deflactor!$BP$305, IF(AND(AU150&gt;=Deflactor!$BQ$306,AU150&lt;Deflactor!$BQ$307), Deflactor!$BP$306, Deflactor!$BP$307) ) ) ) ) ) ) ) ) )</f>
        <v>7</v>
      </c>
      <c r="AW150" s="57" t="str">
        <f>+IFERROR(VLOOKUP(AV150,Deflactor!$BP$298:$BU$307,6,0),"")</f>
        <v>20 a 30 millones USD</v>
      </c>
    </row>
    <row r="151" spans="1:49" x14ac:dyDescent="0.3">
      <c r="A151" s="3">
        <v>2013</v>
      </c>
      <c r="B151" s="3" t="s">
        <v>213</v>
      </c>
      <c r="C151" s="3" t="s">
        <v>7</v>
      </c>
      <c r="D151" s="3" t="s">
        <v>8</v>
      </c>
      <c r="E151" s="3" t="s">
        <v>214</v>
      </c>
      <c r="F151" s="3" t="s">
        <v>95</v>
      </c>
      <c r="G151" s="3" t="s">
        <v>723</v>
      </c>
      <c r="H151" s="12">
        <v>2008</v>
      </c>
      <c r="I151" s="13"/>
      <c r="J151" s="10">
        <f xml:space="preserve"> 5539 * 1000000</f>
        <v>5539000000</v>
      </c>
      <c r="K151" s="3"/>
      <c r="L151" s="3" t="s">
        <v>2205</v>
      </c>
      <c r="M151" s="3" t="s">
        <v>2206</v>
      </c>
      <c r="N151" s="3" t="s">
        <v>2207</v>
      </c>
      <c r="O151" s="3" t="s">
        <v>2208</v>
      </c>
      <c r="P151" s="3" t="s">
        <v>2209</v>
      </c>
      <c r="Q151" s="3"/>
      <c r="R151" s="11" t="s">
        <v>2202</v>
      </c>
      <c r="S151" s="11" t="s">
        <v>2203</v>
      </c>
      <c r="T151" s="11" t="s">
        <v>2204</v>
      </c>
      <c r="U151" s="3"/>
      <c r="V151" s="3"/>
      <c r="W151" s="10">
        <f>IF( J151="s.i", "s.i", IF(ISBLANK(J151),"Actualizando información",IFERROR(J151 / VLOOKUP(A151,Deflactor!$G$3:$H$64,2,0),"Revisar error" )))</f>
        <v>5539000000</v>
      </c>
      <c r="AR151" s="34">
        <f xml:space="preserve"> 877025 * 1000</f>
        <v>877025000</v>
      </c>
      <c r="AT151" s="46">
        <f t="shared" si="5"/>
        <v>877025000</v>
      </c>
      <c r="AU151" s="54">
        <f xml:space="preserve"> IFERROR(ROUND(AT151 / VLOOKUP(A151,Tabla1[#All],2,0),0),"s.i")</f>
        <v>1771785</v>
      </c>
      <c r="AV151" s="33">
        <f xml:space="preserve"> IF(AU151="s.i", "s.i", IF(AND(AU151&gt;=Deflactor!$BQ$298,AU151&lt;Deflactor!$BQ$299), Deflactor!$BP$298, IF(AND(AU151&gt;=Deflactor!$BQ$299,AU151&lt;Deflactor!$BQ$300), Deflactor!$BP$299, IF(AND(AU151&gt;=Deflactor!$BQ$300,AU151&lt;Deflactor!$BQ$301), Deflactor!$BP$300, IF(AND(AU151&gt;=Deflactor!$BQ$301,AU151&lt;Deflactor!$BQ$302), Deflactor!$BP$301, IF(AND(AU151&gt;=Deflactor!$BQ$302,AU151&lt;Deflactor!$BQ$303), Deflactor!$BP$302, IF(AND(AU151&gt;=Deflactor!$BQ$303,AU151&lt;Deflactor!$BQ$304), Deflactor!$BP$303, IF(AND(AU151&gt;=Deflactor!$BQ$304,AU151&lt;Deflactor!$BQ$305), Deflactor!$BP$304, IF(AND(AU151&gt;=Deflactor!$BQ$305,AU151&lt;Deflactor!$BQ$306), Deflactor!$BP$305, IF(AND(AU151&gt;=Deflactor!$BQ$306,AU151&lt;Deflactor!$BQ$307), Deflactor!$BP$306, Deflactor!$BP$307) ) ) ) ) ) ) ) ) )</f>
        <v>1</v>
      </c>
      <c r="AW151" s="57" t="str">
        <f>+IFERROR(VLOOKUP(AV151,Deflactor!$BP$298:$BU$307,6,0),"")</f>
        <v>2 millones USD y menos</v>
      </c>
    </row>
    <row r="152" spans="1:49" x14ac:dyDescent="0.3">
      <c r="A152" s="3">
        <v>2013</v>
      </c>
      <c r="B152" s="3" t="s">
        <v>215</v>
      </c>
      <c r="C152" s="3" t="s">
        <v>155</v>
      </c>
      <c r="D152" s="3" t="s">
        <v>216</v>
      </c>
      <c r="E152" s="3" t="s">
        <v>217</v>
      </c>
      <c r="F152" s="3" t="s">
        <v>157</v>
      </c>
      <c r="G152" s="3" t="s">
        <v>723</v>
      </c>
      <c r="H152" s="13">
        <v>2003</v>
      </c>
      <c r="I152" s="13"/>
      <c r="J152" s="13" t="s">
        <v>623</v>
      </c>
      <c r="K152" s="3"/>
      <c r="L152" s="3" t="s">
        <v>2213</v>
      </c>
      <c r="M152" s="3" t="s">
        <v>2214</v>
      </c>
      <c r="N152" s="3" t="s">
        <v>2215</v>
      </c>
      <c r="O152" s="3" t="s">
        <v>2216</v>
      </c>
      <c r="P152" s="3" t="s">
        <v>2217</v>
      </c>
      <c r="Q152" s="3"/>
      <c r="R152" s="29" t="s">
        <v>2210</v>
      </c>
      <c r="S152" s="29" t="s">
        <v>2211</v>
      </c>
      <c r="T152" s="11" t="s">
        <v>2212</v>
      </c>
      <c r="U152" s="3" t="s">
        <v>215</v>
      </c>
      <c r="V152" s="3"/>
      <c r="W152" s="10" t="str">
        <f>IF( J152="s.i", "s.i", IF(ISBLANK(J152),"Actualizando información",IFERROR(J152 / VLOOKUP(A152,Deflactor!$G$3:$H$64,2,0),"Revisar error" )))</f>
        <v>s.i</v>
      </c>
      <c r="AR152" s="34">
        <f xml:space="preserve"> 6969715 * 1000</f>
        <v>6969715000</v>
      </c>
      <c r="AT152" s="46">
        <f t="shared" si="5"/>
        <v>6969715000</v>
      </c>
      <c r="AU152" s="54">
        <f xml:space="preserve"> IFERROR(ROUND(AT152 / VLOOKUP(A152,Tabla1[#All],2,0),0),"s.i")</f>
        <v>14080370</v>
      </c>
      <c r="AV152" s="33">
        <f xml:space="preserve"> IF(AU152="s.i", "s.i", IF(AND(AU152&gt;=Deflactor!$BQ$298,AU152&lt;Deflactor!$BQ$299), Deflactor!$BP$298, IF(AND(AU152&gt;=Deflactor!$BQ$299,AU152&lt;Deflactor!$BQ$300), Deflactor!$BP$299, IF(AND(AU152&gt;=Deflactor!$BQ$300,AU152&lt;Deflactor!$BQ$301), Deflactor!$BP$300, IF(AND(AU152&gt;=Deflactor!$BQ$301,AU152&lt;Deflactor!$BQ$302), Deflactor!$BP$301, IF(AND(AU152&gt;=Deflactor!$BQ$302,AU152&lt;Deflactor!$BQ$303), Deflactor!$BP$302, IF(AND(AU152&gt;=Deflactor!$BQ$303,AU152&lt;Deflactor!$BQ$304), Deflactor!$BP$303, IF(AND(AU152&gt;=Deflactor!$BQ$304,AU152&lt;Deflactor!$BQ$305), Deflactor!$BP$304, IF(AND(AU152&gt;=Deflactor!$BQ$305,AU152&lt;Deflactor!$BQ$306), Deflactor!$BP$305, IF(AND(AU152&gt;=Deflactor!$BQ$306,AU152&lt;Deflactor!$BQ$307), Deflactor!$BP$306, Deflactor!$BP$307) ) ) ) ) ) ) ) ) )</f>
        <v>5</v>
      </c>
      <c r="AW152" s="57" t="str">
        <f>+IFERROR(VLOOKUP(AV152,Deflactor!$BP$298:$BU$307,6,0),"")</f>
        <v>10 a 15 millones USD</v>
      </c>
    </row>
    <row r="153" spans="1:49" x14ac:dyDescent="0.3">
      <c r="A153" s="3">
        <v>2013</v>
      </c>
      <c r="B153" s="3" t="s">
        <v>218</v>
      </c>
      <c r="C153" s="3" t="s">
        <v>7</v>
      </c>
      <c r="D153" s="3" t="s">
        <v>12</v>
      </c>
      <c r="E153" s="3" t="s">
        <v>13</v>
      </c>
      <c r="F153" s="3" t="s">
        <v>95</v>
      </c>
      <c r="G153" s="3" t="s">
        <v>723</v>
      </c>
      <c r="H153" s="12">
        <v>2008</v>
      </c>
      <c r="I153" s="13"/>
      <c r="J153" s="10">
        <f xml:space="preserve"> 16951 * 1000000</f>
        <v>16951000000</v>
      </c>
      <c r="K153" s="3"/>
      <c r="L153" s="3" t="s">
        <v>2221</v>
      </c>
      <c r="M153" s="3" t="s">
        <v>2222</v>
      </c>
      <c r="N153" s="3" t="s">
        <v>2223</v>
      </c>
      <c r="O153" s="3" t="s">
        <v>2224</v>
      </c>
      <c r="P153" s="3" t="s">
        <v>2225</v>
      </c>
      <c r="Q153" s="3"/>
      <c r="R153" s="29" t="s">
        <v>2218</v>
      </c>
      <c r="S153" s="11" t="s">
        <v>2219</v>
      </c>
      <c r="T153" s="11" t="s">
        <v>2220</v>
      </c>
      <c r="U153" s="3"/>
      <c r="V153" s="3"/>
      <c r="W153" s="10">
        <f>IF( J153="s.i", "s.i", IF(ISBLANK(J153),"Actualizando información",IFERROR(J153 / VLOOKUP(A153,Deflactor!$G$3:$H$64,2,0),"Revisar error" )))</f>
        <v>16951000000</v>
      </c>
      <c r="AR153" s="34">
        <f xml:space="preserve"> 18361024 * 1000</f>
        <v>18361024000</v>
      </c>
      <c r="AT153" s="46">
        <f t="shared" si="5"/>
        <v>18361024000</v>
      </c>
      <c r="AU153" s="54">
        <f xml:space="preserve"> IFERROR(ROUND(AT153 / VLOOKUP(A153,Tabla1[#All],2,0),0),"s.i")</f>
        <v>37093340</v>
      </c>
      <c r="AV153" s="33">
        <f xml:space="preserve"> IF(AU153="s.i", "s.i", IF(AND(AU153&gt;=Deflactor!$BQ$298,AU153&lt;Deflactor!$BQ$299), Deflactor!$BP$298, IF(AND(AU153&gt;=Deflactor!$BQ$299,AU153&lt;Deflactor!$BQ$300), Deflactor!$BP$299, IF(AND(AU153&gt;=Deflactor!$BQ$300,AU153&lt;Deflactor!$BQ$301), Deflactor!$BP$300, IF(AND(AU153&gt;=Deflactor!$BQ$301,AU153&lt;Deflactor!$BQ$302), Deflactor!$BP$301, IF(AND(AU153&gt;=Deflactor!$BQ$302,AU153&lt;Deflactor!$BQ$303), Deflactor!$BP$302, IF(AND(AU153&gt;=Deflactor!$BQ$303,AU153&lt;Deflactor!$BQ$304), Deflactor!$BP$303, IF(AND(AU153&gt;=Deflactor!$BQ$304,AU153&lt;Deflactor!$BQ$305), Deflactor!$BP$304, IF(AND(AU153&gt;=Deflactor!$BQ$305,AU153&lt;Deflactor!$BQ$306), Deflactor!$BP$305, IF(AND(AU153&gt;=Deflactor!$BQ$306,AU153&lt;Deflactor!$BQ$307), Deflactor!$BP$306, Deflactor!$BP$307) ) ) ) ) ) ) ) ) )</f>
        <v>8</v>
      </c>
      <c r="AW153" s="57" t="str">
        <f>+IFERROR(VLOOKUP(AV153,Deflactor!$BP$298:$BU$307,6,0),"")</f>
        <v>30 a 50 millones USD</v>
      </c>
    </row>
    <row r="154" spans="1:49" x14ac:dyDescent="0.3">
      <c r="A154" s="3">
        <v>2013</v>
      </c>
      <c r="B154" s="3" t="s">
        <v>219</v>
      </c>
      <c r="C154" s="3" t="s">
        <v>7</v>
      </c>
      <c r="D154" s="3" t="s">
        <v>40</v>
      </c>
      <c r="E154" s="3" t="s">
        <v>160</v>
      </c>
      <c r="F154" s="3" t="s">
        <v>194</v>
      </c>
      <c r="G154" s="13" t="s">
        <v>623</v>
      </c>
      <c r="H154" s="12">
        <v>2010</v>
      </c>
      <c r="I154" s="13" t="s">
        <v>623</v>
      </c>
      <c r="J154" s="10">
        <f xml:space="preserve"> 1065 * 1000000</f>
        <v>1065000000</v>
      </c>
      <c r="K154" s="3"/>
      <c r="L154" s="3" t="s">
        <v>2229</v>
      </c>
      <c r="M154" s="3" t="s">
        <v>2230</v>
      </c>
      <c r="N154" s="3" t="s">
        <v>2231</v>
      </c>
      <c r="O154" s="3" t="s">
        <v>2232</v>
      </c>
      <c r="P154" s="3" t="s">
        <v>2233</v>
      </c>
      <c r="Q154" s="3"/>
      <c r="R154" s="11" t="s">
        <v>2226</v>
      </c>
      <c r="S154" s="11" t="s">
        <v>2227</v>
      </c>
      <c r="T154" s="11" t="s">
        <v>2228</v>
      </c>
      <c r="U154" s="3"/>
      <c r="V154" s="3"/>
      <c r="W154" s="10">
        <f>IF( J154="s.i", "s.i", IF(ISBLANK(J154),"Actualizando información",IFERROR(J154 / VLOOKUP(A154,Deflactor!$G$3:$H$64,2,0),"Revisar error" )))</f>
        <v>1065000000</v>
      </c>
      <c r="AR154" s="34"/>
      <c r="AT154" s="46">
        <f>'Notas reunion'!T50</f>
        <v>44850000000</v>
      </c>
      <c r="AU154" s="54">
        <f xml:space="preserve"> IFERROR(ROUND(AT154 / VLOOKUP(A154,Tabla1[#All],2,0),0),"s.i")</f>
        <v>90606946</v>
      </c>
      <c r="AV154" s="33">
        <f xml:space="preserve"> IF(AU154="s.i", "s.i", IF(AND(AU154&gt;=Deflactor!$BQ$298,AU154&lt;Deflactor!$BQ$299), Deflactor!$BP$298, IF(AND(AU154&gt;=Deflactor!$BQ$299,AU154&lt;Deflactor!$BQ$300), Deflactor!$BP$299, IF(AND(AU154&gt;=Deflactor!$BQ$300,AU154&lt;Deflactor!$BQ$301), Deflactor!$BP$300, IF(AND(AU154&gt;=Deflactor!$BQ$301,AU154&lt;Deflactor!$BQ$302), Deflactor!$BP$301, IF(AND(AU154&gt;=Deflactor!$BQ$302,AU154&lt;Deflactor!$BQ$303), Deflactor!$BP$302, IF(AND(AU154&gt;=Deflactor!$BQ$303,AU154&lt;Deflactor!$BQ$304), Deflactor!$BP$303, IF(AND(AU154&gt;=Deflactor!$BQ$304,AU154&lt;Deflactor!$BQ$305), Deflactor!$BP$304, IF(AND(AU154&gt;=Deflactor!$BQ$305,AU154&lt;Deflactor!$BQ$306), Deflactor!$BP$305, IF(AND(AU154&gt;=Deflactor!$BQ$306,AU154&lt;Deflactor!$BQ$307), Deflactor!$BP$306, Deflactor!$BP$307) ) ) ) ) ) ) ) ) )</f>
        <v>9</v>
      </c>
      <c r="AW154" s="57" t="str">
        <f>+IFERROR(VLOOKUP(AV154,Deflactor!$BP$298:$BU$307,6,0),"")</f>
        <v>50 a 100 millones USD</v>
      </c>
    </row>
    <row r="155" spans="1:49" x14ac:dyDescent="0.3">
      <c r="A155" s="3">
        <v>2013</v>
      </c>
      <c r="B155" s="3" t="s">
        <v>220</v>
      </c>
      <c r="C155" s="3" t="s">
        <v>7</v>
      </c>
      <c r="D155" s="3" t="s">
        <v>36</v>
      </c>
      <c r="E155" s="3" t="s">
        <v>94</v>
      </c>
      <c r="F155" s="3" t="s">
        <v>89</v>
      </c>
      <c r="G155" s="13" t="s">
        <v>623</v>
      </c>
      <c r="H155" s="12">
        <v>2009</v>
      </c>
      <c r="I155" s="13" t="s">
        <v>623</v>
      </c>
      <c r="J155" s="10">
        <f xml:space="preserve"> 4000 * 1000000</f>
        <v>4000000000</v>
      </c>
      <c r="K155" s="3" t="s">
        <v>2300</v>
      </c>
      <c r="L155" s="3" t="s">
        <v>2236</v>
      </c>
      <c r="M155" s="3" t="s">
        <v>2237</v>
      </c>
      <c r="N155" s="3" t="s">
        <v>2238</v>
      </c>
      <c r="O155" s="3" t="s">
        <v>2239</v>
      </c>
      <c r="P155" s="3" t="s">
        <v>2240</v>
      </c>
      <c r="Q155" s="3"/>
      <c r="R155" s="11" t="s">
        <v>2234</v>
      </c>
      <c r="S155" s="11" t="s">
        <v>2235</v>
      </c>
      <c r="T155" s="3"/>
      <c r="U155" s="3"/>
      <c r="V155" s="3"/>
      <c r="W155" s="10">
        <f>IF( J155="s.i", "s.i", IF(ISBLANK(J155),"Actualizando información",IFERROR(J155 / VLOOKUP(A155,Deflactor!$G$3:$H$64,2,0),"Revisar error" )))</f>
        <v>4000000000</v>
      </c>
      <c r="AR155" s="10">
        <f xml:space="preserve"> 3871100 * 1000</f>
        <v>3871100000</v>
      </c>
      <c r="AT155" s="46">
        <f t="shared" si="5"/>
        <v>3871100000</v>
      </c>
      <c r="AU155" s="54">
        <f xml:space="preserve"> IFERROR(ROUND(AT155 / VLOOKUP(A155,Tabla1[#All],2,0),0),"s.i")</f>
        <v>7820480</v>
      </c>
      <c r="AV155" s="33">
        <f xml:space="preserve"> IF(AU155="s.i", "s.i", IF(AND(AU155&gt;=Deflactor!$BQ$298,AU155&lt;Deflactor!$BQ$299), Deflactor!$BP$298, IF(AND(AU155&gt;=Deflactor!$BQ$299,AU155&lt;Deflactor!$BQ$300), Deflactor!$BP$299, IF(AND(AU155&gt;=Deflactor!$BQ$300,AU155&lt;Deflactor!$BQ$301), Deflactor!$BP$300, IF(AND(AU155&gt;=Deflactor!$BQ$301,AU155&lt;Deflactor!$BQ$302), Deflactor!$BP$301, IF(AND(AU155&gt;=Deflactor!$BQ$302,AU155&lt;Deflactor!$BQ$303), Deflactor!$BP$302, IF(AND(AU155&gt;=Deflactor!$BQ$303,AU155&lt;Deflactor!$BQ$304), Deflactor!$BP$303, IF(AND(AU155&gt;=Deflactor!$BQ$304,AU155&lt;Deflactor!$BQ$305), Deflactor!$BP$304, IF(AND(AU155&gt;=Deflactor!$BQ$305,AU155&lt;Deflactor!$BQ$306), Deflactor!$BP$305, IF(AND(AU155&gt;=Deflactor!$BQ$306,AU155&lt;Deflactor!$BQ$307), Deflactor!$BP$306, Deflactor!$BP$307) ) ) ) ) ) ) ) ) )</f>
        <v>4</v>
      </c>
      <c r="AW155" s="57" t="str">
        <f>+IFERROR(VLOOKUP(AV155,Deflactor!$BP$298:$BU$307,6,0),"")</f>
        <v>7,5 a 10 millones USD</v>
      </c>
    </row>
    <row r="156" spans="1:49" x14ac:dyDescent="0.3">
      <c r="A156" s="3">
        <v>2013</v>
      </c>
      <c r="B156" s="3" t="s">
        <v>221</v>
      </c>
      <c r="C156" s="3" t="s">
        <v>7</v>
      </c>
      <c r="D156" s="3" t="s">
        <v>36</v>
      </c>
      <c r="E156" s="3" t="s">
        <v>94</v>
      </c>
      <c r="F156" s="3" t="s">
        <v>95</v>
      </c>
      <c r="G156" s="3" t="s">
        <v>723</v>
      </c>
      <c r="H156" s="12">
        <v>1982</v>
      </c>
      <c r="I156" s="13"/>
      <c r="J156" s="10">
        <f xml:space="preserve"> 87442786 * 1000</f>
        <v>87442786000</v>
      </c>
      <c r="K156" s="3"/>
      <c r="L156" s="3" t="s">
        <v>2244</v>
      </c>
      <c r="M156" s="3" t="s">
        <v>2245</v>
      </c>
      <c r="N156" s="3" t="s">
        <v>2246</v>
      </c>
      <c r="O156" s="3" t="s">
        <v>2247</v>
      </c>
      <c r="P156" s="3" t="s">
        <v>2248</v>
      </c>
      <c r="Q156" s="3"/>
      <c r="R156" s="11" t="s">
        <v>2241</v>
      </c>
      <c r="S156" s="11" t="s">
        <v>2242</v>
      </c>
      <c r="T156" s="11" t="s">
        <v>2243</v>
      </c>
      <c r="U156" s="3" t="s">
        <v>1149</v>
      </c>
      <c r="V156" s="3"/>
      <c r="W156" s="10">
        <f>IF( J156="s.i", "s.i", IF(ISBLANK(J156),"Actualizando información",IFERROR(J156 / VLOOKUP(A156,Deflactor!$G$3:$H$64,2,0),"Revisar error" )))</f>
        <v>87442786000</v>
      </c>
      <c r="AR156" s="10">
        <f xml:space="preserve"> 87422786 * 1000</f>
        <v>87422786000</v>
      </c>
      <c r="AT156" s="46">
        <f t="shared" si="5"/>
        <v>87422786000</v>
      </c>
      <c r="AU156" s="54">
        <f xml:space="preserve"> IFERROR(ROUND(AT156 / VLOOKUP(A156,Tabla1[#All],2,0),0),"s.i")</f>
        <v>176613415</v>
      </c>
      <c r="AV156" s="33">
        <f xml:space="preserve"> IF(AU156="s.i", "s.i", IF(AND(AU156&gt;=Deflactor!$BQ$298,AU156&lt;Deflactor!$BQ$299), Deflactor!$BP$298, IF(AND(AU156&gt;=Deflactor!$BQ$299,AU156&lt;Deflactor!$BQ$300), Deflactor!$BP$299, IF(AND(AU156&gt;=Deflactor!$BQ$300,AU156&lt;Deflactor!$BQ$301), Deflactor!$BP$300, IF(AND(AU156&gt;=Deflactor!$BQ$301,AU156&lt;Deflactor!$BQ$302), Deflactor!$BP$301, IF(AND(AU156&gt;=Deflactor!$BQ$302,AU156&lt;Deflactor!$BQ$303), Deflactor!$BP$302, IF(AND(AU156&gt;=Deflactor!$BQ$303,AU156&lt;Deflactor!$BQ$304), Deflactor!$BP$303, IF(AND(AU156&gt;=Deflactor!$BQ$304,AU156&lt;Deflactor!$BQ$305), Deflactor!$BP$304, IF(AND(AU156&gt;=Deflactor!$BQ$305,AU156&lt;Deflactor!$BQ$306), Deflactor!$BP$305, IF(AND(AU156&gt;=Deflactor!$BQ$306,AU156&lt;Deflactor!$BQ$307), Deflactor!$BP$306, Deflactor!$BP$307) ) ) ) ) ) ) ) ) )</f>
        <v>10</v>
      </c>
      <c r="AW156" s="57" t="str">
        <f>+IFERROR(VLOOKUP(AV156,Deflactor!$BP$298:$BU$307,6,0),"")</f>
        <v>100 millones USD y mas</v>
      </c>
    </row>
    <row r="157" spans="1:49" x14ac:dyDescent="0.3">
      <c r="A157" s="3">
        <v>2013</v>
      </c>
      <c r="B157" s="3" t="s">
        <v>222</v>
      </c>
      <c r="C157" s="3" t="s">
        <v>7</v>
      </c>
      <c r="D157" s="3" t="s">
        <v>36</v>
      </c>
      <c r="E157" s="3" t="s">
        <v>37</v>
      </c>
      <c r="F157" s="3" t="s">
        <v>89</v>
      </c>
      <c r="G157" s="3" t="s">
        <v>723</v>
      </c>
      <c r="H157" s="12">
        <v>2010</v>
      </c>
      <c r="I157" s="13"/>
      <c r="J157" s="10">
        <f xml:space="preserve"> 1964 * 1000000</f>
        <v>1964000000</v>
      </c>
      <c r="K157" s="3"/>
      <c r="L157" s="3" t="s">
        <v>2251</v>
      </c>
      <c r="M157" s="3" t="s">
        <v>2252</v>
      </c>
      <c r="N157" s="3" t="s">
        <v>2253</v>
      </c>
      <c r="O157" s="3" t="s">
        <v>2255</v>
      </c>
      <c r="P157" s="3" t="s">
        <v>2256</v>
      </c>
      <c r="Q157" s="3"/>
      <c r="R157" s="11" t="s">
        <v>2249</v>
      </c>
      <c r="S157" s="11" t="s">
        <v>2250</v>
      </c>
      <c r="T157" s="3"/>
      <c r="U157" s="3"/>
      <c r="V157" s="3" t="s">
        <v>2254</v>
      </c>
      <c r="W157" s="10">
        <f>IF( J157="s.i", "s.i", IF(ISBLANK(J157),"Actualizando información",IFERROR(J157 / VLOOKUP(A157,Deflactor!$G$3:$H$64,2,0),"Revisar error" )))</f>
        <v>1964000000</v>
      </c>
      <c r="AR157" s="10">
        <f xml:space="preserve"> 1677618 * 1000</f>
        <v>1677618000</v>
      </c>
      <c r="AT157" s="46">
        <f t="shared" si="5"/>
        <v>1677618000</v>
      </c>
      <c r="AU157" s="54">
        <f xml:space="preserve"> IFERROR(ROUND(AT157 / VLOOKUP(A157,Tabla1[#All],2,0),0),"s.i")</f>
        <v>3389160</v>
      </c>
      <c r="AV157" s="33">
        <f xml:space="preserve"> IF(AU157="s.i", "s.i", IF(AND(AU157&gt;=Deflactor!$BQ$298,AU157&lt;Deflactor!$BQ$299), Deflactor!$BP$298, IF(AND(AU157&gt;=Deflactor!$BQ$299,AU157&lt;Deflactor!$BQ$300), Deflactor!$BP$299, IF(AND(AU157&gt;=Deflactor!$BQ$300,AU157&lt;Deflactor!$BQ$301), Deflactor!$BP$300, IF(AND(AU157&gt;=Deflactor!$BQ$301,AU157&lt;Deflactor!$BQ$302), Deflactor!$BP$301, IF(AND(AU157&gt;=Deflactor!$BQ$302,AU157&lt;Deflactor!$BQ$303), Deflactor!$BP$302, IF(AND(AU157&gt;=Deflactor!$BQ$303,AU157&lt;Deflactor!$BQ$304), Deflactor!$BP$303, IF(AND(AU157&gt;=Deflactor!$BQ$304,AU157&lt;Deflactor!$BQ$305), Deflactor!$BP$304, IF(AND(AU157&gt;=Deflactor!$BQ$305,AU157&lt;Deflactor!$BQ$306), Deflactor!$BP$305, IF(AND(AU157&gt;=Deflactor!$BQ$306,AU157&lt;Deflactor!$BQ$307), Deflactor!$BP$306, Deflactor!$BP$307) ) ) ) ) ) ) ) ) )</f>
        <v>2</v>
      </c>
      <c r="AW157" s="57" t="str">
        <f>+IFERROR(VLOOKUP(AV157,Deflactor!$BP$298:$BU$307,6,0),"")</f>
        <v>2 a 5 millones USD</v>
      </c>
    </row>
    <row r="158" spans="1:49" x14ac:dyDescent="0.3">
      <c r="A158" s="3">
        <v>2013</v>
      </c>
      <c r="B158" s="3" t="s">
        <v>223</v>
      </c>
      <c r="C158" s="3" t="s">
        <v>155</v>
      </c>
      <c r="D158" s="3" t="s">
        <v>54</v>
      </c>
      <c r="E158" s="3" t="s">
        <v>55</v>
      </c>
      <c r="F158" s="3" t="s">
        <v>157</v>
      </c>
      <c r="G158" s="3" t="s">
        <v>723</v>
      </c>
      <c r="H158" s="12">
        <v>1990</v>
      </c>
      <c r="I158" s="13"/>
      <c r="J158" s="13" t="s">
        <v>623</v>
      </c>
      <c r="K158" s="3"/>
      <c r="L158" s="3" t="s">
        <v>2362</v>
      </c>
      <c r="M158" s="3" t="s">
        <v>2259</v>
      </c>
      <c r="N158" s="3" t="s">
        <v>2260</v>
      </c>
      <c r="O158" s="3" t="s">
        <v>2261</v>
      </c>
      <c r="P158" s="3" t="s">
        <v>2262</v>
      </c>
      <c r="Q158" s="3"/>
      <c r="R158" s="11" t="s">
        <v>2257</v>
      </c>
      <c r="S158" s="11" t="s">
        <v>2258</v>
      </c>
      <c r="T158" s="3"/>
      <c r="U158" s="3"/>
      <c r="V158" s="3"/>
      <c r="W158" s="10" t="str">
        <f>IF( J158="s.i", "s.i", IF(ISBLANK(J158),"Actualizando información",IFERROR(J158 / VLOOKUP(A158,Deflactor!$G$3:$H$64,2,0),"Revisar error" )))</f>
        <v>s.i</v>
      </c>
      <c r="AR158" s="34"/>
      <c r="AT158" s="46"/>
      <c r="AU158" s="54"/>
      <c r="AV158" s="33">
        <f xml:space="preserve"> IF(AU158="s.i", "s.i", IF(AND(AU158&gt;=Deflactor!$BQ$298,AU158&lt;Deflactor!$BQ$299), Deflactor!$BP$298, IF(AND(AU158&gt;=Deflactor!$BQ$299,AU158&lt;Deflactor!$BQ$300), Deflactor!$BP$299, IF(AND(AU158&gt;=Deflactor!$BQ$300,AU158&lt;Deflactor!$BQ$301), Deflactor!$BP$300, IF(AND(AU158&gt;=Deflactor!$BQ$301,AU158&lt;Deflactor!$BQ$302), Deflactor!$BP$301, IF(AND(AU158&gt;=Deflactor!$BQ$302,AU158&lt;Deflactor!$BQ$303), Deflactor!$BP$302, IF(AND(AU158&gt;=Deflactor!$BQ$303,AU158&lt;Deflactor!$BQ$304), Deflactor!$BP$303, IF(AND(AU158&gt;=Deflactor!$BQ$304,AU158&lt;Deflactor!$BQ$305), Deflactor!$BP$304, IF(AND(AU158&gt;=Deflactor!$BQ$305,AU158&lt;Deflactor!$BQ$306), Deflactor!$BP$305, IF(AND(AU158&gt;=Deflactor!$BQ$306,AU158&lt;Deflactor!$BQ$307), Deflactor!$BP$306, Deflactor!$BP$307) ) ) ) ) ) ) ) ) )</f>
        <v>10</v>
      </c>
      <c r="AW158" s="57" t="str">
        <f>+IFERROR(VLOOKUP(AV158,Deflactor!$BP$298:$BU$307,6,0),"")</f>
        <v>100 millones USD y mas</v>
      </c>
    </row>
    <row r="159" spans="1:49" x14ac:dyDescent="0.3">
      <c r="A159" s="3">
        <v>2013</v>
      </c>
      <c r="B159" s="3" t="s">
        <v>224</v>
      </c>
      <c r="C159" s="3" t="s">
        <v>7</v>
      </c>
      <c r="D159" s="3" t="s">
        <v>12</v>
      </c>
      <c r="E159" s="3" t="s">
        <v>12</v>
      </c>
      <c r="F159" s="3" t="s">
        <v>194</v>
      </c>
      <c r="G159" s="3" t="s">
        <v>723</v>
      </c>
      <c r="H159" s="12">
        <v>2009</v>
      </c>
      <c r="I159" s="13"/>
      <c r="J159" s="10">
        <f xml:space="preserve"> 273418358 * 1000</f>
        <v>273418358000</v>
      </c>
      <c r="K159" s="3" t="s">
        <v>2280</v>
      </c>
      <c r="L159" s="3" t="s">
        <v>2266</v>
      </c>
      <c r="M159" s="3" t="s">
        <v>2267</v>
      </c>
      <c r="N159" s="3" t="s">
        <v>2268</v>
      </c>
      <c r="O159" s="3" t="s">
        <v>2269</v>
      </c>
      <c r="P159" s="3" t="s">
        <v>2270</v>
      </c>
      <c r="Q159" s="3"/>
      <c r="R159" s="11" t="s">
        <v>2263</v>
      </c>
      <c r="S159" s="11" t="s">
        <v>2264</v>
      </c>
      <c r="T159" s="11" t="s">
        <v>2265</v>
      </c>
      <c r="U159" s="3"/>
      <c r="V159" s="3"/>
      <c r="W159" s="10">
        <f>IF( J159="s.i", "s.i", IF(ISBLANK(J159),"Actualizando información",IFERROR(J159 / VLOOKUP(A159,Deflactor!$G$3:$H$64,2,0),"Revisar error" )))</f>
        <v>273418358000</v>
      </c>
      <c r="AR159" s="34">
        <f xml:space="preserve"> 37023420 * 1000</f>
        <v>37023420000</v>
      </c>
      <c r="AT159" s="46">
        <f t="shared" si="5"/>
        <v>37023420000</v>
      </c>
      <c r="AU159" s="54">
        <f xml:space="preserve"> IFERROR(ROUND(AT159 / VLOOKUP(A159,Tabla1[#All],2,0),0),"s.i")</f>
        <v>74795519</v>
      </c>
      <c r="AV159" s="33">
        <f xml:space="preserve"> IF(AU159="s.i", "s.i", IF(AND(AU159&gt;=Deflactor!$BQ$298,AU159&lt;Deflactor!$BQ$299), Deflactor!$BP$298, IF(AND(AU159&gt;=Deflactor!$BQ$299,AU159&lt;Deflactor!$BQ$300), Deflactor!$BP$299, IF(AND(AU159&gt;=Deflactor!$BQ$300,AU159&lt;Deflactor!$BQ$301), Deflactor!$BP$300, IF(AND(AU159&gt;=Deflactor!$BQ$301,AU159&lt;Deflactor!$BQ$302), Deflactor!$BP$301, IF(AND(AU159&gt;=Deflactor!$BQ$302,AU159&lt;Deflactor!$BQ$303), Deflactor!$BP$302, IF(AND(AU159&gt;=Deflactor!$BQ$303,AU159&lt;Deflactor!$BQ$304), Deflactor!$BP$303, IF(AND(AU159&gt;=Deflactor!$BQ$304,AU159&lt;Deflactor!$BQ$305), Deflactor!$BP$304, IF(AND(AU159&gt;=Deflactor!$BQ$305,AU159&lt;Deflactor!$BQ$306), Deflactor!$BP$305, IF(AND(AU159&gt;=Deflactor!$BQ$306,AU159&lt;Deflactor!$BQ$307), Deflactor!$BP$306, Deflactor!$BP$307) ) ) ) ) ) ) ) ) )</f>
        <v>9</v>
      </c>
      <c r="AW159" s="57" t="str">
        <f>+IFERROR(VLOOKUP(AV159,Deflactor!$BP$298:$BU$307,6,0),"")</f>
        <v>50 a 100 millones USD</v>
      </c>
    </row>
    <row r="160" spans="1:49" x14ac:dyDescent="0.3">
      <c r="A160" s="3">
        <v>2013</v>
      </c>
      <c r="B160" s="3" t="s">
        <v>225</v>
      </c>
      <c r="C160" s="3" t="s">
        <v>7</v>
      </c>
      <c r="D160" s="3" t="s">
        <v>12</v>
      </c>
      <c r="E160" s="3" t="s">
        <v>61</v>
      </c>
      <c r="F160" s="3" t="s">
        <v>194</v>
      </c>
      <c r="G160" s="3" t="s">
        <v>723</v>
      </c>
      <c r="H160" s="12">
        <v>1953</v>
      </c>
      <c r="I160" s="13"/>
      <c r="J160" s="10">
        <f xml:space="preserve"> 3192335 * 1000</f>
        <v>3192335000</v>
      </c>
      <c r="K160" s="3"/>
      <c r="L160" s="3" t="s">
        <v>2274</v>
      </c>
      <c r="M160" s="3" t="s">
        <v>2275</v>
      </c>
      <c r="N160" s="3" t="s">
        <v>2276</v>
      </c>
      <c r="O160" s="3" t="s">
        <v>2277</v>
      </c>
      <c r="P160" s="3" t="s">
        <v>2278</v>
      </c>
      <c r="Q160" s="3"/>
      <c r="R160" s="11" t="s">
        <v>2271</v>
      </c>
      <c r="S160" s="11" t="s">
        <v>2272</v>
      </c>
      <c r="T160" s="11" t="s">
        <v>2273</v>
      </c>
      <c r="U160" s="3"/>
      <c r="V160" s="3"/>
      <c r="W160" s="10">
        <f>IF( J160="s.i", "s.i", IF(ISBLANK(J160),"Actualizando información",IFERROR(J160 / VLOOKUP(A160,Deflactor!$G$3:$H$64,2,0),"Revisar error" )))</f>
        <v>3192335000</v>
      </c>
      <c r="AR160" s="10">
        <f xml:space="preserve"> 2267990 * 1000</f>
        <v>2267990000</v>
      </c>
      <c r="AT160" s="46">
        <f t="shared" si="5"/>
        <v>2267990000</v>
      </c>
      <c r="AU160" s="54">
        <f xml:space="preserve"> IFERROR(ROUND(AT160 / VLOOKUP(A160,Tabla1[#All],2,0),0),"s.i")</f>
        <v>4581843</v>
      </c>
      <c r="AV160" s="33">
        <f xml:space="preserve"> IF(AU160="s.i", "s.i", IF(AND(AU160&gt;=Deflactor!$BQ$298,AU160&lt;Deflactor!$BQ$299), Deflactor!$BP$298, IF(AND(AU160&gt;=Deflactor!$BQ$299,AU160&lt;Deflactor!$BQ$300), Deflactor!$BP$299, IF(AND(AU160&gt;=Deflactor!$BQ$300,AU160&lt;Deflactor!$BQ$301), Deflactor!$BP$300, IF(AND(AU160&gt;=Deflactor!$BQ$301,AU160&lt;Deflactor!$BQ$302), Deflactor!$BP$301, IF(AND(AU160&gt;=Deflactor!$BQ$302,AU160&lt;Deflactor!$BQ$303), Deflactor!$BP$302, IF(AND(AU160&gt;=Deflactor!$BQ$303,AU160&lt;Deflactor!$BQ$304), Deflactor!$BP$303, IF(AND(AU160&gt;=Deflactor!$BQ$304,AU160&lt;Deflactor!$BQ$305), Deflactor!$BP$304, IF(AND(AU160&gt;=Deflactor!$BQ$305,AU160&lt;Deflactor!$BQ$306), Deflactor!$BP$305, IF(AND(AU160&gt;=Deflactor!$BQ$306,AU160&lt;Deflactor!$BQ$307), Deflactor!$BP$306, Deflactor!$BP$307) ) ) ) ) ) ) ) ) )</f>
        <v>2</v>
      </c>
      <c r="AW160" s="57" t="str">
        <f>+IFERROR(VLOOKUP(AV160,Deflactor!$BP$298:$BU$307,6,0),"")</f>
        <v>2 a 5 millones USD</v>
      </c>
    </row>
    <row r="161" spans="1:49" x14ac:dyDescent="0.3">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c r="AR161" s="34"/>
      <c r="AT161" s="46"/>
      <c r="AU161" s="54"/>
      <c r="AV161" s="33">
        <f xml:space="preserve"> IF(AU161="s.i", "s.i", IF(AND(AU161&gt;=Deflactor!$BQ$298,AU161&lt;Deflactor!$BQ$299), Deflactor!$BP$298, IF(AND(AU161&gt;=Deflactor!$BQ$299,AU161&lt;Deflactor!$BQ$300), Deflactor!$BP$299, IF(AND(AU161&gt;=Deflactor!$BQ$300,AU161&lt;Deflactor!$BQ$301), Deflactor!$BP$300, IF(AND(AU161&gt;=Deflactor!$BQ$301,AU161&lt;Deflactor!$BQ$302), Deflactor!$BP$301, IF(AND(AU161&gt;=Deflactor!$BQ$302,AU161&lt;Deflactor!$BQ$303), Deflactor!$BP$302, IF(AND(AU161&gt;=Deflactor!$BQ$303,AU161&lt;Deflactor!$BQ$304), Deflactor!$BP$303, IF(AND(AU161&gt;=Deflactor!$BQ$304,AU161&lt;Deflactor!$BQ$305), Deflactor!$BP$304, IF(AND(AU161&gt;=Deflactor!$BQ$305,AU161&lt;Deflactor!$BQ$306), Deflactor!$BP$305, IF(AND(AU161&gt;=Deflactor!$BQ$306,AU161&lt;Deflactor!$BQ$307), Deflactor!$BP$306, Deflactor!$BP$307) ) ) ) ) ) ) ) ) )</f>
        <v>10</v>
      </c>
      <c r="AW161" s="57" t="str">
        <f>+IFERROR(VLOOKUP(AV161,Deflactor!$BP$298:$BU$307,6,0),"")</f>
        <v>100 millones USD y mas</v>
      </c>
    </row>
    <row r="162" spans="1:49" x14ac:dyDescent="0.3">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c r="AR162" s="34"/>
      <c r="AT162" s="46"/>
      <c r="AU162" s="54"/>
      <c r="AV162" s="33">
        <f xml:space="preserve"> IF(AU162="s.i", "s.i", IF(AND(AU162&gt;=Deflactor!$BQ$298,AU162&lt;Deflactor!$BQ$299), Deflactor!$BP$298, IF(AND(AU162&gt;=Deflactor!$BQ$299,AU162&lt;Deflactor!$BQ$300), Deflactor!$BP$299, IF(AND(AU162&gt;=Deflactor!$BQ$300,AU162&lt;Deflactor!$BQ$301), Deflactor!$BP$300, IF(AND(AU162&gt;=Deflactor!$BQ$301,AU162&lt;Deflactor!$BQ$302), Deflactor!$BP$301, IF(AND(AU162&gt;=Deflactor!$BQ$302,AU162&lt;Deflactor!$BQ$303), Deflactor!$BP$302, IF(AND(AU162&gt;=Deflactor!$BQ$303,AU162&lt;Deflactor!$BQ$304), Deflactor!$BP$303, IF(AND(AU162&gt;=Deflactor!$BQ$304,AU162&lt;Deflactor!$BQ$305), Deflactor!$BP$304, IF(AND(AU162&gt;=Deflactor!$BQ$305,AU162&lt;Deflactor!$BQ$306), Deflactor!$BP$305, IF(AND(AU162&gt;=Deflactor!$BQ$306,AU162&lt;Deflactor!$BQ$307), Deflactor!$BP$306, Deflactor!$BP$307) ) ) ) ) ) ) ) ) )</f>
        <v>10</v>
      </c>
      <c r="AW162" s="57" t="str">
        <f>+IFERROR(VLOOKUP(AV162,Deflactor!$BP$298:$BU$307,6,0),"")</f>
        <v>100 millones USD y mas</v>
      </c>
    </row>
    <row r="163" spans="1:49" x14ac:dyDescent="0.3">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c r="AR163" s="34"/>
      <c r="AT163" s="46"/>
      <c r="AU163" s="54"/>
      <c r="AV163" s="33">
        <f xml:space="preserve"> IF(AU163="s.i", "s.i", IF(AND(AU163&gt;=Deflactor!$BQ$298,AU163&lt;Deflactor!$BQ$299), Deflactor!$BP$298, IF(AND(AU163&gt;=Deflactor!$BQ$299,AU163&lt;Deflactor!$BQ$300), Deflactor!$BP$299, IF(AND(AU163&gt;=Deflactor!$BQ$300,AU163&lt;Deflactor!$BQ$301), Deflactor!$BP$300, IF(AND(AU163&gt;=Deflactor!$BQ$301,AU163&lt;Deflactor!$BQ$302), Deflactor!$BP$301, IF(AND(AU163&gt;=Deflactor!$BQ$302,AU163&lt;Deflactor!$BQ$303), Deflactor!$BP$302, IF(AND(AU163&gt;=Deflactor!$BQ$303,AU163&lt;Deflactor!$BQ$304), Deflactor!$BP$303, IF(AND(AU163&gt;=Deflactor!$BQ$304,AU163&lt;Deflactor!$BQ$305), Deflactor!$BP$304, IF(AND(AU163&gt;=Deflactor!$BQ$305,AU163&lt;Deflactor!$BQ$306), Deflactor!$BP$305, IF(AND(AU163&gt;=Deflactor!$BQ$306,AU163&lt;Deflactor!$BQ$307), Deflactor!$BP$306, Deflactor!$BP$307) ) ) ) ) ) ) ) ) )</f>
        <v>10</v>
      </c>
      <c r="AW163" s="57" t="str">
        <f>+IFERROR(VLOOKUP(AV163,Deflactor!$BP$298:$BU$307,6,0),"")</f>
        <v>100 millones USD y mas</v>
      </c>
    </row>
    <row r="164" spans="1:49" x14ac:dyDescent="0.3">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c r="AR164" s="10">
        <f xml:space="preserve"> 4121145 * 1000</f>
        <v>4121145000</v>
      </c>
      <c r="AT164" s="46">
        <f t="shared" si="5"/>
        <v>4121145000</v>
      </c>
      <c r="AU164" s="54">
        <f xml:space="preserve"> IFERROR(ROUND(AT164 / VLOOKUP(A164,Tabla1[#All],2,0),0),"s.i")</f>
        <v>8325627</v>
      </c>
      <c r="AV164" s="33">
        <f xml:space="preserve"> IF(AU164="s.i", "s.i", IF(AND(AU164&gt;=Deflactor!$BQ$298,AU164&lt;Deflactor!$BQ$299), Deflactor!$BP$298, IF(AND(AU164&gt;=Deflactor!$BQ$299,AU164&lt;Deflactor!$BQ$300), Deflactor!$BP$299, IF(AND(AU164&gt;=Deflactor!$BQ$300,AU164&lt;Deflactor!$BQ$301), Deflactor!$BP$300, IF(AND(AU164&gt;=Deflactor!$BQ$301,AU164&lt;Deflactor!$BQ$302), Deflactor!$BP$301, IF(AND(AU164&gt;=Deflactor!$BQ$302,AU164&lt;Deflactor!$BQ$303), Deflactor!$BP$302, IF(AND(AU164&gt;=Deflactor!$BQ$303,AU164&lt;Deflactor!$BQ$304), Deflactor!$BP$303, IF(AND(AU164&gt;=Deflactor!$BQ$304,AU164&lt;Deflactor!$BQ$305), Deflactor!$BP$304, IF(AND(AU164&gt;=Deflactor!$BQ$305,AU164&lt;Deflactor!$BQ$306), Deflactor!$BP$305, IF(AND(AU164&gt;=Deflactor!$BQ$306,AU164&lt;Deflactor!$BQ$307), Deflactor!$BP$306, Deflactor!$BP$307) ) ) ) ) ) ) ) ) )</f>
        <v>4</v>
      </c>
      <c r="AW164" s="57" t="str">
        <f>+IFERROR(VLOOKUP(AV164,Deflactor!$BP$298:$BU$307,6,0),"")</f>
        <v>7,5 a 10 millones USD</v>
      </c>
    </row>
    <row r="165" spans="1:49" x14ac:dyDescent="0.3">
      <c r="A165" s="3">
        <v>2013</v>
      </c>
      <c r="B165" s="3" t="s">
        <v>2359</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c r="AR165" s="34"/>
      <c r="AT165" s="46">
        <f>'Notas reunion'!T55</f>
        <v>187288000</v>
      </c>
      <c r="AU165" s="54">
        <f xml:space="preserve"> IFERROR(ROUND(AT165 / VLOOKUP(A165,Tabla1[#All],2,0),0),"s.i")</f>
        <v>378363</v>
      </c>
      <c r="AV165" s="33">
        <f xml:space="preserve"> IF(AU165="s.i", "s.i", IF(AND(AU165&gt;=Deflactor!$BQ$298,AU165&lt;Deflactor!$BQ$299), Deflactor!$BP$298, IF(AND(AU165&gt;=Deflactor!$BQ$299,AU165&lt;Deflactor!$BQ$300), Deflactor!$BP$299, IF(AND(AU165&gt;=Deflactor!$BQ$300,AU165&lt;Deflactor!$BQ$301), Deflactor!$BP$300, IF(AND(AU165&gt;=Deflactor!$BQ$301,AU165&lt;Deflactor!$BQ$302), Deflactor!$BP$301, IF(AND(AU165&gt;=Deflactor!$BQ$302,AU165&lt;Deflactor!$BQ$303), Deflactor!$BP$302, IF(AND(AU165&gt;=Deflactor!$BQ$303,AU165&lt;Deflactor!$BQ$304), Deflactor!$BP$303, IF(AND(AU165&gt;=Deflactor!$BQ$304,AU165&lt;Deflactor!$BQ$305), Deflactor!$BP$304, IF(AND(AU165&gt;=Deflactor!$BQ$305,AU165&lt;Deflactor!$BQ$306), Deflactor!$BP$305, IF(AND(AU165&gt;=Deflactor!$BQ$306,AU165&lt;Deflactor!$BQ$307), Deflactor!$BP$306, Deflactor!$BP$307) ) ) ) ) ) ) ) ) )</f>
        <v>1</v>
      </c>
      <c r="AW165" s="57" t="str">
        <f>+IFERROR(VLOOKUP(AV165,Deflactor!$BP$298:$BU$307,6,0),"")</f>
        <v>2 millones USD y menos</v>
      </c>
    </row>
    <row r="166" spans="1:49" x14ac:dyDescent="0.3">
      <c r="A166" s="3">
        <v>2013</v>
      </c>
      <c r="B166" s="3" t="s">
        <v>230</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c r="AR166" s="10">
        <f xml:space="preserve"> 9222654 * 1000</f>
        <v>9222654000</v>
      </c>
      <c r="AT166" s="46">
        <f t="shared" si="5"/>
        <v>9222654000</v>
      </c>
      <c r="AU166" s="54">
        <f xml:space="preserve"> IFERROR(ROUND(AT166 / VLOOKUP(A166,Tabla1[#All],2,0),0),"s.i")</f>
        <v>18631806</v>
      </c>
      <c r="AV166" s="33">
        <f xml:space="preserve"> IF(AU166="s.i", "s.i", IF(AND(AU166&gt;=Deflactor!$BQ$298,AU166&lt;Deflactor!$BQ$299), Deflactor!$BP$298, IF(AND(AU166&gt;=Deflactor!$BQ$299,AU166&lt;Deflactor!$BQ$300), Deflactor!$BP$299, IF(AND(AU166&gt;=Deflactor!$BQ$300,AU166&lt;Deflactor!$BQ$301), Deflactor!$BP$300, IF(AND(AU166&gt;=Deflactor!$BQ$301,AU166&lt;Deflactor!$BQ$302), Deflactor!$BP$301, IF(AND(AU166&gt;=Deflactor!$BQ$302,AU166&lt;Deflactor!$BQ$303), Deflactor!$BP$302, IF(AND(AU166&gt;=Deflactor!$BQ$303,AU166&lt;Deflactor!$BQ$304), Deflactor!$BP$303, IF(AND(AU166&gt;=Deflactor!$BQ$304,AU166&lt;Deflactor!$BQ$305), Deflactor!$BP$304, IF(AND(AU166&gt;=Deflactor!$BQ$305,AU166&lt;Deflactor!$BQ$306), Deflactor!$BP$305, IF(AND(AU166&gt;=Deflactor!$BQ$306,AU166&lt;Deflactor!$BQ$307), Deflactor!$BP$306, Deflactor!$BP$307) ) ) ) ) ) ) ) ) )</f>
        <v>6</v>
      </c>
      <c r="AW166" s="57" t="str">
        <f>+IFERROR(VLOOKUP(AV166,Deflactor!$BP$298:$BU$307,6,0),"")</f>
        <v>15 a 20 millones USD</v>
      </c>
    </row>
    <row r="167" spans="1:49" x14ac:dyDescent="0.3">
      <c r="A167" s="3">
        <v>2013</v>
      </c>
      <c r="B167" s="3" t="s">
        <v>231</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c r="AR167" s="10">
        <f xml:space="preserve"> 24153953 * 1000</f>
        <v>24153953000</v>
      </c>
      <c r="AT167" s="46">
        <f t="shared" si="5"/>
        <v>24153953000</v>
      </c>
      <c r="AU167" s="54">
        <f xml:space="preserve"> IFERROR(ROUND(AT167 / VLOOKUP(A167,Tabla1[#All],2,0),0),"s.i")</f>
        <v>48796342</v>
      </c>
      <c r="AV167" s="33">
        <f xml:space="preserve"> IF(AU167="s.i", "s.i", IF(AND(AU167&gt;=Deflactor!$BQ$298,AU167&lt;Deflactor!$BQ$299), Deflactor!$BP$298, IF(AND(AU167&gt;=Deflactor!$BQ$299,AU167&lt;Deflactor!$BQ$300), Deflactor!$BP$299, IF(AND(AU167&gt;=Deflactor!$BQ$300,AU167&lt;Deflactor!$BQ$301), Deflactor!$BP$300, IF(AND(AU167&gt;=Deflactor!$BQ$301,AU167&lt;Deflactor!$BQ$302), Deflactor!$BP$301, IF(AND(AU167&gt;=Deflactor!$BQ$302,AU167&lt;Deflactor!$BQ$303), Deflactor!$BP$302, IF(AND(AU167&gt;=Deflactor!$BQ$303,AU167&lt;Deflactor!$BQ$304), Deflactor!$BP$303, IF(AND(AU167&gt;=Deflactor!$BQ$304,AU167&lt;Deflactor!$BQ$305), Deflactor!$BP$304, IF(AND(AU167&gt;=Deflactor!$BQ$305,AU167&lt;Deflactor!$BQ$306), Deflactor!$BP$305, IF(AND(AU167&gt;=Deflactor!$BQ$306,AU167&lt;Deflactor!$BQ$307), Deflactor!$BP$306, Deflactor!$BP$307) ) ) ) ) ) ) ) ) )</f>
        <v>8</v>
      </c>
      <c r="AW167" s="57" t="str">
        <f>+IFERROR(VLOOKUP(AV167,Deflactor!$BP$298:$BU$307,6,0),"")</f>
        <v>30 a 50 millones USD</v>
      </c>
    </row>
    <row r="168" spans="1:49" x14ac:dyDescent="0.3">
      <c r="A168" s="3">
        <v>2013</v>
      </c>
      <c r="B168" s="3" t="s">
        <v>232</v>
      </c>
      <c r="C168" s="3" t="s">
        <v>7</v>
      </c>
      <c r="D168" s="3" t="s">
        <v>233</v>
      </c>
      <c r="E168" s="3" t="s">
        <v>234</v>
      </c>
      <c r="F168" s="3" t="s">
        <v>194</v>
      </c>
      <c r="G168" s="3"/>
      <c r="H168" s="12"/>
      <c r="I168" s="13"/>
      <c r="J168" s="10"/>
      <c r="K168" s="3"/>
      <c r="L168" s="3"/>
      <c r="M168" s="3"/>
      <c r="N168" s="3"/>
      <c r="O168" s="3"/>
      <c r="P168" s="3"/>
      <c r="Q168" s="3"/>
      <c r="R168" s="3"/>
      <c r="S168" s="3"/>
      <c r="T168" s="3"/>
      <c r="U168" s="3" t="s">
        <v>1326</v>
      </c>
      <c r="V168" s="3"/>
      <c r="W168" s="10" t="str">
        <f>IF( J168="s.i", "s.i", IF(ISBLANK(J168),"Actualizando información",IFERROR(J168 / VLOOKUP(A168,Deflactor!$G$3:$H$64,2,0),"Revisar error" )))</f>
        <v>Actualizando información</v>
      </c>
      <c r="AR168" s="10">
        <f xml:space="preserve"> 196771717 * 1000</f>
        <v>196771717000</v>
      </c>
      <c r="AT168" s="46">
        <f t="shared" si="5"/>
        <v>196771717000</v>
      </c>
      <c r="AU168" s="54">
        <f xml:space="preserve"> IFERROR(ROUND(AT168 / VLOOKUP(A168,Tabla1[#All],2,0),0),"s.i")</f>
        <v>397522506</v>
      </c>
      <c r="AV168" s="33">
        <f xml:space="preserve"> IF(AU168="s.i", "s.i", IF(AND(AU168&gt;=Deflactor!$BQ$298,AU168&lt;Deflactor!$BQ$299), Deflactor!$BP$298, IF(AND(AU168&gt;=Deflactor!$BQ$299,AU168&lt;Deflactor!$BQ$300), Deflactor!$BP$299, IF(AND(AU168&gt;=Deflactor!$BQ$300,AU168&lt;Deflactor!$BQ$301), Deflactor!$BP$300, IF(AND(AU168&gt;=Deflactor!$BQ$301,AU168&lt;Deflactor!$BQ$302), Deflactor!$BP$301, IF(AND(AU168&gt;=Deflactor!$BQ$302,AU168&lt;Deflactor!$BQ$303), Deflactor!$BP$302, IF(AND(AU168&gt;=Deflactor!$BQ$303,AU168&lt;Deflactor!$BQ$304), Deflactor!$BP$303, IF(AND(AU168&gt;=Deflactor!$BQ$304,AU168&lt;Deflactor!$BQ$305), Deflactor!$BP$304, IF(AND(AU168&gt;=Deflactor!$BQ$305,AU168&lt;Deflactor!$BQ$306), Deflactor!$BP$305, IF(AND(AU168&gt;=Deflactor!$BQ$306,AU168&lt;Deflactor!$BQ$307), Deflactor!$BP$306, Deflactor!$BP$307) ) ) ) ) ) ) ) ) )</f>
        <v>10</v>
      </c>
      <c r="AW168" s="57" t="str">
        <f>+IFERROR(VLOOKUP(AV168,Deflactor!$BP$298:$BU$307,6,0),"")</f>
        <v>100 millones USD y mas</v>
      </c>
    </row>
    <row r="169" spans="1:49" x14ac:dyDescent="0.3">
      <c r="A169" s="3">
        <v>2013</v>
      </c>
      <c r="B169" s="3" t="s">
        <v>235</v>
      </c>
      <c r="C169" s="3" t="s">
        <v>7</v>
      </c>
      <c r="D169" s="3" t="s">
        <v>54</v>
      </c>
      <c r="E169" s="3" t="s">
        <v>236</v>
      </c>
      <c r="F169" s="3" t="s">
        <v>89</v>
      </c>
      <c r="G169" s="3"/>
      <c r="H169" s="12"/>
      <c r="I169" s="13"/>
      <c r="J169" s="10"/>
      <c r="K169" s="3"/>
      <c r="L169" s="3"/>
      <c r="M169" s="3"/>
      <c r="N169" s="3"/>
      <c r="O169" s="3"/>
      <c r="P169" s="3"/>
      <c r="Q169" s="3"/>
      <c r="R169" s="3"/>
      <c r="S169" s="3"/>
      <c r="T169" s="3"/>
      <c r="U169" s="3" t="s">
        <v>1325</v>
      </c>
      <c r="V169" s="3"/>
      <c r="W169" s="10" t="str">
        <f>IF( J169="s.i", "s.i", IF(ISBLANK(J169),"Actualizando información",IFERROR(J169 / VLOOKUP(A169,Deflactor!$G$3:$H$64,2,0),"Revisar error" )))</f>
        <v>Actualizando información</v>
      </c>
      <c r="AR169" s="10">
        <f xml:space="preserve"> 46947637 * 1000</f>
        <v>46947637000</v>
      </c>
      <c r="AT169" s="46">
        <f t="shared" si="5"/>
        <v>46947637000</v>
      </c>
      <c r="AU169" s="54">
        <f xml:space="preserve"> IFERROR(ROUND(AT169 / VLOOKUP(A169,Tabla1[#All],2,0),0),"s.i")</f>
        <v>94844638</v>
      </c>
      <c r="AV169" s="33">
        <f xml:space="preserve"> IF(AU169="s.i", "s.i", IF(AND(AU169&gt;=Deflactor!$BQ$298,AU169&lt;Deflactor!$BQ$299), Deflactor!$BP$298, IF(AND(AU169&gt;=Deflactor!$BQ$299,AU169&lt;Deflactor!$BQ$300), Deflactor!$BP$299, IF(AND(AU169&gt;=Deflactor!$BQ$300,AU169&lt;Deflactor!$BQ$301), Deflactor!$BP$300, IF(AND(AU169&gt;=Deflactor!$BQ$301,AU169&lt;Deflactor!$BQ$302), Deflactor!$BP$301, IF(AND(AU169&gt;=Deflactor!$BQ$302,AU169&lt;Deflactor!$BQ$303), Deflactor!$BP$302, IF(AND(AU169&gt;=Deflactor!$BQ$303,AU169&lt;Deflactor!$BQ$304), Deflactor!$BP$303, IF(AND(AU169&gt;=Deflactor!$BQ$304,AU169&lt;Deflactor!$BQ$305), Deflactor!$BP$304, IF(AND(AU169&gt;=Deflactor!$BQ$305,AU169&lt;Deflactor!$BQ$306), Deflactor!$BP$305, IF(AND(AU169&gt;=Deflactor!$BQ$306,AU169&lt;Deflactor!$BQ$307), Deflactor!$BP$306, Deflactor!$BP$307) ) ) ) ) ) ) ) ) )</f>
        <v>9</v>
      </c>
      <c r="AW169" s="57" t="str">
        <f>+IFERROR(VLOOKUP(AV169,Deflactor!$BP$298:$BU$307,6,0),"")</f>
        <v>50 a 100 millones USD</v>
      </c>
    </row>
    <row r="170" spans="1:49" x14ac:dyDescent="0.3">
      <c r="A170" s="3">
        <v>2013</v>
      </c>
      <c r="B170" s="3" t="s">
        <v>237</v>
      </c>
      <c r="C170" s="3" t="s">
        <v>155</v>
      </c>
      <c r="D170" s="3" t="s">
        <v>64</v>
      </c>
      <c r="E170" s="3" t="s">
        <v>238</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c r="AR170" s="10">
        <f xml:space="preserve"> 4387607 * 1000</f>
        <v>4387607000</v>
      </c>
      <c r="AT170" s="46">
        <f t="shared" si="5"/>
        <v>4387607000</v>
      </c>
      <c r="AU170" s="54">
        <f xml:space="preserve"> IFERROR(ROUND(AT170 / VLOOKUP(A170,Tabla1[#All],2,0),0),"s.i")</f>
        <v>8863939</v>
      </c>
      <c r="AV170" s="33">
        <f xml:space="preserve"> IF(AU170="s.i", "s.i", IF(AND(AU170&gt;=Deflactor!$BQ$298,AU170&lt;Deflactor!$BQ$299), Deflactor!$BP$298, IF(AND(AU170&gt;=Deflactor!$BQ$299,AU170&lt;Deflactor!$BQ$300), Deflactor!$BP$299, IF(AND(AU170&gt;=Deflactor!$BQ$300,AU170&lt;Deflactor!$BQ$301), Deflactor!$BP$300, IF(AND(AU170&gt;=Deflactor!$BQ$301,AU170&lt;Deflactor!$BQ$302), Deflactor!$BP$301, IF(AND(AU170&gt;=Deflactor!$BQ$302,AU170&lt;Deflactor!$BQ$303), Deflactor!$BP$302, IF(AND(AU170&gt;=Deflactor!$BQ$303,AU170&lt;Deflactor!$BQ$304), Deflactor!$BP$303, IF(AND(AU170&gt;=Deflactor!$BQ$304,AU170&lt;Deflactor!$BQ$305), Deflactor!$BP$304, IF(AND(AU170&gt;=Deflactor!$BQ$305,AU170&lt;Deflactor!$BQ$306), Deflactor!$BP$305, IF(AND(AU170&gt;=Deflactor!$BQ$306,AU170&lt;Deflactor!$BQ$307), Deflactor!$BP$306, Deflactor!$BP$307) ) ) ) ) ) ) ) ) )</f>
        <v>4</v>
      </c>
      <c r="AW170" s="57" t="str">
        <f>+IFERROR(VLOOKUP(AV170,Deflactor!$BP$298:$BU$307,6,0),"")</f>
        <v>7,5 a 10 millones USD</v>
      </c>
    </row>
    <row r="171" spans="1:49" x14ac:dyDescent="0.3">
      <c r="A171" s="3">
        <v>2013</v>
      </c>
      <c r="B171" s="3" t="s">
        <v>239</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c r="AR171" s="10">
        <f xml:space="preserve"> 3941517 * 1000</f>
        <v>3941517000</v>
      </c>
      <c r="AT171" s="46">
        <f t="shared" si="5"/>
        <v>3941517000</v>
      </c>
      <c r="AU171" s="54">
        <f xml:space="preserve"> IFERROR(ROUND(AT171 / VLOOKUP(A171,Tabla1[#All],2,0),0),"s.i")</f>
        <v>7962738</v>
      </c>
      <c r="AV171" s="33">
        <f xml:space="preserve"> IF(AU171="s.i", "s.i", IF(AND(AU171&gt;=Deflactor!$BQ$298,AU171&lt;Deflactor!$BQ$299), Deflactor!$BP$298, IF(AND(AU171&gt;=Deflactor!$BQ$299,AU171&lt;Deflactor!$BQ$300), Deflactor!$BP$299, IF(AND(AU171&gt;=Deflactor!$BQ$300,AU171&lt;Deflactor!$BQ$301), Deflactor!$BP$300, IF(AND(AU171&gt;=Deflactor!$BQ$301,AU171&lt;Deflactor!$BQ$302), Deflactor!$BP$301, IF(AND(AU171&gt;=Deflactor!$BQ$302,AU171&lt;Deflactor!$BQ$303), Deflactor!$BP$302, IF(AND(AU171&gt;=Deflactor!$BQ$303,AU171&lt;Deflactor!$BQ$304), Deflactor!$BP$303, IF(AND(AU171&gt;=Deflactor!$BQ$304,AU171&lt;Deflactor!$BQ$305), Deflactor!$BP$304, IF(AND(AU171&gt;=Deflactor!$BQ$305,AU171&lt;Deflactor!$BQ$306), Deflactor!$BP$305, IF(AND(AU171&gt;=Deflactor!$BQ$306,AU171&lt;Deflactor!$BQ$307), Deflactor!$BP$306, Deflactor!$BP$307) ) ) ) ) ) ) ) ) )</f>
        <v>4</v>
      </c>
      <c r="AW171" s="57" t="str">
        <f>+IFERROR(VLOOKUP(AV171,Deflactor!$BP$298:$BU$307,6,0),"")</f>
        <v>7,5 a 10 millones USD</v>
      </c>
    </row>
    <row r="172" spans="1:49" x14ac:dyDescent="0.3">
      <c r="A172" s="3">
        <v>2013</v>
      </c>
      <c r="B172" s="3" t="s">
        <v>240</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c r="AR172" s="10">
        <f xml:space="preserve"> 3941517 * 1000</f>
        <v>3941517000</v>
      </c>
      <c r="AT172" s="46">
        <f t="shared" si="5"/>
        <v>3941517000</v>
      </c>
      <c r="AU172" s="54">
        <f xml:space="preserve"> IFERROR(ROUND(AT172 / VLOOKUP(A172,Tabla1[#All],2,0),0),"s.i")</f>
        <v>7962738</v>
      </c>
      <c r="AV172" s="33">
        <f xml:space="preserve"> IF(AU172="s.i", "s.i", IF(AND(AU172&gt;=Deflactor!$BQ$298,AU172&lt;Deflactor!$BQ$299), Deflactor!$BP$298, IF(AND(AU172&gt;=Deflactor!$BQ$299,AU172&lt;Deflactor!$BQ$300), Deflactor!$BP$299, IF(AND(AU172&gt;=Deflactor!$BQ$300,AU172&lt;Deflactor!$BQ$301), Deflactor!$BP$300, IF(AND(AU172&gt;=Deflactor!$BQ$301,AU172&lt;Deflactor!$BQ$302), Deflactor!$BP$301, IF(AND(AU172&gt;=Deflactor!$BQ$302,AU172&lt;Deflactor!$BQ$303), Deflactor!$BP$302, IF(AND(AU172&gt;=Deflactor!$BQ$303,AU172&lt;Deflactor!$BQ$304), Deflactor!$BP$303, IF(AND(AU172&gt;=Deflactor!$BQ$304,AU172&lt;Deflactor!$BQ$305), Deflactor!$BP$304, IF(AND(AU172&gt;=Deflactor!$BQ$305,AU172&lt;Deflactor!$BQ$306), Deflactor!$BP$305, IF(AND(AU172&gt;=Deflactor!$BQ$306,AU172&lt;Deflactor!$BQ$307), Deflactor!$BP$306, Deflactor!$BP$307) ) ) ) ) ) ) ) ) )</f>
        <v>4</v>
      </c>
      <c r="AW172" s="57" t="str">
        <f>+IFERROR(VLOOKUP(AV172,Deflactor!$BP$298:$BU$307,6,0),"")</f>
        <v>7,5 a 10 millones USD</v>
      </c>
    </row>
    <row r="173" spans="1:49" x14ac:dyDescent="0.3">
      <c r="A173" s="3">
        <v>2013</v>
      </c>
      <c r="B173" s="3" t="s">
        <v>241</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c r="AR173" s="10">
        <f xml:space="preserve"> 3941517 * 1000</f>
        <v>3941517000</v>
      </c>
      <c r="AT173" s="46">
        <f t="shared" si="5"/>
        <v>3941517000</v>
      </c>
      <c r="AU173" s="54">
        <f xml:space="preserve"> IFERROR(ROUND(AT173 / VLOOKUP(A173,Tabla1[#All],2,0),0),"s.i")</f>
        <v>7962738</v>
      </c>
      <c r="AV173" s="33">
        <f xml:space="preserve"> IF(AU173="s.i", "s.i", IF(AND(AU173&gt;=Deflactor!$BQ$298,AU173&lt;Deflactor!$BQ$299), Deflactor!$BP$298, IF(AND(AU173&gt;=Deflactor!$BQ$299,AU173&lt;Deflactor!$BQ$300), Deflactor!$BP$299, IF(AND(AU173&gt;=Deflactor!$BQ$300,AU173&lt;Deflactor!$BQ$301), Deflactor!$BP$300, IF(AND(AU173&gt;=Deflactor!$BQ$301,AU173&lt;Deflactor!$BQ$302), Deflactor!$BP$301, IF(AND(AU173&gt;=Deflactor!$BQ$302,AU173&lt;Deflactor!$BQ$303), Deflactor!$BP$302, IF(AND(AU173&gt;=Deflactor!$BQ$303,AU173&lt;Deflactor!$BQ$304), Deflactor!$BP$303, IF(AND(AU173&gt;=Deflactor!$BQ$304,AU173&lt;Deflactor!$BQ$305), Deflactor!$BP$304, IF(AND(AU173&gt;=Deflactor!$BQ$305,AU173&lt;Deflactor!$BQ$306), Deflactor!$BP$305, IF(AND(AU173&gt;=Deflactor!$BQ$306,AU173&lt;Deflactor!$BQ$307), Deflactor!$BP$306, Deflactor!$BP$307) ) ) ) ) ) ) ) ) )</f>
        <v>4</v>
      </c>
      <c r="AW173" s="57" t="str">
        <f>+IFERROR(VLOOKUP(AV173,Deflactor!$BP$298:$BU$307,6,0),"")</f>
        <v>7,5 a 10 millones USD</v>
      </c>
    </row>
    <row r="174" spans="1:49" x14ac:dyDescent="0.3">
      <c r="A174" s="3">
        <v>2013</v>
      </c>
      <c r="B174" s="3" t="s">
        <v>242</v>
      </c>
      <c r="C174" s="3" t="s">
        <v>7</v>
      </c>
      <c r="D174" s="3" t="s">
        <v>54</v>
      </c>
      <c r="E174" s="3" t="s">
        <v>243</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c r="AR174" s="10">
        <f xml:space="preserve"> 134687177 * 1000</f>
        <v>134687177000</v>
      </c>
      <c r="AT174" s="46">
        <f t="shared" si="5"/>
        <v>134687177000</v>
      </c>
      <c r="AU174" s="54">
        <f xml:space="preserve"> IFERROR(ROUND(AT174 / VLOOKUP(A174,Tabla1[#All],2,0),0),"s.i")</f>
        <v>272097967</v>
      </c>
      <c r="AV174" s="33">
        <f xml:space="preserve"> IF(AU174="s.i", "s.i", IF(AND(AU174&gt;=Deflactor!$BQ$298,AU174&lt;Deflactor!$BQ$299), Deflactor!$BP$298, IF(AND(AU174&gt;=Deflactor!$BQ$299,AU174&lt;Deflactor!$BQ$300), Deflactor!$BP$299, IF(AND(AU174&gt;=Deflactor!$BQ$300,AU174&lt;Deflactor!$BQ$301), Deflactor!$BP$300, IF(AND(AU174&gt;=Deflactor!$BQ$301,AU174&lt;Deflactor!$BQ$302), Deflactor!$BP$301, IF(AND(AU174&gt;=Deflactor!$BQ$302,AU174&lt;Deflactor!$BQ$303), Deflactor!$BP$302, IF(AND(AU174&gt;=Deflactor!$BQ$303,AU174&lt;Deflactor!$BQ$304), Deflactor!$BP$303, IF(AND(AU174&gt;=Deflactor!$BQ$304,AU174&lt;Deflactor!$BQ$305), Deflactor!$BP$304, IF(AND(AU174&gt;=Deflactor!$BQ$305,AU174&lt;Deflactor!$BQ$306), Deflactor!$BP$305, IF(AND(AU174&gt;=Deflactor!$BQ$306,AU174&lt;Deflactor!$BQ$307), Deflactor!$BP$306, Deflactor!$BP$307) ) ) ) ) ) ) ) ) )</f>
        <v>10</v>
      </c>
      <c r="AW174" s="57" t="str">
        <f>+IFERROR(VLOOKUP(AV174,Deflactor!$BP$298:$BU$307,6,0),"")</f>
        <v>100 millones USD y mas</v>
      </c>
    </row>
    <row r="175" spans="1:49" x14ac:dyDescent="0.3">
      <c r="A175" s="3">
        <v>2012</v>
      </c>
      <c r="B175" s="3" t="s">
        <v>244</v>
      </c>
      <c r="C175" s="3" t="s">
        <v>92</v>
      </c>
      <c r="D175" s="3" t="s">
        <v>8</v>
      </c>
      <c r="E175" s="3" t="s">
        <v>51</v>
      </c>
      <c r="F175" s="3" t="s">
        <v>157</v>
      </c>
      <c r="G175" s="3" t="s">
        <v>623</v>
      </c>
      <c r="H175" s="12">
        <v>2004</v>
      </c>
      <c r="I175" s="13" t="s">
        <v>623</v>
      </c>
      <c r="J175" s="10" t="s">
        <v>623</v>
      </c>
      <c r="K175" s="3" t="s">
        <v>2305</v>
      </c>
      <c r="L175" s="3" t="s">
        <v>1442</v>
      </c>
      <c r="M175" s="3" t="s">
        <v>1443</v>
      </c>
      <c r="N175" s="3" t="s">
        <v>1444</v>
      </c>
      <c r="O175" s="3"/>
      <c r="P175" s="3"/>
      <c r="Q175" s="3"/>
      <c r="R175" s="3" t="s">
        <v>1445</v>
      </c>
      <c r="S175" s="3"/>
      <c r="T175" s="3"/>
      <c r="U175" s="3" t="s">
        <v>1446</v>
      </c>
      <c r="V175" s="3"/>
      <c r="W175" s="10" t="str">
        <f>IF( J175="s.i", "s.i", IF(ISBLANK(J175),"Actualizando información",IFERROR(J175 / VLOOKUP(A175,Deflactor!$G$3:$H$64,2,0),"Revisar error" )))</f>
        <v>s.i</v>
      </c>
      <c r="AR175" s="34">
        <f xml:space="preserve"> 16040645 * 1000</f>
        <v>16040645000</v>
      </c>
      <c r="AT175" s="46">
        <f t="shared" si="5"/>
        <v>16040645000</v>
      </c>
      <c r="AU175" s="54">
        <f xml:space="preserve"> IFERROR(ROUND(AT175 / VLOOKUP(A175,Tabla1[#All],2,0),0),"s.i")</f>
        <v>32954820</v>
      </c>
      <c r="AV175" s="33">
        <f xml:space="preserve"> IF(AU175="s.i", "s.i", IF(AND(AU175&gt;=Deflactor!$BQ$298,AU175&lt;Deflactor!$BQ$299), Deflactor!$BP$298, IF(AND(AU175&gt;=Deflactor!$BQ$299,AU175&lt;Deflactor!$BQ$300), Deflactor!$BP$299, IF(AND(AU175&gt;=Deflactor!$BQ$300,AU175&lt;Deflactor!$BQ$301), Deflactor!$BP$300, IF(AND(AU175&gt;=Deflactor!$BQ$301,AU175&lt;Deflactor!$BQ$302), Deflactor!$BP$301, IF(AND(AU175&gt;=Deflactor!$BQ$302,AU175&lt;Deflactor!$BQ$303), Deflactor!$BP$302, IF(AND(AU175&gt;=Deflactor!$BQ$303,AU175&lt;Deflactor!$BQ$304), Deflactor!$BP$303, IF(AND(AU175&gt;=Deflactor!$BQ$304,AU175&lt;Deflactor!$BQ$305), Deflactor!$BP$304, IF(AND(AU175&gt;=Deflactor!$BQ$305,AU175&lt;Deflactor!$BQ$306), Deflactor!$BP$305, IF(AND(AU175&gt;=Deflactor!$BQ$306,AU175&lt;Deflactor!$BQ$307), Deflactor!$BP$306, Deflactor!$BP$307) ) ) ) ) ) ) ) ) )</f>
        <v>8</v>
      </c>
      <c r="AW175" s="57" t="str">
        <f>+IFERROR(VLOOKUP(AV175,Deflactor!$BP$298:$BU$307,6,0),"")</f>
        <v>30 a 50 millones USD</v>
      </c>
    </row>
    <row r="176" spans="1:49" x14ac:dyDescent="0.3">
      <c r="A176" s="3">
        <v>2012</v>
      </c>
      <c r="B176" s="3" t="s">
        <v>245</v>
      </c>
      <c r="C176" s="3" t="s">
        <v>7</v>
      </c>
      <c r="D176" s="3" t="s">
        <v>12</v>
      </c>
      <c r="E176" s="3" t="s">
        <v>13</v>
      </c>
      <c r="F176" s="3" t="s">
        <v>89</v>
      </c>
      <c r="G176" s="3" t="s">
        <v>723</v>
      </c>
      <c r="H176" s="3">
        <v>1982</v>
      </c>
      <c r="I176" s="13" t="s">
        <v>623</v>
      </c>
      <c r="J176" s="10">
        <f xml:space="preserve"> 14262 * 1000000</f>
        <v>14262000000</v>
      </c>
      <c r="K176" s="3" t="s">
        <v>1673</v>
      </c>
      <c r="L176" s="3" t="s">
        <v>1447</v>
      </c>
      <c r="M176" s="3" t="s">
        <v>1448</v>
      </c>
      <c r="N176" s="3" t="s">
        <v>1449</v>
      </c>
      <c r="O176" s="3" t="s">
        <v>1450</v>
      </c>
      <c r="P176" s="3"/>
      <c r="Q176" s="3"/>
      <c r="R176" s="3" t="s">
        <v>1451</v>
      </c>
      <c r="S176" s="3" t="s">
        <v>1452</v>
      </c>
      <c r="T176" s="3"/>
      <c r="U176" s="30" t="s">
        <v>1324</v>
      </c>
      <c r="V176" s="3"/>
      <c r="W176" s="10">
        <f>IF( J176="s.i", "s.i", IF(ISBLANK(J176),"Actualizando información",IFERROR(J176 / VLOOKUP(A176,Deflactor!$G$3:$H$64,2,0),"Revisar error" )))</f>
        <v>14543909147.932167</v>
      </c>
      <c r="AR176" s="10">
        <f xml:space="preserve"> 14262616 * 1000</f>
        <v>14262616000</v>
      </c>
      <c r="AT176" s="46">
        <f t="shared" si="5"/>
        <v>14262616000</v>
      </c>
      <c r="AU176" s="54">
        <f xml:space="preserve"> IFERROR(ROUND(AT176 / VLOOKUP(A176,Tabla1[#All],2,0),0),"s.i")</f>
        <v>29301935</v>
      </c>
      <c r="AV176" s="33">
        <f xml:space="preserve"> IF(AU176="s.i", "s.i", IF(AND(AU176&gt;=Deflactor!$BQ$298,AU176&lt;Deflactor!$BQ$299), Deflactor!$BP$298, IF(AND(AU176&gt;=Deflactor!$BQ$299,AU176&lt;Deflactor!$BQ$300), Deflactor!$BP$299, IF(AND(AU176&gt;=Deflactor!$BQ$300,AU176&lt;Deflactor!$BQ$301), Deflactor!$BP$300, IF(AND(AU176&gt;=Deflactor!$BQ$301,AU176&lt;Deflactor!$BQ$302), Deflactor!$BP$301, IF(AND(AU176&gt;=Deflactor!$BQ$302,AU176&lt;Deflactor!$BQ$303), Deflactor!$BP$302, IF(AND(AU176&gt;=Deflactor!$BQ$303,AU176&lt;Deflactor!$BQ$304), Deflactor!$BP$303, IF(AND(AU176&gt;=Deflactor!$BQ$304,AU176&lt;Deflactor!$BQ$305), Deflactor!$BP$304, IF(AND(AU176&gt;=Deflactor!$BQ$305,AU176&lt;Deflactor!$BQ$306), Deflactor!$BP$305, IF(AND(AU176&gt;=Deflactor!$BQ$306,AU176&lt;Deflactor!$BQ$307), Deflactor!$BP$306, Deflactor!$BP$307) ) ) ) ) ) ) ) ) )</f>
        <v>7</v>
      </c>
      <c r="AW176" s="57" t="str">
        <f>+IFERROR(VLOOKUP(AV176,Deflactor!$BP$298:$BU$307,6,0),"")</f>
        <v>20 a 30 millones USD</v>
      </c>
    </row>
    <row r="177" spans="1:49" x14ac:dyDescent="0.3">
      <c r="A177" s="3">
        <v>2012</v>
      </c>
      <c r="B177" s="3" t="s">
        <v>246</v>
      </c>
      <c r="C177" s="3" t="s">
        <v>7</v>
      </c>
      <c r="D177" s="3" t="s">
        <v>25</v>
      </c>
      <c r="E177" s="3" t="s">
        <v>29</v>
      </c>
      <c r="F177" s="3" t="s">
        <v>95</v>
      </c>
      <c r="G177" s="3" t="s">
        <v>723</v>
      </c>
      <c r="H177" s="12">
        <v>2008</v>
      </c>
      <c r="I177" s="13" t="s">
        <v>623</v>
      </c>
      <c r="J177" s="10">
        <f xml:space="preserve"> 6790 * 1000000</f>
        <v>6790000000</v>
      </c>
      <c r="K177" s="3" t="s">
        <v>2193</v>
      </c>
      <c r="L177" s="3" t="s">
        <v>1453</v>
      </c>
      <c r="M177" s="3" t="s">
        <v>1454</v>
      </c>
      <c r="N177" s="3" t="s">
        <v>1455</v>
      </c>
      <c r="O177" s="3" t="s">
        <v>1456</v>
      </c>
      <c r="P177" s="3"/>
      <c r="Q177" s="3"/>
      <c r="R177" s="3" t="s">
        <v>1457</v>
      </c>
      <c r="S177" s="3" t="s">
        <v>1458</v>
      </c>
      <c r="T177" s="3" t="s">
        <v>1459</v>
      </c>
      <c r="U177" s="3" t="s">
        <v>877</v>
      </c>
      <c r="V177" s="3"/>
      <c r="W177" s="10">
        <f>IF( J177="s.i", "s.i", IF(ISBLANK(J177),"Actualizando información",IFERROR(J177 / VLOOKUP(A177,Deflactor!$G$3:$H$64,2,0),"Revisar error" )))</f>
        <v>6924214213.6067457</v>
      </c>
      <c r="AR177" s="10">
        <f xml:space="preserve"> 7385442 * 1000</f>
        <v>7385442000</v>
      </c>
      <c r="AT177" s="46">
        <f t="shared" si="5"/>
        <v>7385442000</v>
      </c>
      <c r="AU177" s="54">
        <f xml:space="preserve"> IFERROR(ROUND(AT177 / VLOOKUP(A177,Tabla1[#All],2,0),0),"s.i")</f>
        <v>15173075</v>
      </c>
      <c r="AV177" s="33">
        <f xml:space="preserve"> IF(AU177="s.i", "s.i", IF(AND(AU177&gt;=Deflactor!$BQ$298,AU177&lt;Deflactor!$BQ$299), Deflactor!$BP$298, IF(AND(AU177&gt;=Deflactor!$BQ$299,AU177&lt;Deflactor!$BQ$300), Deflactor!$BP$299, IF(AND(AU177&gt;=Deflactor!$BQ$300,AU177&lt;Deflactor!$BQ$301), Deflactor!$BP$300, IF(AND(AU177&gt;=Deflactor!$BQ$301,AU177&lt;Deflactor!$BQ$302), Deflactor!$BP$301, IF(AND(AU177&gt;=Deflactor!$BQ$302,AU177&lt;Deflactor!$BQ$303), Deflactor!$BP$302, IF(AND(AU177&gt;=Deflactor!$BQ$303,AU177&lt;Deflactor!$BQ$304), Deflactor!$BP$303, IF(AND(AU177&gt;=Deflactor!$BQ$304,AU177&lt;Deflactor!$BQ$305), Deflactor!$BP$304, IF(AND(AU177&gt;=Deflactor!$BQ$305,AU177&lt;Deflactor!$BQ$306), Deflactor!$BP$305, IF(AND(AU177&gt;=Deflactor!$BQ$306,AU177&lt;Deflactor!$BQ$307), Deflactor!$BP$306, Deflactor!$BP$307) ) ) ) ) ) ) ) ) )</f>
        <v>6</v>
      </c>
      <c r="AW177" s="57" t="str">
        <f>+IFERROR(VLOOKUP(AV177,Deflactor!$BP$298:$BU$307,6,0),"")</f>
        <v>15 a 20 millones USD</v>
      </c>
    </row>
    <row r="178" spans="1:49" x14ac:dyDescent="0.3">
      <c r="A178" s="3">
        <v>2012</v>
      </c>
      <c r="B178" s="3" t="s">
        <v>247</v>
      </c>
      <c r="C178" s="3" t="s">
        <v>7</v>
      </c>
      <c r="D178" s="3" t="s">
        <v>40</v>
      </c>
      <c r="E178" s="3" t="s">
        <v>43</v>
      </c>
      <c r="F178" s="3" t="s">
        <v>194</v>
      </c>
      <c r="G178" s="3" t="s">
        <v>623</v>
      </c>
      <c r="H178" s="12">
        <v>2010</v>
      </c>
      <c r="I178" s="13" t="s">
        <v>623</v>
      </c>
      <c r="J178" s="10">
        <f xml:space="preserve"> 4992810 * 1000000</f>
        <v>4992810000000</v>
      </c>
      <c r="K178" s="3"/>
      <c r="L178" s="3" t="s">
        <v>1460</v>
      </c>
      <c r="M178" s="3" t="s">
        <v>1461</v>
      </c>
      <c r="N178" s="3" t="s">
        <v>1462</v>
      </c>
      <c r="O178" s="3" t="s">
        <v>1463</v>
      </c>
      <c r="P178" s="3" t="s">
        <v>1464</v>
      </c>
      <c r="Q178" s="3"/>
      <c r="R178" s="3" t="s">
        <v>1465</v>
      </c>
      <c r="S178" s="3" t="s">
        <v>1466</v>
      </c>
      <c r="T178" s="3" t="s">
        <v>1467</v>
      </c>
      <c r="U178" s="3" t="s">
        <v>247</v>
      </c>
      <c r="V178" s="3"/>
      <c r="W178" s="10">
        <f>IF( J178="s.i", "s.i", IF(ISBLANK(J178),"Actualizando información",IFERROR(J178 / VLOOKUP(A178,Deflactor!$G$3:$H$64,2,0),"Revisar error" )))</f>
        <v>5091500142538.7188</v>
      </c>
      <c r="AR178" s="34"/>
      <c r="AT178" s="46"/>
      <c r="AU178" s="54"/>
      <c r="AV178" s="33">
        <f xml:space="preserve"> IF(AU178="s.i", "s.i", IF(AND(AU178&gt;=Deflactor!$BQ$298,AU178&lt;Deflactor!$BQ$299), Deflactor!$BP$298, IF(AND(AU178&gt;=Deflactor!$BQ$299,AU178&lt;Deflactor!$BQ$300), Deflactor!$BP$299, IF(AND(AU178&gt;=Deflactor!$BQ$300,AU178&lt;Deflactor!$BQ$301), Deflactor!$BP$300, IF(AND(AU178&gt;=Deflactor!$BQ$301,AU178&lt;Deflactor!$BQ$302), Deflactor!$BP$301, IF(AND(AU178&gt;=Deflactor!$BQ$302,AU178&lt;Deflactor!$BQ$303), Deflactor!$BP$302, IF(AND(AU178&gt;=Deflactor!$BQ$303,AU178&lt;Deflactor!$BQ$304), Deflactor!$BP$303, IF(AND(AU178&gt;=Deflactor!$BQ$304,AU178&lt;Deflactor!$BQ$305), Deflactor!$BP$304, IF(AND(AU178&gt;=Deflactor!$BQ$305,AU178&lt;Deflactor!$BQ$306), Deflactor!$BP$305, IF(AND(AU178&gt;=Deflactor!$BQ$306,AU178&lt;Deflactor!$BQ$307), Deflactor!$BP$306, Deflactor!$BP$307) ) ) ) ) ) ) ) ) )</f>
        <v>10</v>
      </c>
      <c r="AW178" s="57" t="str">
        <f>+IFERROR(VLOOKUP(AV178,Deflactor!$BP$298:$BU$307,6,0),"")</f>
        <v>100 millones USD y mas</v>
      </c>
    </row>
    <row r="179" spans="1:49" x14ac:dyDescent="0.3">
      <c r="A179" s="3">
        <v>2012</v>
      </c>
      <c r="B179" s="3" t="s">
        <v>248</v>
      </c>
      <c r="C179" s="3" t="s">
        <v>7</v>
      </c>
      <c r="D179" s="3" t="s">
        <v>54</v>
      </c>
      <c r="E179" s="3" t="s">
        <v>236</v>
      </c>
      <c r="F179" s="3" t="s">
        <v>95</v>
      </c>
      <c r="G179" s="3" t="s">
        <v>723</v>
      </c>
      <c r="H179" s="12">
        <v>1979</v>
      </c>
      <c r="I179" s="13" t="s">
        <v>623</v>
      </c>
      <c r="J179" s="10">
        <f xml:space="preserve"> 25639 * 1000000</f>
        <v>25639000000</v>
      </c>
      <c r="K179" s="3"/>
      <c r="L179" s="3" t="s">
        <v>1468</v>
      </c>
      <c r="M179" s="3" t="s">
        <v>1469</v>
      </c>
      <c r="N179" s="3"/>
      <c r="O179" s="3"/>
      <c r="P179" s="3"/>
      <c r="Q179" s="3"/>
      <c r="R179" s="3" t="s">
        <v>1470</v>
      </c>
      <c r="S179" s="3" t="s">
        <v>1471</v>
      </c>
      <c r="T179" s="3" t="s">
        <v>1472</v>
      </c>
      <c r="U179" s="3"/>
      <c r="V179" s="3"/>
      <c r="W179" s="10">
        <f>IF( J179="s.i", "s.i", IF(ISBLANK(J179),"Actualizando información",IFERROR(J179 / VLOOKUP(A179,Deflactor!$G$3:$H$64,2,0),"Revisar error" )))</f>
        <v>26145792079.920967</v>
      </c>
      <c r="AR179" s="10">
        <f xml:space="preserve"> 24176007 * 1000</f>
        <v>24176007000</v>
      </c>
      <c r="AT179" s="46">
        <f t="shared" si="5"/>
        <v>24176007000</v>
      </c>
      <c r="AU179" s="54">
        <f xml:space="preserve"> IFERROR(ROUND(AT179 / VLOOKUP(A179,Tabla1[#All],2,0),0),"s.i")</f>
        <v>49668573</v>
      </c>
      <c r="AV179" s="33">
        <f xml:space="preserve"> IF(AU179="s.i", "s.i", IF(AND(AU179&gt;=Deflactor!$BQ$298,AU179&lt;Deflactor!$BQ$299), Deflactor!$BP$298, IF(AND(AU179&gt;=Deflactor!$BQ$299,AU179&lt;Deflactor!$BQ$300), Deflactor!$BP$299, IF(AND(AU179&gt;=Deflactor!$BQ$300,AU179&lt;Deflactor!$BQ$301), Deflactor!$BP$300, IF(AND(AU179&gt;=Deflactor!$BQ$301,AU179&lt;Deflactor!$BQ$302), Deflactor!$BP$301, IF(AND(AU179&gt;=Deflactor!$BQ$302,AU179&lt;Deflactor!$BQ$303), Deflactor!$BP$302, IF(AND(AU179&gt;=Deflactor!$BQ$303,AU179&lt;Deflactor!$BQ$304), Deflactor!$BP$303, IF(AND(AU179&gt;=Deflactor!$BQ$304,AU179&lt;Deflactor!$BQ$305), Deflactor!$BP$304, IF(AND(AU179&gt;=Deflactor!$BQ$305,AU179&lt;Deflactor!$BQ$306), Deflactor!$BP$305, IF(AND(AU179&gt;=Deflactor!$BQ$306,AU179&lt;Deflactor!$BQ$307), Deflactor!$BP$306, Deflactor!$BP$307) ) ) ) ) ) ) ) ) )</f>
        <v>8</v>
      </c>
      <c r="AW179" s="57" t="str">
        <f>+IFERROR(VLOOKUP(AV179,Deflactor!$BP$298:$BU$307,6,0),"")</f>
        <v>30 a 50 millones USD</v>
      </c>
    </row>
    <row r="180" spans="1:49" x14ac:dyDescent="0.3">
      <c r="A180" s="3">
        <v>2012</v>
      </c>
      <c r="B180" s="3" t="s">
        <v>249</v>
      </c>
      <c r="C180" s="3" t="s">
        <v>7</v>
      </c>
      <c r="D180" s="3" t="s">
        <v>20</v>
      </c>
      <c r="E180" s="3" t="s">
        <v>23</v>
      </c>
      <c r="F180" s="3" t="s">
        <v>89</v>
      </c>
      <c r="G180" s="3" t="s">
        <v>723</v>
      </c>
      <c r="H180" s="3">
        <v>2006</v>
      </c>
      <c r="I180" s="13" t="s">
        <v>623</v>
      </c>
      <c r="J180" s="10">
        <f xml:space="preserve"> 3582775 * 1000</f>
        <v>3582775000</v>
      </c>
      <c r="K180" s="3" t="s">
        <v>1656</v>
      </c>
      <c r="L180" s="3" t="s">
        <v>1473</v>
      </c>
      <c r="M180" s="3" t="s">
        <v>1474</v>
      </c>
      <c r="N180" s="3" t="s">
        <v>1475</v>
      </c>
      <c r="O180" s="3" t="s">
        <v>1476</v>
      </c>
      <c r="P180" s="3" t="s">
        <v>1477</v>
      </c>
      <c r="Q180" s="3"/>
      <c r="R180" s="3" t="s">
        <v>1478</v>
      </c>
      <c r="S180" s="3" t="s">
        <v>1479</v>
      </c>
      <c r="T180" s="3"/>
      <c r="U180" s="3"/>
      <c r="V180" s="3"/>
      <c r="W180" s="10">
        <f>IF( J180="s.i", "s.i", IF(ISBLANK(J180),"Actualizando información",IFERROR(J180 / VLOOKUP(A180,Deflactor!$G$3:$H$64,2,0),"Revisar error" )))</f>
        <v>3653593752.4528584</v>
      </c>
      <c r="AR180" s="34">
        <f xml:space="preserve"> 3576648 * 1000</f>
        <v>3576648000</v>
      </c>
      <c r="AT180" s="46">
        <f t="shared" si="5"/>
        <v>3576648000</v>
      </c>
      <c r="AU180" s="54">
        <f xml:space="preserve"> IFERROR(ROUND(AT180 / VLOOKUP(A180,Tabla1[#All],2,0),0),"s.i")</f>
        <v>7348070</v>
      </c>
      <c r="AV180" s="33">
        <f xml:space="preserve"> IF(AU180="s.i", "s.i", IF(AND(AU180&gt;=Deflactor!$BQ$298,AU180&lt;Deflactor!$BQ$299), Deflactor!$BP$298, IF(AND(AU180&gt;=Deflactor!$BQ$299,AU180&lt;Deflactor!$BQ$300), Deflactor!$BP$299, IF(AND(AU180&gt;=Deflactor!$BQ$300,AU180&lt;Deflactor!$BQ$301), Deflactor!$BP$300, IF(AND(AU180&gt;=Deflactor!$BQ$301,AU180&lt;Deflactor!$BQ$302), Deflactor!$BP$301, IF(AND(AU180&gt;=Deflactor!$BQ$302,AU180&lt;Deflactor!$BQ$303), Deflactor!$BP$302, IF(AND(AU180&gt;=Deflactor!$BQ$303,AU180&lt;Deflactor!$BQ$304), Deflactor!$BP$303, IF(AND(AU180&gt;=Deflactor!$BQ$304,AU180&lt;Deflactor!$BQ$305), Deflactor!$BP$304, IF(AND(AU180&gt;=Deflactor!$BQ$305,AU180&lt;Deflactor!$BQ$306), Deflactor!$BP$305, IF(AND(AU180&gt;=Deflactor!$BQ$306,AU180&lt;Deflactor!$BQ$307), Deflactor!$BP$306, Deflactor!$BP$307) ) ) ) ) ) ) ) ) )</f>
        <v>3</v>
      </c>
      <c r="AW180" s="57" t="str">
        <f>+IFERROR(VLOOKUP(AV180,Deflactor!$BP$298:$BU$307,6,0),"")</f>
        <v>5 a 7,5 millones USD</v>
      </c>
    </row>
    <row r="181" spans="1:49" x14ac:dyDescent="0.3">
      <c r="A181" s="3">
        <v>2012</v>
      </c>
      <c r="B181" s="3" t="s">
        <v>250</v>
      </c>
      <c r="C181" s="3" t="s">
        <v>7</v>
      </c>
      <c r="D181" s="3" t="s">
        <v>20</v>
      </c>
      <c r="E181" s="3" t="s">
        <v>178</v>
      </c>
      <c r="F181" s="3" t="s">
        <v>194</v>
      </c>
      <c r="G181" s="3" t="s">
        <v>723</v>
      </c>
      <c r="H181" s="12">
        <v>2003</v>
      </c>
      <c r="I181" s="13" t="s">
        <v>623</v>
      </c>
      <c r="J181" s="10">
        <f xml:space="preserve"> 4047 * 1000000</f>
        <v>4047000000</v>
      </c>
      <c r="K181" s="3" t="s">
        <v>2148</v>
      </c>
      <c r="L181" s="3" t="s">
        <v>1480</v>
      </c>
      <c r="M181" s="3" t="s">
        <v>1481</v>
      </c>
      <c r="N181" s="3" t="s">
        <v>1482</v>
      </c>
      <c r="O181" s="3" t="s">
        <v>1483</v>
      </c>
      <c r="P181" s="3"/>
      <c r="Q181" s="3"/>
      <c r="R181" s="3" t="s">
        <v>1484</v>
      </c>
      <c r="S181" s="3" t="s">
        <v>1485</v>
      </c>
      <c r="T181" s="3" t="s">
        <v>1486</v>
      </c>
      <c r="U181" s="3" t="s">
        <v>250</v>
      </c>
      <c r="V181" s="3"/>
      <c r="W181" s="10">
        <f>IF( J181="s.i", "s.i", IF(ISBLANK(J181),"Actualizando información",IFERROR(J181 / VLOOKUP(A181,Deflactor!$G$3:$H$64,2,0),"Revisar error" )))</f>
        <v>4126994833.9420476</v>
      </c>
      <c r="AR181" s="10">
        <f xml:space="preserve"> 3974370 * 1000</f>
        <v>3974370000</v>
      </c>
      <c r="AT181" s="46">
        <f t="shared" si="5"/>
        <v>3974370000</v>
      </c>
      <c r="AU181" s="54">
        <f xml:space="preserve"> IFERROR(ROUND(AT181 / VLOOKUP(A181,Tabla1[#All],2,0),0),"s.i")</f>
        <v>8165173</v>
      </c>
      <c r="AV181" s="33">
        <f xml:space="preserve"> IF(AU181="s.i", "s.i", IF(AND(AU181&gt;=Deflactor!$BQ$298,AU181&lt;Deflactor!$BQ$299), Deflactor!$BP$298, IF(AND(AU181&gt;=Deflactor!$BQ$299,AU181&lt;Deflactor!$BQ$300), Deflactor!$BP$299, IF(AND(AU181&gt;=Deflactor!$BQ$300,AU181&lt;Deflactor!$BQ$301), Deflactor!$BP$300, IF(AND(AU181&gt;=Deflactor!$BQ$301,AU181&lt;Deflactor!$BQ$302), Deflactor!$BP$301, IF(AND(AU181&gt;=Deflactor!$BQ$302,AU181&lt;Deflactor!$BQ$303), Deflactor!$BP$302, IF(AND(AU181&gt;=Deflactor!$BQ$303,AU181&lt;Deflactor!$BQ$304), Deflactor!$BP$303, IF(AND(AU181&gt;=Deflactor!$BQ$304,AU181&lt;Deflactor!$BQ$305), Deflactor!$BP$304, IF(AND(AU181&gt;=Deflactor!$BQ$305,AU181&lt;Deflactor!$BQ$306), Deflactor!$BP$305, IF(AND(AU181&gt;=Deflactor!$BQ$306,AU181&lt;Deflactor!$BQ$307), Deflactor!$BP$306, Deflactor!$BP$307) ) ) ) ) ) ) ) ) )</f>
        <v>4</v>
      </c>
      <c r="AW181" s="57" t="str">
        <f>+IFERROR(VLOOKUP(AV181,Deflactor!$BP$298:$BU$307,6,0),"")</f>
        <v>7,5 a 10 millones USD</v>
      </c>
    </row>
    <row r="182" spans="1:49" x14ac:dyDescent="0.3">
      <c r="A182" s="3">
        <v>2012</v>
      </c>
      <c r="B182" s="3" t="s">
        <v>251</v>
      </c>
      <c r="C182" s="3" t="s">
        <v>92</v>
      </c>
      <c r="D182" s="3" t="s">
        <v>8</v>
      </c>
      <c r="E182" s="3" t="s">
        <v>51</v>
      </c>
      <c r="F182" s="3" t="s">
        <v>157</v>
      </c>
      <c r="G182" s="3" t="s">
        <v>623</v>
      </c>
      <c r="H182" s="12">
        <v>2009</v>
      </c>
      <c r="I182" s="13" t="s">
        <v>623</v>
      </c>
      <c r="J182" s="10" t="s">
        <v>623</v>
      </c>
      <c r="K182" s="3"/>
      <c r="L182" s="3" t="s">
        <v>1487</v>
      </c>
      <c r="M182" s="3" t="s">
        <v>1488</v>
      </c>
      <c r="N182" s="3" t="s">
        <v>1489</v>
      </c>
      <c r="O182" s="3"/>
      <c r="P182" s="3"/>
      <c r="Q182" s="3"/>
      <c r="R182" s="3" t="s">
        <v>1445</v>
      </c>
      <c r="S182" s="3"/>
      <c r="T182" s="3"/>
      <c r="U182" s="3" t="s">
        <v>1446</v>
      </c>
      <c r="V182" s="3"/>
      <c r="W182" s="10" t="str">
        <f>IF( J182="s.i", "s.i", IF(ISBLANK(J182),"Actualizando información",IFERROR(J182 / VLOOKUP(A182,Deflactor!$G$3:$H$64,2,0),"Revisar error" )))</f>
        <v>s.i</v>
      </c>
      <c r="AR182" s="34">
        <f xml:space="preserve"> 1573969 * 1000</f>
        <v>1573969000</v>
      </c>
      <c r="AT182" s="46">
        <f t="shared" si="5"/>
        <v>1573969000</v>
      </c>
      <c r="AU182" s="54">
        <f xml:space="preserve"> IFERROR(ROUND(AT182 / VLOOKUP(A182,Tabla1[#All],2,0),0),"s.i")</f>
        <v>3233652</v>
      </c>
      <c r="AV182" s="33">
        <f xml:space="preserve"> IF(AU182="s.i", "s.i", IF(AND(AU182&gt;=Deflactor!$BQ$298,AU182&lt;Deflactor!$BQ$299), Deflactor!$BP$298, IF(AND(AU182&gt;=Deflactor!$BQ$299,AU182&lt;Deflactor!$BQ$300), Deflactor!$BP$299, IF(AND(AU182&gt;=Deflactor!$BQ$300,AU182&lt;Deflactor!$BQ$301), Deflactor!$BP$300, IF(AND(AU182&gt;=Deflactor!$BQ$301,AU182&lt;Deflactor!$BQ$302), Deflactor!$BP$301, IF(AND(AU182&gt;=Deflactor!$BQ$302,AU182&lt;Deflactor!$BQ$303), Deflactor!$BP$302, IF(AND(AU182&gt;=Deflactor!$BQ$303,AU182&lt;Deflactor!$BQ$304), Deflactor!$BP$303, IF(AND(AU182&gt;=Deflactor!$BQ$304,AU182&lt;Deflactor!$BQ$305), Deflactor!$BP$304, IF(AND(AU182&gt;=Deflactor!$BQ$305,AU182&lt;Deflactor!$BQ$306), Deflactor!$BP$305, IF(AND(AU182&gt;=Deflactor!$BQ$306,AU182&lt;Deflactor!$BQ$307), Deflactor!$BP$306, Deflactor!$BP$307) ) ) ) ) ) ) ) ) )</f>
        <v>2</v>
      </c>
      <c r="AW182" s="57" t="str">
        <f>+IFERROR(VLOOKUP(AV182,Deflactor!$BP$298:$BU$307,6,0),"")</f>
        <v>2 a 5 millones USD</v>
      </c>
    </row>
    <row r="183" spans="1:49" x14ac:dyDescent="0.3">
      <c r="A183" s="3">
        <v>2012</v>
      </c>
      <c r="B183" s="3" t="s">
        <v>252</v>
      </c>
      <c r="C183" s="3" t="s">
        <v>92</v>
      </c>
      <c r="D183" s="3" t="s">
        <v>8</v>
      </c>
      <c r="E183" s="3" t="s">
        <v>51</v>
      </c>
      <c r="F183" s="3" t="s">
        <v>157</v>
      </c>
      <c r="G183" s="3" t="s">
        <v>623</v>
      </c>
      <c r="H183" s="12">
        <v>1991</v>
      </c>
      <c r="I183" s="13" t="s">
        <v>623</v>
      </c>
      <c r="J183" s="10" t="s">
        <v>623</v>
      </c>
      <c r="K183" s="3" t="s">
        <v>2304</v>
      </c>
      <c r="L183" s="3" t="s">
        <v>1490</v>
      </c>
      <c r="M183" s="3" t="s">
        <v>1491</v>
      </c>
      <c r="N183" s="3" t="s">
        <v>1492</v>
      </c>
      <c r="O183" s="3" t="s">
        <v>1493</v>
      </c>
      <c r="P183" s="3"/>
      <c r="Q183" s="3"/>
      <c r="R183" s="3" t="s">
        <v>1445</v>
      </c>
      <c r="S183" s="3"/>
      <c r="T183" s="3"/>
      <c r="U183" s="3" t="s">
        <v>252</v>
      </c>
      <c r="V183" s="3"/>
      <c r="W183" s="10" t="str">
        <f>IF( J183="s.i", "s.i", IF(ISBLANK(J183),"Actualizando información",IFERROR(J183 / VLOOKUP(A183,Deflactor!$G$3:$H$64,2,0),"Revisar error" )))</f>
        <v>s.i</v>
      </c>
      <c r="AR183" s="34">
        <f xml:space="preserve"> 12117961 * 1000</f>
        <v>12117961000</v>
      </c>
      <c r="AT183" s="46">
        <f t="shared" si="5"/>
        <v>12117961000</v>
      </c>
      <c r="AU183" s="54">
        <f xml:space="preserve"> IFERROR(ROUND(AT183 / VLOOKUP(A183,Tabla1[#All],2,0),0),"s.i")</f>
        <v>24895833</v>
      </c>
      <c r="AV183" s="33">
        <f xml:space="preserve"> IF(AU183="s.i", "s.i", IF(AND(AU183&gt;=Deflactor!$BQ$298,AU183&lt;Deflactor!$BQ$299), Deflactor!$BP$298, IF(AND(AU183&gt;=Deflactor!$BQ$299,AU183&lt;Deflactor!$BQ$300), Deflactor!$BP$299, IF(AND(AU183&gt;=Deflactor!$BQ$300,AU183&lt;Deflactor!$BQ$301), Deflactor!$BP$300, IF(AND(AU183&gt;=Deflactor!$BQ$301,AU183&lt;Deflactor!$BQ$302), Deflactor!$BP$301, IF(AND(AU183&gt;=Deflactor!$BQ$302,AU183&lt;Deflactor!$BQ$303), Deflactor!$BP$302, IF(AND(AU183&gt;=Deflactor!$BQ$303,AU183&lt;Deflactor!$BQ$304), Deflactor!$BP$303, IF(AND(AU183&gt;=Deflactor!$BQ$304,AU183&lt;Deflactor!$BQ$305), Deflactor!$BP$304, IF(AND(AU183&gt;=Deflactor!$BQ$305,AU183&lt;Deflactor!$BQ$306), Deflactor!$BP$305, IF(AND(AU183&gt;=Deflactor!$BQ$306,AU183&lt;Deflactor!$BQ$307), Deflactor!$BP$306, Deflactor!$BP$307) ) ) ) ) ) ) ) ) )</f>
        <v>7</v>
      </c>
      <c r="AW183" s="57" t="str">
        <f>+IFERROR(VLOOKUP(AV183,Deflactor!$BP$298:$BU$307,6,0),"")</f>
        <v>20 a 30 millones USD</v>
      </c>
    </row>
    <row r="184" spans="1:49" x14ac:dyDescent="0.3">
      <c r="A184" s="3">
        <v>2012</v>
      </c>
      <c r="B184" s="3" t="s">
        <v>253</v>
      </c>
      <c r="C184" s="3" t="s">
        <v>92</v>
      </c>
      <c r="D184" s="3" t="s">
        <v>8</v>
      </c>
      <c r="E184" s="3" t="s">
        <v>51</v>
      </c>
      <c r="F184" s="3" t="s">
        <v>157</v>
      </c>
      <c r="G184" s="3" t="s">
        <v>623</v>
      </c>
      <c r="H184" s="13" t="s">
        <v>623</v>
      </c>
      <c r="I184" s="13" t="s">
        <v>623</v>
      </c>
      <c r="J184" s="10" t="s">
        <v>623</v>
      </c>
      <c r="K184" s="3" t="s">
        <v>2304</v>
      </c>
      <c r="L184" s="3" t="s">
        <v>1494</v>
      </c>
      <c r="M184" s="3" t="s">
        <v>1495</v>
      </c>
      <c r="N184" s="3" t="s">
        <v>1496</v>
      </c>
      <c r="O184" s="3"/>
      <c r="P184" s="3"/>
      <c r="Q184" s="3"/>
      <c r="R184" s="3" t="s">
        <v>1445</v>
      </c>
      <c r="S184" s="3"/>
      <c r="T184" s="3"/>
      <c r="U184" s="3" t="s">
        <v>1446</v>
      </c>
      <c r="V184" s="3"/>
      <c r="W184" s="10" t="str">
        <f>IF( J184="s.i", "s.i", IF(ISBLANK(J184),"Actualizando información",IFERROR(J184 / VLOOKUP(A184,Deflactor!$G$3:$H$64,2,0),"Revisar error" )))</f>
        <v>s.i</v>
      </c>
      <c r="AR184" s="34">
        <f xml:space="preserve"> (36921991 + 16291636) * 1000</f>
        <v>53213627000</v>
      </c>
      <c r="AT184" s="46">
        <f t="shared" si="5"/>
        <v>53213627000</v>
      </c>
      <c r="AU184" s="54">
        <f xml:space="preserve"> IFERROR(ROUND(AT184 / VLOOKUP(A184,Tabla1[#All],2,0),0),"s.i")</f>
        <v>109325122</v>
      </c>
      <c r="AV184" s="33">
        <f xml:space="preserve"> IF(AU184="s.i", "s.i", IF(AND(AU184&gt;=Deflactor!$BQ$298,AU184&lt;Deflactor!$BQ$299), Deflactor!$BP$298, IF(AND(AU184&gt;=Deflactor!$BQ$299,AU184&lt;Deflactor!$BQ$300), Deflactor!$BP$299, IF(AND(AU184&gt;=Deflactor!$BQ$300,AU184&lt;Deflactor!$BQ$301), Deflactor!$BP$300, IF(AND(AU184&gt;=Deflactor!$BQ$301,AU184&lt;Deflactor!$BQ$302), Deflactor!$BP$301, IF(AND(AU184&gt;=Deflactor!$BQ$302,AU184&lt;Deflactor!$BQ$303), Deflactor!$BP$302, IF(AND(AU184&gt;=Deflactor!$BQ$303,AU184&lt;Deflactor!$BQ$304), Deflactor!$BP$303, IF(AND(AU184&gt;=Deflactor!$BQ$304,AU184&lt;Deflactor!$BQ$305), Deflactor!$BP$304, IF(AND(AU184&gt;=Deflactor!$BQ$305,AU184&lt;Deflactor!$BQ$306), Deflactor!$BP$305, IF(AND(AU184&gt;=Deflactor!$BQ$306,AU184&lt;Deflactor!$BQ$307), Deflactor!$BP$306, Deflactor!$BP$307) ) ) ) ) ) ) ) ) )</f>
        <v>10</v>
      </c>
      <c r="AW184" s="57" t="str">
        <f>+IFERROR(VLOOKUP(AV184,Deflactor!$BP$298:$BU$307,6,0),"")</f>
        <v>100 millones USD y mas</v>
      </c>
    </row>
    <row r="185" spans="1:49" x14ac:dyDescent="0.3">
      <c r="A185" s="3">
        <v>2012</v>
      </c>
      <c r="B185" s="3" t="s">
        <v>254</v>
      </c>
      <c r="C185" s="3" t="s">
        <v>92</v>
      </c>
      <c r="D185" s="3" t="s">
        <v>8</v>
      </c>
      <c r="E185" s="3" t="s">
        <v>51</v>
      </c>
      <c r="F185" s="3" t="s">
        <v>157</v>
      </c>
      <c r="G185" s="3" t="s">
        <v>623</v>
      </c>
      <c r="H185" s="12">
        <v>2008</v>
      </c>
      <c r="I185" s="13" t="s">
        <v>623</v>
      </c>
      <c r="J185" s="10" t="s">
        <v>623</v>
      </c>
      <c r="K185" s="3" t="s">
        <v>2306</v>
      </c>
      <c r="L185" s="3" t="s">
        <v>1497</v>
      </c>
      <c r="M185" s="3" t="s">
        <v>1498</v>
      </c>
      <c r="N185" s="3" t="s">
        <v>1499</v>
      </c>
      <c r="O185" s="3" t="s">
        <v>1500</v>
      </c>
      <c r="P185" s="3"/>
      <c r="Q185" s="3"/>
      <c r="R185" s="3" t="s">
        <v>1445</v>
      </c>
      <c r="S185" s="3"/>
      <c r="T185" s="3"/>
      <c r="U185" s="3" t="s">
        <v>1446</v>
      </c>
      <c r="V185" s="3"/>
      <c r="W185" s="10" t="str">
        <f>IF( J185="s.i", "s.i", IF(ISBLANK(J185),"Actualizando información",IFERROR(J185 / VLOOKUP(A185,Deflactor!$G$3:$H$64,2,0),"Revisar error" )))</f>
        <v>s.i</v>
      </c>
      <c r="AR185" s="34">
        <f xml:space="preserve"> (4761492 + 2019538) * 1000</f>
        <v>6781030000</v>
      </c>
      <c r="AT185" s="46">
        <f t="shared" si="5"/>
        <v>6781030000</v>
      </c>
      <c r="AU185" s="54">
        <f xml:space="preserve"> IFERROR(ROUND(AT185 / VLOOKUP(A185,Tabla1[#All],2,0),0),"s.i")</f>
        <v>13931336</v>
      </c>
      <c r="AV185" s="33">
        <f xml:space="preserve"> IF(AU185="s.i", "s.i", IF(AND(AU185&gt;=Deflactor!$BQ$298,AU185&lt;Deflactor!$BQ$299), Deflactor!$BP$298, IF(AND(AU185&gt;=Deflactor!$BQ$299,AU185&lt;Deflactor!$BQ$300), Deflactor!$BP$299, IF(AND(AU185&gt;=Deflactor!$BQ$300,AU185&lt;Deflactor!$BQ$301), Deflactor!$BP$300, IF(AND(AU185&gt;=Deflactor!$BQ$301,AU185&lt;Deflactor!$BQ$302), Deflactor!$BP$301, IF(AND(AU185&gt;=Deflactor!$BQ$302,AU185&lt;Deflactor!$BQ$303), Deflactor!$BP$302, IF(AND(AU185&gt;=Deflactor!$BQ$303,AU185&lt;Deflactor!$BQ$304), Deflactor!$BP$303, IF(AND(AU185&gt;=Deflactor!$BQ$304,AU185&lt;Deflactor!$BQ$305), Deflactor!$BP$304, IF(AND(AU185&gt;=Deflactor!$BQ$305,AU185&lt;Deflactor!$BQ$306), Deflactor!$BP$305, IF(AND(AU185&gt;=Deflactor!$BQ$306,AU185&lt;Deflactor!$BQ$307), Deflactor!$BP$306, Deflactor!$BP$307) ) ) ) ) ) ) ) ) )</f>
        <v>5</v>
      </c>
      <c r="AW185" s="57" t="str">
        <f>+IFERROR(VLOOKUP(AV185,Deflactor!$BP$298:$BU$307,6,0),"")</f>
        <v>10 a 15 millones USD</v>
      </c>
    </row>
    <row r="186" spans="1:49" x14ac:dyDescent="0.3">
      <c r="A186" s="3">
        <v>2012</v>
      </c>
      <c r="B186" s="3" t="s">
        <v>255</v>
      </c>
      <c r="C186" s="3" t="s">
        <v>92</v>
      </c>
      <c r="D186" s="3" t="s">
        <v>8</v>
      </c>
      <c r="E186" s="3" t="s">
        <v>51</v>
      </c>
      <c r="F186" s="3" t="s">
        <v>157</v>
      </c>
      <c r="G186" s="3" t="s">
        <v>623</v>
      </c>
      <c r="H186" s="12">
        <v>2009</v>
      </c>
      <c r="I186" s="13" t="s">
        <v>623</v>
      </c>
      <c r="J186" s="10" t="s">
        <v>623</v>
      </c>
      <c r="K186" s="3" t="s">
        <v>2307</v>
      </c>
      <c r="L186" s="3" t="s">
        <v>1501</v>
      </c>
      <c r="M186" s="3" t="s">
        <v>1502</v>
      </c>
      <c r="N186" s="3" t="s">
        <v>1503</v>
      </c>
      <c r="O186" s="3" t="s">
        <v>1504</v>
      </c>
      <c r="P186" s="3" t="s">
        <v>1505</v>
      </c>
      <c r="Q186" s="3"/>
      <c r="R186" s="3" t="s">
        <v>1445</v>
      </c>
      <c r="S186" s="3"/>
      <c r="T186" s="3"/>
      <c r="U186" s="3" t="s">
        <v>1446</v>
      </c>
      <c r="V186" s="3" t="s">
        <v>1506</v>
      </c>
      <c r="W186" s="10" t="str">
        <f>IF( J186="s.i", "s.i", IF(ISBLANK(J186),"Actualizando información",IFERROR(J186 / VLOOKUP(A186,Deflactor!$G$3:$H$64,2,0),"Revisar error" )))</f>
        <v>s.i</v>
      </c>
      <c r="AR186" s="34">
        <f xml:space="preserve"> 1100133 * 1000</f>
        <v>1100133000</v>
      </c>
      <c r="AT186" s="46">
        <f t="shared" si="5"/>
        <v>1100133000</v>
      </c>
      <c r="AU186" s="54">
        <f xml:space="preserve"> IFERROR(ROUND(AT186 / VLOOKUP(A186,Tabla1[#All],2,0),0),"s.i")</f>
        <v>2260176</v>
      </c>
      <c r="AV186" s="33">
        <f xml:space="preserve"> IF(AU186="s.i", "s.i", IF(AND(AU186&gt;=Deflactor!$BQ$298,AU186&lt;Deflactor!$BQ$299), Deflactor!$BP$298, IF(AND(AU186&gt;=Deflactor!$BQ$299,AU186&lt;Deflactor!$BQ$300), Deflactor!$BP$299, IF(AND(AU186&gt;=Deflactor!$BQ$300,AU186&lt;Deflactor!$BQ$301), Deflactor!$BP$300, IF(AND(AU186&gt;=Deflactor!$BQ$301,AU186&lt;Deflactor!$BQ$302), Deflactor!$BP$301, IF(AND(AU186&gt;=Deflactor!$BQ$302,AU186&lt;Deflactor!$BQ$303), Deflactor!$BP$302, IF(AND(AU186&gt;=Deflactor!$BQ$303,AU186&lt;Deflactor!$BQ$304), Deflactor!$BP$303, IF(AND(AU186&gt;=Deflactor!$BQ$304,AU186&lt;Deflactor!$BQ$305), Deflactor!$BP$304, IF(AND(AU186&gt;=Deflactor!$BQ$305,AU186&lt;Deflactor!$BQ$306), Deflactor!$BP$305, IF(AND(AU186&gt;=Deflactor!$BQ$306,AU186&lt;Deflactor!$BQ$307), Deflactor!$BP$306, Deflactor!$BP$307) ) ) ) ) ) ) ) ) )</f>
        <v>2</v>
      </c>
      <c r="AW186" s="57" t="str">
        <f>+IFERROR(VLOOKUP(AV186,Deflactor!$BP$298:$BU$307,6,0),"")</f>
        <v>2 a 5 millones USD</v>
      </c>
    </row>
    <row r="187" spans="1:49" x14ac:dyDescent="0.3">
      <c r="A187" s="3">
        <v>2012</v>
      </c>
      <c r="B187" s="3" t="s">
        <v>256</v>
      </c>
      <c r="C187" s="3" t="s">
        <v>92</v>
      </c>
      <c r="D187" s="3" t="s">
        <v>8</v>
      </c>
      <c r="E187" s="3" t="s">
        <v>51</v>
      </c>
      <c r="F187" s="3" t="s">
        <v>157</v>
      </c>
      <c r="G187" s="3" t="s">
        <v>623</v>
      </c>
      <c r="H187" s="12">
        <v>2010</v>
      </c>
      <c r="I187" s="13" t="s">
        <v>623</v>
      </c>
      <c r="J187" s="10" t="s">
        <v>623</v>
      </c>
      <c r="K187" s="3" t="s">
        <v>2308</v>
      </c>
      <c r="L187" s="3" t="s">
        <v>1507</v>
      </c>
      <c r="M187" s="3" t="s">
        <v>1508</v>
      </c>
      <c r="N187" s="3" t="s">
        <v>1509</v>
      </c>
      <c r="O187" s="3" t="s">
        <v>1510</v>
      </c>
      <c r="P187" s="3" t="s">
        <v>1511</v>
      </c>
      <c r="Q187" s="3"/>
      <c r="R187" s="3" t="s">
        <v>1445</v>
      </c>
      <c r="S187" s="3"/>
      <c r="T187" s="3"/>
      <c r="U187" s="3" t="s">
        <v>1446</v>
      </c>
      <c r="V187" s="3"/>
      <c r="W187" s="10" t="str">
        <f>IF( J187="s.i", "s.i", IF(ISBLANK(J187),"Actualizando información",IFERROR(J187 / VLOOKUP(A187,Deflactor!$G$3:$H$64,2,0),"Revisar error" )))</f>
        <v>s.i</v>
      </c>
      <c r="AR187" s="34">
        <f xml:space="preserve"> (7265706 + 4354755) * 1000</f>
        <v>11620461000</v>
      </c>
      <c r="AT187" s="46">
        <f t="shared" si="5"/>
        <v>11620461000</v>
      </c>
      <c r="AU187" s="54">
        <f xml:space="preserve"> IFERROR(ROUND(AT187 / VLOOKUP(A187,Tabla1[#All],2,0),0),"s.i")</f>
        <v>23873740</v>
      </c>
      <c r="AV187" s="33">
        <f xml:space="preserve"> IF(AU187="s.i", "s.i", IF(AND(AU187&gt;=Deflactor!$BQ$298,AU187&lt;Deflactor!$BQ$299), Deflactor!$BP$298, IF(AND(AU187&gt;=Deflactor!$BQ$299,AU187&lt;Deflactor!$BQ$300), Deflactor!$BP$299, IF(AND(AU187&gt;=Deflactor!$BQ$300,AU187&lt;Deflactor!$BQ$301), Deflactor!$BP$300, IF(AND(AU187&gt;=Deflactor!$BQ$301,AU187&lt;Deflactor!$BQ$302), Deflactor!$BP$301, IF(AND(AU187&gt;=Deflactor!$BQ$302,AU187&lt;Deflactor!$BQ$303), Deflactor!$BP$302, IF(AND(AU187&gt;=Deflactor!$BQ$303,AU187&lt;Deflactor!$BQ$304), Deflactor!$BP$303, IF(AND(AU187&gt;=Deflactor!$BQ$304,AU187&lt;Deflactor!$BQ$305), Deflactor!$BP$304, IF(AND(AU187&gt;=Deflactor!$BQ$305,AU187&lt;Deflactor!$BQ$306), Deflactor!$BP$305, IF(AND(AU187&gt;=Deflactor!$BQ$306,AU187&lt;Deflactor!$BQ$307), Deflactor!$BP$306, Deflactor!$BP$307) ) ) ) ) ) ) ) ) )</f>
        <v>7</v>
      </c>
      <c r="AW187" s="57" t="str">
        <f>+IFERROR(VLOOKUP(AV187,Deflactor!$BP$298:$BU$307,6,0),"")</f>
        <v>20 a 30 millones USD</v>
      </c>
    </row>
    <row r="188" spans="1:49" x14ac:dyDescent="0.3">
      <c r="A188" s="3">
        <v>2012</v>
      </c>
      <c r="B188" s="3" t="s">
        <v>257</v>
      </c>
      <c r="C188" s="3" t="s">
        <v>92</v>
      </c>
      <c r="D188" s="3" t="s">
        <v>8</v>
      </c>
      <c r="E188" s="3" t="s">
        <v>51</v>
      </c>
      <c r="F188" s="3" t="s">
        <v>157</v>
      </c>
      <c r="G188" s="3" t="s">
        <v>623</v>
      </c>
      <c r="H188" s="12">
        <v>1992</v>
      </c>
      <c r="I188" s="13" t="s">
        <v>623</v>
      </c>
      <c r="J188" s="10" t="s">
        <v>623</v>
      </c>
      <c r="K188" s="3" t="s">
        <v>2309</v>
      </c>
      <c r="L188" s="3" t="s">
        <v>1512</v>
      </c>
      <c r="M188" s="3" t="s">
        <v>1513</v>
      </c>
      <c r="N188" s="3" t="s">
        <v>1514</v>
      </c>
      <c r="O188" s="3" t="s">
        <v>1515</v>
      </c>
      <c r="P188" s="3"/>
      <c r="Q188" s="3"/>
      <c r="R188" s="3" t="s">
        <v>1445</v>
      </c>
      <c r="S188" s="3"/>
      <c r="T188" s="3"/>
      <c r="U188" s="3" t="s">
        <v>1446</v>
      </c>
      <c r="V188" s="3"/>
      <c r="W188" s="10" t="str">
        <f>IF( J188="s.i", "s.i", IF(ISBLANK(J188),"Actualizando información",IFERROR(J188 / VLOOKUP(A188,Deflactor!$G$3:$H$64,2,0),"Revisar error" )))</f>
        <v>s.i</v>
      </c>
      <c r="AR188" s="34">
        <f xml:space="preserve"> (1289112 + 327714) * 1000</f>
        <v>1616826000</v>
      </c>
      <c r="AT188" s="46">
        <f t="shared" si="5"/>
        <v>1616826000</v>
      </c>
      <c r="AU188" s="54">
        <f xml:space="preserve"> IFERROR(ROUND(AT188 / VLOOKUP(A188,Tabla1[#All],2,0),0),"s.i")</f>
        <v>3321700</v>
      </c>
      <c r="AV188" s="33">
        <f xml:space="preserve"> IF(AU188="s.i", "s.i", IF(AND(AU188&gt;=Deflactor!$BQ$298,AU188&lt;Deflactor!$BQ$299), Deflactor!$BP$298, IF(AND(AU188&gt;=Deflactor!$BQ$299,AU188&lt;Deflactor!$BQ$300), Deflactor!$BP$299, IF(AND(AU188&gt;=Deflactor!$BQ$300,AU188&lt;Deflactor!$BQ$301), Deflactor!$BP$300, IF(AND(AU188&gt;=Deflactor!$BQ$301,AU188&lt;Deflactor!$BQ$302), Deflactor!$BP$301, IF(AND(AU188&gt;=Deflactor!$BQ$302,AU188&lt;Deflactor!$BQ$303), Deflactor!$BP$302, IF(AND(AU188&gt;=Deflactor!$BQ$303,AU188&lt;Deflactor!$BQ$304), Deflactor!$BP$303, IF(AND(AU188&gt;=Deflactor!$BQ$304,AU188&lt;Deflactor!$BQ$305), Deflactor!$BP$304, IF(AND(AU188&gt;=Deflactor!$BQ$305,AU188&lt;Deflactor!$BQ$306), Deflactor!$BP$305, IF(AND(AU188&gt;=Deflactor!$BQ$306,AU188&lt;Deflactor!$BQ$307), Deflactor!$BP$306, Deflactor!$BP$307) ) ) ) ) ) ) ) ) )</f>
        <v>2</v>
      </c>
      <c r="AW188" s="57" t="str">
        <f>+IFERROR(VLOOKUP(AV188,Deflactor!$BP$298:$BU$307,6,0),"")</f>
        <v>2 a 5 millones USD</v>
      </c>
    </row>
    <row r="189" spans="1:49" x14ac:dyDescent="0.3">
      <c r="A189" s="3">
        <v>2012</v>
      </c>
      <c r="B189" s="3" t="s">
        <v>258</v>
      </c>
      <c r="C189" s="3" t="s">
        <v>92</v>
      </c>
      <c r="D189" s="3" t="s">
        <v>8</v>
      </c>
      <c r="E189" s="3" t="s">
        <v>51</v>
      </c>
      <c r="F189" s="3" t="s">
        <v>157</v>
      </c>
      <c r="G189" s="3" t="s">
        <v>903</v>
      </c>
      <c r="H189" s="12">
        <v>2002</v>
      </c>
      <c r="I189" s="13" t="s">
        <v>623</v>
      </c>
      <c r="J189" s="10" t="s">
        <v>623</v>
      </c>
      <c r="K189" s="3" t="s">
        <v>2305</v>
      </c>
      <c r="L189" s="3" t="s">
        <v>1516</v>
      </c>
      <c r="M189" s="3" t="s">
        <v>1517</v>
      </c>
      <c r="N189" s="3" t="s">
        <v>1518</v>
      </c>
      <c r="O189" s="3" t="s">
        <v>1519</v>
      </c>
      <c r="P189" s="3" t="s">
        <v>1511</v>
      </c>
      <c r="Q189" s="14" t="s">
        <v>1520</v>
      </c>
      <c r="R189" s="3" t="s">
        <v>1445</v>
      </c>
      <c r="S189" s="3"/>
      <c r="T189" s="3"/>
      <c r="U189" s="3" t="s">
        <v>1146</v>
      </c>
      <c r="V189" s="3"/>
      <c r="W189" s="10" t="str">
        <f>IF( J189="s.i", "s.i", IF(ISBLANK(J189),"Actualizando información",IFERROR(J189 / VLOOKUP(A189,Deflactor!$G$3:$H$64,2,0),"Revisar error" )))</f>
        <v>s.i</v>
      </c>
      <c r="AR189" s="34">
        <f xml:space="preserve"> (15597227 + 7331170) * 1000</f>
        <v>22928397000</v>
      </c>
      <c r="AT189" s="46">
        <f t="shared" si="5"/>
        <v>22928397000</v>
      </c>
      <c r="AU189" s="54">
        <f xml:space="preserve"> IFERROR(ROUND(AT189 / VLOOKUP(A189,Tabla1[#All],2,0),0),"s.i")</f>
        <v>47105412</v>
      </c>
      <c r="AV189" s="33">
        <f xml:space="preserve"> IF(AU189="s.i", "s.i", IF(AND(AU189&gt;=Deflactor!$BQ$298,AU189&lt;Deflactor!$BQ$299), Deflactor!$BP$298, IF(AND(AU189&gt;=Deflactor!$BQ$299,AU189&lt;Deflactor!$BQ$300), Deflactor!$BP$299, IF(AND(AU189&gt;=Deflactor!$BQ$300,AU189&lt;Deflactor!$BQ$301), Deflactor!$BP$300, IF(AND(AU189&gt;=Deflactor!$BQ$301,AU189&lt;Deflactor!$BQ$302), Deflactor!$BP$301, IF(AND(AU189&gt;=Deflactor!$BQ$302,AU189&lt;Deflactor!$BQ$303), Deflactor!$BP$302, IF(AND(AU189&gt;=Deflactor!$BQ$303,AU189&lt;Deflactor!$BQ$304), Deflactor!$BP$303, IF(AND(AU189&gt;=Deflactor!$BQ$304,AU189&lt;Deflactor!$BQ$305), Deflactor!$BP$304, IF(AND(AU189&gt;=Deflactor!$BQ$305,AU189&lt;Deflactor!$BQ$306), Deflactor!$BP$305, IF(AND(AU189&gt;=Deflactor!$BQ$306,AU189&lt;Deflactor!$BQ$307), Deflactor!$BP$306, Deflactor!$BP$307) ) ) ) ) ) ) ) ) )</f>
        <v>8</v>
      </c>
      <c r="AW189" s="57" t="str">
        <f>+IFERROR(VLOOKUP(AV189,Deflactor!$BP$298:$BU$307,6,0),"")</f>
        <v>30 a 50 millones USD</v>
      </c>
    </row>
    <row r="190" spans="1:49" x14ac:dyDescent="0.3">
      <c r="A190" s="3">
        <v>2012</v>
      </c>
      <c r="B190" s="3" t="s">
        <v>259</v>
      </c>
      <c r="C190" s="3" t="s">
        <v>92</v>
      </c>
      <c r="D190" s="3" t="s">
        <v>8</v>
      </c>
      <c r="E190" s="3" t="s">
        <v>51</v>
      </c>
      <c r="F190" s="3" t="s">
        <v>157</v>
      </c>
      <c r="G190" s="3" t="s">
        <v>623</v>
      </c>
      <c r="H190" s="12">
        <v>2011</v>
      </c>
      <c r="I190" s="13" t="s">
        <v>623</v>
      </c>
      <c r="J190" s="10" t="s">
        <v>623</v>
      </c>
      <c r="K190" s="3"/>
      <c r="L190" s="3" t="s">
        <v>1521</v>
      </c>
      <c r="M190" s="3" t="s">
        <v>1522</v>
      </c>
      <c r="N190" s="3" t="s">
        <v>1523</v>
      </c>
      <c r="O190" s="3" t="s">
        <v>1524</v>
      </c>
      <c r="P190" s="3" t="s">
        <v>1525</v>
      </c>
      <c r="Q190" s="3"/>
      <c r="R190" s="3"/>
      <c r="S190" s="3"/>
      <c r="T190" s="3"/>
      <c r="U190" s="3" t="s">
        <v>1446</v>
      </c>
      <c r="V190" s="3"/>
      <c r="W190" s="10" t="str">
        <f>IF( J190="s.i", "s.i", IF(ISBLANK(J190),"Actualizando información",IFERROR(J190 / VLOOKUP(A190,Deflactor!$G$3:$H$64,2,0),"Revisar error" )))</f>
        <v>s.i</v>
      </c>
      <c r="AR190" s="34">
        <f xml:space="preserve"> 1286606 * 1000</f>
        <v>1286606000</v>
      </c>
      <c r="AT190" s="46">
        <f t="shared" si="5"/>
        <v>1286606000</v>
      </c>
      <c r="AU190" s="54">
        <f xml:space="preserve"> IFERROR(ROUND(AT190 / VLOOKUP(A190,Tabla1[#All],2,0),0),"s.i")</f>
        <v>2643277</v>
      </c>
      <c r="AV190" s="33">
        <f xml:space="preserve"> IF(AU190="s.i", "s.i", IF(AND(AU190&gt;=Deflactor!$BQ$298,AU190&lt;Deflactor!$BQ$299), Deflactor!$BP$298, IF(AND(AU190&gt;=Deflactor!$BQ$299,AU190&lt;Deflactor!$BQ$300), Deflactor!$BP$299, IF(AND(AU190&gt;=Deflactor!$BQ$300,AU190&lt;Deflactor!$BQ$301), Deflactor!$BP$300, IF(AND(AU190&gt;=Deflactor!$BQ$301,AU190&lt;Deflactor!$BQ$302), Deflactor!$BP$301, IF(AND(AU190&gt;=Deflactor!$BQ$302,AU190&lt;Deflactor!$BQ$303), Deflactor!$BP$302, IF(AND(AU190&gt;=Deflactor!$BQ$303,AU190&lt;Deflactor!$BQ$304), Deflactor!$BP$303, IF(AND(AU190&gt;=Deflactor!$BQ$304,AU190&lt;Deflactor!$BQ$305), Deflactor!$BP$304, IF(AND(AU190&gt;=Deflactor!$BQ$305,AU190&lt;Deflactor!$BQ$306), Deflactor!$BP$305, IF(AND(AU190&gt;=Deflactor!$BQ$306,AU190&lt;Deflactor!$BQ$307), Deflactor!$BP$306, Deflactor!$BP$307) ) ) ) ) ) ) ) ) )</f>
        <v>2</v>
      </c>
      <c r="AW190" s="57" t="str">
        <f>+IFERROR(VLOOKUP(AV190,Deflactor!$BP$298:$BU$307,6,0),"")</f>
        <v>2 a 5 millones USD</v>
      </c>
    </row>
    <row r="191" spans="1:49" x14ac:dyDescent="0.3">
      <c r="A191" s="3">
        <v>2012</v>
      </c>
      <c r="B191" s="3" t="s">
        <v>260</v>
      </c>
      <c r="C191" s="3" t="s">
        <v>92</v>
      </c>
      <c r="D191" s="3" t="s">
        <v>8</v>
      </c>
      <c r="E191" s="3" t="s">
        <v>51</v>
      </c>
      <c r="F191" s="3" t="s">
        <v>157</v>
      </c>
      <c r="G191" s="3" t="s">
        <v>623</v>
      </c>
      <c r="H191" s="12">
        <v>2003</v>
      </c>
      <c r="I191" s="13" t="s">
        <v>623</v>
      </c>
      <c r="J191" s="10" t="s">
        <v>623</v>
      </c>
      <c r="K191" s="3" t="s">
        <v>2305</v>
      </c>
      <c r="L191" s="3" t="s">
        <v>1526</v>
      </c>
      <c r="M191" s="15" t="s">
        <v>1527</v>
      </c>
      <c r="N191" s="3" t="s">
        <v>1528</v>
      </c>
      <c r="O191" s="3" t="s">
        <v>1529</v>
      </c>
      <c r="P191" s="3" t="s">
        <v>1530</v>
      </c>
      <c r="Q191" s="3"/>
      <c r="R191" s="3" t="s">
        <v>1445</v>
      </c>
      <c r="S191" s="3"/>
      <c r="T191" s="3"/>
      <c r="U191" s="3" t="s">
        <v>1446</v>
      </c>
      <c r="V191" s="3"/>
      <c r="W191" s="10" t="str">
        <f>IF( J191="s.i", "s.i", IF(ISBLANK(J191),"Actualizando información",IFERROR(J191 / VLOOKUP(A191,Deflactor!$G$3:$H$64,2,0),"Revisar error" )))</f>
        <v>s.i</v>
      </c>
      <c r="AR191" s="34">
        <f xml:space="preserve"> 9813718 * 1000</f>
        <v>9813718000</v>
      </c>
      <c r="AT191" s="46">
        <f t="shared" si="5"/>
        <v>9813718000</v>
      </c>
      <c r="AU191" s="54">
        <f xml:space="preserve"> IFERROR(ROUND(AT191 / VLOOKUP(A191,Tabla1[#All],2,0),0),"s.i")</f>
        <v>20161864</v>
      </c>
      <c r="AV191" s="33">
        <f xml:space="preserve"> IF(AU191="s.i", "s.i", IF(AND(AU191&gt;=Deflactor!$BQ$298,AU191&lt;Deflactor!$BQ$299), Deflactor!$BP$298, IF(AND(AU191&gt;=Deflactor!$BQ$299,AU191&lt;Deflactor!$BQ$300), Deflactor!$BP$299, IF(AND(AU191&gt;=Deflactor!$BQ$300,AU191&lt;Deflactor!$BQ$301), Deflactor!$BP$300, IF(AND(AU191&gt;=Deflactor!$BQ$301,AU191&lt;Deflactor!$BQ$302), Deflactor!$BP$301, IF(AND(AU191&gt;=Deflactor!$BQ$302,AU191&lt;Deflactor!$BQ$303), Deflactor!$BP$302, IF(AND(AU191&gt;=Deflactor!$BQ$303,AU191&lt;Deflactor!$BQ$304), Deflactor!$BP$303, IF(AND(AU191&gt;=Deflactor!$BQ$304,AU191&lt;Deflactor!$BQ$305), Deflactor!$BP$304, IF(AND(AU191&gt;=Deflactor!$BQ$305,AU191&lt;Deflactor!$BQ$306), Deflactor!$BP$305, IF(AND(AU191&gt;=Deflactor!$BQ$306,AU191&lt;Deflactor!$BQ$307), Deflactor!$BP$306, Deflactor!$BP$307) ) ) ) ) ) ) ) ) )</f>
        <v>7</v>
      </c>
      <c r="AW191" s="57" t="str">
        <f>+IFERROR(VLOOKUP(AV191,Deflactor!$BP$298:$BU$307,6,0),"")</f>
        <v>20 a 30 millones USD</v>
      </c>
    </row>
    <row r="192" spans="1:49" x14ac:dyDescent="0.3">
      <c r="A192" s="3">
        <v>2012</v>
      </c>
      <c r="B192" s="3" t="s">
        <v>261</v>
      </c>
      <c r="C192" s="3" t="s">
        <v>7</v>
      </c>
      <c r="D192" s="3" t="s">
        <v>64</v>
      </c>
      <c r="E192" s="3" t="s">
        <v>262</v>
      </c>
      <c r="F192" s="3" t="s">
        <v>89</v>
      </c>
      <c r="G192" s="3" t="s">
        <v>723</v>
      </c>
      <c r="H192" s="12">
        <v>2009</v>
      </c>
      <c r="I192" s="13" t="s">
        <v>623</v>
      </c>
      <c r="J192" s="10">
        <f xml:space="preserve"> 1713932000 * 1000000</f>
        <v>1713932000000000</v>
      </c>
      <c r="K192" s="3"/>
      <c r="L192" s="3" t="s">
        <v>1531</v>
      </c>
      <c r="M192" s="3" t="s">
        <v>1532</v>
      </c>
      <c r="N192" s="3" t="s">
        <v>1533</v>
      </c>
      <c r="O192" s="3"/>
      <c r="P192" s="3"/>
      <c r="Q192" s="3"/>
      <c r="R192" s="3" t="s">
        <v>1534</v>
      </c>
      <c r="S192" s="3" t="s">
        <v>1535</v>
      </c>
      <c r="T192" s="3"/>
      <c r="U192" s="3"/>
      <c r="V192" s="3"/>
      <c r="W192" s="10">
        <f>IF( J192="s.i", "s.i", IF(ISBLANK(J192),"Actualizando información",IFERROR(J192 / VLOOKUP(A192,Deflactor!$G$3:$H$64,2,0),"Revisar error" )))</f>
        <v>1747810355751905.5</v>
      </c>
      <c r="AR192" s="34">
        <f xml:space="preserve"> (1420550 + 194489) * 1000</f>
        <v>1615039000</v>
      </c>
      <c r="AT192" s="46">
        <f t="shared" si="5"/>
        <v>1615039000</v>
      </c>
      <c r="AU192" s="54">
        <f xml:space="preserve"> IFERROR(ROUND(AT192 / VLOOKUP(A192,Tabla1[#All],2,0),0),"s.i")</f>
        <v>3318029</v>
      </c>
      <c r="AV192" s="33">
        <f xml:space="preserve"> IF(AU192="s.i", "s.i", IF(AND(AU192&gt;=Deflactor!$BQ$298,AU192&lt;Deflactor!$BQ$299), Deflactor!$BP$298, IF(AND(AU192&gt;=Deflactor!$BQ$299,AU192&lt;Deflactor!$BQ$300), Deflactor!$BP$299, IF(AND(AU192&gt;=Deflactor!$BQ$300,AU192&lt;Deflactor!$BQ$301), Deflactor!$BP$300, IF(AND(AU192&gt;=Deflactor!$BQ$301,AU192&lt;Deflactor!$BQ$302), Deflactor!$BP$301, IF(AND(AU192&gt;=Deflactor!$BQ$302,AU192&lt;Deflactor!$BQ$303), Deflactor!$BP$302, IF(AND(AU192&gt;=Deflactor!$BQ$303,AU192&lt;Deflactor!$BQ$304), Deflactor!$BP$303, IF(AND(AU192&gt;=Deflactor!$BQ$304,AU192&lt;Deflactor!$BQ$305), Deflactor!$BP$304, IF(AND(AU192&gt;=Deflactor!$BQ$305,AU192&lt;Deflactor!$BQ$306), Deflactor!$BP$305, IF(AND(AU192&gt;=Deflactor!$BQ$306,AU192&lt;Deflactor!$BQ$307), Deflactor!$BP$306, Deflactor!$BP$307) ) ) ) ) ) ) ) ) )</f>
        <v>2</v>
      </c>
      <c r="AW192" s="57" t="str">
        <f>+IFERROR(VLOOKUP(AV192,Deflactor!$BP$298:$BU$307,6,0),"")</f>
        <v>2 a 5 millones USD</v>
      </c>
    </row>
    <row r="193" spans="1:49" x14ac:dyDescent="0.3">
      <c r="A193" s="3">
        <v>2012</v>
      </c>
      <c r="B193" s="3" t="s">
        <v>263</v>
      </c>
      <c r="C193" s="3" t="s">
        <v>7</v>
      </c>
      <c r="D193" s="3" t="s">
        <v>8</v>
      </c>
      <c r="E193" s="3" t="s">
        <v>264</v>
      </c>
      <c r="F193" s="3" t="s">
        <v>89</v>
      </c>
      <c r="G193" s="3" t="s">
        <v>723</v>
      </c>
      <c r="H193" s="12">
        <v>2000</v>
      </c>
      <c r="I193" s="13" t="s">
        <v>623</v>
      </c>
      <c r="J193" s="10">
        <f xml:space="preserve"> 4616949 * 1000</f>
        <v>4616949000</v>
      </c>
      <c r="K193" s="3"/>
      <c r="L193" s="3" t="s">
        <v>1536</v>
      </c>
      <c r="M193" s="3" t="s">
        <v>1537</v>
      </c>
      <c r="N193" s="3" t="s">
        <v>1538</v>
      </c>
      <c r="O193" s="3" t="s">
        <v>1539</v>
      </c>
      <c r="P193" s="3"/>
      <c r="Q193" s="3"/>
      <c r="R193" s="3" t="s">
        <v>1540</v>
      </c>
      <c r="S193" s="3" t="s">
        <v>1541</v>
      </c>
      <c r="T193" s="3"/>
      <c r="U193" s="3"/>
      <c r="V193" s="3"/>
      <c r="W193" s="10">
        <f>IF( J193="s.i", "s.i", IF(ISBLANK(J193),"Actualizando información",IFERROR(J193 / VLOOKUP(A193,Deflactor!$G$3:$H$64,2,0),"Revisar error" )))</f>
        <v>4708209703.8729677</v>
      </c>
      <c r="AR193" s="10">
        <f xml:space="preserve"> 4570949 * 1000</f>
        <v>4570949000</v>
      </c>
      <c r="AT193" s="46">
        <f t="shared" si="5"/>
        <v>4570949000</v>
      </c>
      <c r="AU193" s="54">
        <f xml:space="preserve"> IFERROR(ROUND(AT193 / VLOOKUP(A193,Tabla1[#All],2,0),0),"s.i")</f>
        <v>9390819</v>
      </c>
      <c r="AV193" s="33">
        <f xml:space="preserve"> IF(AU193="s.i", "s.i", IF(AND(AU193&gt;=Deflactor!$BQ$298,AU193&lt;Deflactor!$BQ$299), Deflactor!$BP$298, IF(AND(AU193&gt;=Deflactor!$BQ$299,AU193&lt;Deflactor!$BQ$300), Deflactor!$BP$299, IF(AND(AU193&gt;=Deflactor!$BQ$300,AU193&lt;Deflactor!$BQ$301), Deflactor!$BP$300, IF(AND(AU193&gt;=Deflactor!$BQ$301,AU193&lt;Deflactor!$BQ$302), Deflactor!$BP$301, IF(AND(AU193&gt;=Deflactor!$BQ$302,AU193&lt;Deflactor!$BQ$303), Deflactor!$BP$302, IF(AND(AU193&gt;=Deflactor!$BQ$303,AU193&lt;Deflactor!$BQ$304), Deflactor!$BP$303, IF(AND(AU193&gt;=Deflactor!$BQ$304,AU193&lt;Deflactor!$BQ$305), Deflactor!$BP$304, IF(AND(AU193&gt;=Deflactor!$BQ$305,AU193&lt;Deflactor!$BQ$306), Deflactor!$BP$305, IF(AND(AU193&gt;=Deflactor!$BQ$306,AU193&lt;Deflactor!$BQ$307), Deflactor!$BP$306, Deflactor!$BP$307) ) ) ) ) ) ) ) ) )</f>
        <v>4</v>
      </c>
      <c r="AW193" s="57" t="str">
        <f>+IFERROR(VLOOKUP(AV193,Deflactor!$BP$298:$BU$307,6,0),"")</f>
        <v>7,5 a 10 millones USD</v>
      </c>
    </row>
    <row r="194" spans="1:49" x14ac:dyDescent="0.3">
      <c r="A194" s="3">
        <v>2012</v>
      </c>
      <c r="B194" s="3" t="s">
        <v>265</v>
      </c>
      <c r="C194" s="3" t="s">
        <v>7</v>
      </c>
      <c r="D194" s="3" t="s">
        <v>40</v>
      </c>
      <c r="E194" s="3" t="s">
        <v>41</v>
      </c>
      <c r="F194" s="3" t="s">
        <v>89</v>
      </c>
      <c r="G194" s="3" t="s">
        <v>623</v>
      </c>
      <c r="H194" s="12">
        <v>2008</v>
      </c>
      <c r="I194" s="13" t="s">
        <v>623</v>
      </c>
      <c r="J194" s="10">
        <f xml:space="preserve"> 14778 * 1000000</f>
        <v>14778000000</v>
      </c>
      <c r="K194" s="3" t="s">
        <v>2284</v>
      </c>
      <c r="L194" s="3" t="s">
        <v>1542</v>
      </c>
      <c r="M194" s="3" t="s">
        <v>1543</v>
      </c>
      <c r="N194" s="3" t="s">
        <v>1544</v>
      </c>
      <c r="O194" s="3" t="s">
        <v>1545</v>
      </c>
      <c r="P194" s="3"/>
      <c r="Q194" s="3"/>
      <c r="R194" s="3" t="s">
        <v>1546</v>
      </c>
      <c r="S194" s="3" t="s">
        <v>1547</v>
      </c>
      <c r="T194" s="3"/>
      <c r="U194" s="3"/>
      <c r="V194" s="3"/>
      <c r="W194" s="10">
        <f>IF( J194="s.i", "s.i", IF(ISBLANK(J194),"Actualizando información",IFERROR(J194 / VLOOKUP(A194,Deflactor!$G$3:$H$64,2,0),"Revisar error" )))</f>
        <v>15070108637.508173</v>
      </c>
      <c r="AR194" s="10">
        <f xml:space="preserve"> 7607946 * 1000</f>
        <v>7607946000</v>
      </c>
      <c r="AT194" s="46">
        <f t="shared" si="5"/>
        <v>7607946000</v>
      </c>
      <c r="AU194" s="54">
        <f xml:space="preserve"> IFERROR(ROUND(AT194 / VLOOKUP(A194,Tabla1[#All],2,0),0),"s.i")</f>
        <v>15630200</v>
      </c>
      <c r="AV194" s="33">
        <f xml:space="preserve"> IF(AU194="s.i", "s.i", IF(AND(AU194&gt;=Deflactor!$BQ$298,AU194&lt;Deflactor!$BQ$299), Deflactor!$BP$298, IF(AND(AU194&gt;=Deflactor!$BQ$299,AU194&lt;Deflactor!$BQ$300), Deflactor!$BP$299, IF(AND(AU194&gt;=Deflactor!$BQ$300,AU194&lt;Deflactor!$BQ$301), Deflactor!$BP$300, IF(AND(AU194&gt;=Deflactor!$BQ$301,AU194&lt;Deflactor!$BQ$302), Deflactor!$BP$301, IF(AND(AU194&gt;=Deflactor!$BQ$302,AU194&lt;Deflactor!$BQ$303), Deflactor!$BP$302, IF(AND(AU194&gt;=Deflactor!$BQ$303,AU194&lt;Deflactor!$BQ$304), Deflactor!$BP$303, IF(AND(AU194&gt;=Deflactor!$BQ$304,AU194&lt;Deflactor!$BQ$305), Deflactor!$BP$304, IF(AND(AU194&gt;=Deflactor!$BQ$305,AU194&lt;Deflactor!$BQ$306), Deflactor!$BP$305, IF(AND(AU194&gt;=Deflactor!$BQ$306,AU194&lt;Deflactor!$BQ$307), Deflactor!$BP$306, Deflactor!$BP$307) ) ) ) ) ) ) ) ) )</f>
        <v>6</v>
      </c>
      <c r="AW194" s="57" t="str">
        <f>+IFERROR(VLOOKUP(AV194,Deflactor!$BP$298:$BU$307,6,0),"")</f>
        <v>15 a 20 millones USD</v>
      </c>
    </row>
    <row r="195" spans="1:49" x14ac:dyDescent="0.3">
      <c r="A195" s="3">
        <v>2012</v>
      </c>
      <c r="B195" s="3" t="s">
        <v>266</v>
      </c>
      <c r="C195" s="3" t="s">
        <v>7</v>
      </c>
      <c r="D195" s="3" t="s">
        <v>40</v>
      </c>
      <c r="E195" s="3" t="s">
        <v>41</v>
      </c>
      <c r="F195" s="3" t="s">
        <v>89</v>
      </c>
      <c r="G195" s="3" t="s">
        <v>623</v>
      </c>
      <c r="H195" s="12">
        <v>2008</v>
      </c>
      <c r="I195" s="13" t="s">
        <v>623</v>
      </c>
      <c r="J195" s="10">
        <f t="shared" ref="J195:J199" si="7" xml:space="preserve"> 14778 * 1000000</f>
        <v>14778000000</v>
      </c>
      <c r="K195" s="3" t="s">
        <v>2284</v>
      </c>
      <c r="L195" s="3" t="s">
        <v>1542</v>
      </c>
      <c r="M195" s="3" t="s">
        <v>1543</v>
      </c>
      <c r="N195" s="3" t="s">
        <v>1544</v>
      </c>
      <c r="O195" s="3" t="s">
        <v>1545</v>
      </c>
      <c r="P195" s="3"/>
      <c r="Q195" s="3"/>
      <c r="R195" s="3" t="s">
        <v>1546</v>
      </c>
      <c r="S195" s="3" t="s">
        <v>1547</v>
      </c>
      <c r="T195" s="3"/>
      <c r="U195" s="3"/>
      <c r="V195" s="3"/>
      <c r="W195" s="10">
        <f>IF( J195="s.i", "s.i", IF(ISBLANK(J195),"Actualizando información",IFERROR(J195 / VLOOKUP(A195,Deflactor!$G$3:$H$64,2,0),"Revisar error" )))</f>
        <v>15070108637.508173</v>
      </c>
      <c r="AR195" s="10">
        <f t="shared" ref="AR195:AR199" si="8" xml:space="preserve"> 7607946 * 1000</f>
        <v>7607946000</v>
      </c>
      <c r="AT195" s="46">
        <f t="shared" ref="AT195:AT257" si="9">AR195</f>
        <v>7607946000</v>
      </c>
      <c r="AU195" s="54">
        <f xml:space="preserve"> IFERROR(ROUND(AT195 / VLOOKUP(A195,Tabla1[#All],2,0),0),"s.i")</f>
        <v>15630200</v>
      </c>
      <c r="AV195" s="33">
        <f xml:space="preserve"> IF(AU195="s.i", "s.i", IF(AND(AU195&gt;=Deflactor!$BQ$298,AU195&lt;Deflactor!$BQ$299), Deflactor!$BP$298, IF(AND(AU195&gt;=Deflactor!$BQ$299,AU195&lt;Deflactor!$BQ$300), Deflactor!$BP$299, IF(AND(AU195&gt;=Deflactor!$BQ$300,AU195&lt;Deflactor!$BQ$301), Deflactor!$BP$300, IF(AND(AU195&gt;=Deflactor!$BQ$301,AU195&lt;Deflactor!$BQ$302), Deflactor!$BP$301, IF(AND(AU195&gt;=Deflactor!$BQ$302,AU195&lt;Deflactor!$BQ$303), Deflactor!$BP$302, IF(AND(AU195&gt;=Deflactor!$BQ$303,AU195&lt;Deflactor!$BQ$304), Deflactor!$BP$303, IF(AND(AU195&gt;=Deflactor!$BQ$304,AU195&lt;Deflactor!$BQ$305), Deflactor!$BP$304, IF(AND(AU195&gt;=Deflactor!$BQ$305,AU195&lt;Deflactor!$BQ$306), Deflactor!$BP$305, IF(AND(AU195&gt;=Deflactor!$BQ$306,AU195&lt;Deflactor!$BQ$307), Deflactor!$BP$306, Deflactor!$BP$307) ) ) ) ) ) ) ) ) )</f>
        <v>6</v>
      </c>
      <c r="AW195" s="57" t="str">
        <f>+IFERROR(VLOOKUP(AV195,Deflactor!$BP$298:$BU$307,6,0),"")</f>
        <v>15 a 20 millones USD</v>
      </c>
    </row>
    <row r="196" spans="1:49" x14ac:dyDescent="0.3">
      <c r="A196" s="3">
        <v>2012</v>
      </c>
      <c r="B196" s="3" t="s">
        <v>267</v>
      </c>
      <c r="C196" s="3" t="s">
        <v>7</v>
      </c>
      <c r="D196" s="3" t="s">
        <v>40</v>
      </c>
      <c r="E196" s="3" t="s">
        <v>41</v>
      </c>
      <c r="F196" s="3" t="s">
        <v>89</v>
      </c>
      <c r="G196" s="3" t="s">
        <v>623</v>
      </c>
      <c r="H196" s="12">
        <v>2008</v>
      </c>
      <c r="I196" s="13" t="s">
        <v>623</v>
      </c>
      <c r="J196" s="10">
        <f t="shared" si="7"/>
        <v>14778000000</v>
      </c>
      <c r="K196" s="3" t="s">
        <v>2284</v>
      </c>
      <c r="L196" s="3" t="s">
        <v>1542</v>
      </c>
      <c r="M196" s="3" t="s">
        <v>1543</v>
      </c>
      <c r="N196" s="3" t="s">
        <v>1544</v>
      </c>
      <c r="O196" s="3" t="s">
        <v>1545</v>
      </c>
      <c r="P196" s="3"/>
      <c r="Q196" s="3"/>
      <c r="R196" s="3" t="s">
        <v>1546</v>
      </c>
      <c r="S196" s="3" t="s">
        <v>1547</v>
      </c>
      <c r="T196" s="3"/>
      <c r="U196" s="3"/>
      <c r="V196" s="3"/>
      <c r="W196" s="10">
        <f>IF( J196="s.i", "s.i", IF(ISBLANK(J196),"Actualizando información",IFERROR(J196 / VLOOKUP(A196,Deflactor!$G$3:$H$64,2,0),"Revisar error" )))</f>
        <v>15070108637.508173</v>
      </c>
      <c r="AR196" s="10">
        <f t="shared" si="8"/>
        <v>7607946000</v>
      </c>
      <c r="AT196" s="46">
        <f t="shared" si="9"/>
        <v>7607946000</v>
      </c>
      <c r="AU196" s="54">
        <f xml:space="preserve"> IFERROR(ROUND(AT196 / VLOOKUP(A196,Tabla1[#All],2,0),0),"s.i")</f>
        <v>15630200</v>
      </c>
      <c r="AV196" s="33">
        <f xml:space="preserve"> IF(AU196="s.i", "s.i", IF(AND(AU196&gt;=Deflactor!$BQ$298,AU196&lt;Deflactor!$BQ$299), Deflactor!$BP$298, IF(AND(AU196&gt;=Deflactor!$BQ$299,AU196&lt;Deflactor!$BQ$300), Deflactor!$BP$299, IF(AND(AU196&gt;=Deflactor!$BQ$300,AU196&lt;Deflactor!$BQ$301), Deflactor!$BP$300, IF(AND(AU196&gt;=Deflactor!$BQ$301,AU196&lt;Deflactor!$BQ$302), Deflactor!$BP$301, IF(AND(AU196&gt;=Deflactor!$BQ$302,AU196&lt;Deflactor!$BQ$303), Deflactor!$BP$302, IF(AND(AU196&gt;=Deflactor!$BQ$303,AU196&lt;Deflactor!$BQ$304), Deflactor!$BP$303, IF(AND(AU196&gt;=Deflactor!$BQ$304,AU196&lt;Deflactor!$BQ$305), Deflactor!$BP$304, IF(AND(AU196&gt;=Deflactor!$BQ$305,AU196&lt;Deflactor!$BQ$306), Deflactor!$BP$305, IF(AND(AU196&gt;=Deflactor!$BQ$306,AU196&lt;Deflactor!$BQ$307), Deflactor!$BP$306, Deflactor!$BP$307) ) ) ) ) ) ) ) ) )</f>
        <v>6</v>
      </c>
      <c r="AW196" s="57" t="str">
        <f>+IFERROR(VLOOKUP(AV196,Deflactor!$BP$298:$BU$307,6,0),"")</f>
        <v>15 a 20 millones USD</v>
      </c>
    </row>
    <row r="197" spans="1:49" x14ac:dyDescent="0.3">
      <c r="A197" s="3">
        <v>2012</v>
      </c>
      <c r="B197" s="3" t="s">
        <v>268</v>
      </c>
      <c r="C197" s="3" t="s">
        <v>7</v>
      </c>
      <c r="D197" s="3" t="s">
        <v>40</v>
      </c>
      <c r="E197" s="3" t="s">
        <v>41</v>
      </c>
      <c r="F197" s="3" t="s">
        <v>89</v>
      </c>
      <c r="G197" s="3" t="s">
        <v>623</v>
      </c>
      <c r="H197" s="12">
        <v>2008</v>
      </c>
      <c r="I197" s="13" t="s">
        <v>623</v>
      </c>
      <c r="J197" s="10">
        <f t="shared" si="7"/>
        <v>14778000000</v>
      </c>
      <c r="K197" s="3" t="s">
        <v>2284</v>
      </c>
      <c r="L197" s="3" t="s">
        <v>1542</v>
      </c>
      <c r="M197" s="3" t="s">
        <v>1543</v>
      </c>
      <c r="N197" s="3" t="s">
        <v>1544</v>
      </c>
      <c r="O197" s="3" t="s">
        <v>1545</v>
      </c>
      <c r="P197" s="3"/>
      <c r="Q197" s="3"/>
      <c r="R197" s="3" t="s">
        <v>1546</v>
      </c>
      <c r="S197" s="3" t="s">
        <v>1547</v>
      </c>
      <c r="T197" s="3"/>
      <c r="U197" s="3"/>
      <c r="V197" s="3"/>
      <c r="W197" s="10">
        <f>IF( J197="s.i", "s.i", IF(ISBLANK(J197),"Actualizando información",IFERROR(J197 / VLOOKUP(A197,Deflactor!$G$3:$H$64,2,0),"Revisar error" )))</f>
        <v>15070108637.508173</v>
      </c>
      <c r="AR197" s="10">
        <f t="shared" si="8"/>
        <v>7607946000</v>
      </c>
      <c r="AT197" s="46">
        <f t="shared" si="9"/>
        <v>7607946000</v>
      </c>
      <c r="AU197" s="54">
        <f xml:space="preserve"> IFERROR(ROUND(AT197 / VLOOKUP(A197,Tabla1[#All],2,0),0),"s.i")</f>
        <v>15630200</v>
      </c>
      <c r="AV197" s="33">
        <f xml:space="preserve"> IF(AU197="s.i", "s.i", IF(AND(AU197&gt;=Deflactor!$BQ$298,AU197&lt;Deflactor!$BQ$299), Deflactor!$BP$298, IF(AND(AU197&gt;=Deflactor!$BQ$299,AU197&lt;Deflactor!$BQ$300), Deflactor!$BP$299, IF(AND(AU197&gt;=Deflactor!$BQ$300,AU197&lt;Deflactor!$BQ$301), Deflactor!$BP$300, IF(AND(AU197&gt;=Deflactor!$BQ$301,AU197&lt;Deflactor!$BQ$302), Deflactor!$BP$301, IF(AND(AU197&gt;=Deflactor!$BQ$302,AU197&lt;Deflactor!$BQ$303), Deflactor!$BP$302, IF(AND(AU197&gt;=Deflactor!$BQ$303,AU197&lt;Deflactor!$BQ$304), Deflactor!$BP$303, IF(AND(AU197&gt;=Deflactor!$BQ$304,AU197&lt;Deflactor!$BQ$305), Deflactor!$BP$304, IF(AND(AU197&gt;=Deflactor!$BQ$305,AU197&lt;Deflactor!$BQ$306), Deflactor!$BP$305, IF(AND(AU197&gt;=Deflactor!$BQ$306,AU197&lt;Deflactor!$BQ$307), Deflactor!$BP$306, Deflactor!$BP$307) ) ) ) ) ) ) ) ) )</f>
        <v>6</v>
      </c>
      <c r="AW197" s="57" t="str">
        <f>+IFERROR(VLOOKUP(AV197,Deflactor!$BP$298:$BU$307,6,0),"")</f>
        <v>15 a 20 millones USD</v>
      </c>
    </row>
    <row r="198" spans="1:49" x14ac:dyDescent="0.3">
      <c r="A198" s="3">
        <v>2012</v>
      </c>
      <c r="B198" s="3" t="s">
        <v>269</v>
      </c>
      <c r="C198" s="3" t="s">
        <v>7</v>
      </c>
      <c r="D198" s="3" t="s">
        <v>40</v>
      </c>
      <c r="E198" s="3" t="s">
        <v>41</v>
      </c>
      <c r="F198" s="3" t="s">
        <v>89</v>
      </c>
      <c r="G198" s="3" t="s">
        <v>623</v>
      </c>
      <c r="H198" s="12">
        <v>2008</v>
      </c>
      <c r="I198" s="13" t="s">
        <v>623</v>
      </c>
      <c r="J198" s="10">
        <f t="shared" si="7"/>
        <v>14778000000</v>
      </c>
      <c r="K198" s="3" t="s">
        <v>2284</v>
      </c>
      <c r="L198" s="3" t="s">
        <v>1542</v>
      </c>
      <c r="M198" s="3" t="s">
        <v>1543</v>
      </c>
      <c r="N198" s="3" t="s">
        <v>1544</v>
      </c>
      <c r="O198" s="3" t="s">
        <v>1545</v>
      </c>
      <c r="P198" s="3"/>
      <c r="Q198" s="3"/>
      <c r="R198" s="3" t="s">
        <v>1546</v>
      </c>
      <c r="S198" s="3" t="s">
        <v>1547</v>
      </c>
      <c r="T198" s="3"/>
      <c r="U198" s="3"/>
      <c r="V198" s="3"/>
      <c r="W198" s="10">
        <f>IF( J198="s.i", "s.i", IF(ISBLANK(J198),"Actualizando información",IFERROR(J198 / VLOOKUP(A198,Deflactor!$G$3:$H$64,2,0),"Revisar error" )))</f>
        <v>15070108637.508173</v>
      </c>
      <c r="AR198" s="10">
        <f t="shared" si="8"/>
        <v>7607946000</v>
      </c>
      <c r="AT198" s="46">
        <f t="shared" si="9"/>
        <v>7607946000</v>
      </c>
      <c r="AU198" s="54">
        <f xml:space="preserve"> IFERROR(ROUND(AT198 / VLOOKUP(A198,Tabla1[#All],2,0),0),"s.i")</f>
        <v>15630200</v>
      </c>
      <c r="AV198" s="33">
        <f xml:space="preserve"> IF(AU198="s.i", "s.i", IF(AND(AU198&gt;=Deflactor!$BQ$298,AU198&lt;Deflactor!$BQ$299), Deflactor!$BP$298, IF(AND(AU198&gt;=Deflactor!$BQ$299,AU198&lt;Deflactor!$BQ$300), Deflactor!$BP$299, IF(AND(AU198&gt;=Deflactor!$BQ$300,AU198&lt;Deflactor!$BQ$301), Deflactor!$BP$300, IF(AND(AU198&gt;=Deflactor!$BQ$301,AU198&lt;Deflactor!$BQ$302), Deflactor!$BP$301, IF(AND(AU198&gt;=Deflactor!$BQ$302,AU198&lt;Deflactor!$BQ$303), Deflactor!$BP$302, IF(AND(AU198&gt;=Deflactor!$BQ$303,AU198&lt;Deflactor!$BQ$304), Deflactor!$BP$303, IF(AND(AU198&gt;=Deflactor!$BQ$304,AU198&lt;Deflactor!$BQ$305), Deflactor!$BP$304, IF(AND(AU198&gt;=Deflactor!$BQ$305,AU198&lt;Deflactor!$BQ$306), Deflactor!$BP$305, IF(AND(AU198&gt;=Deflactor!$BQ$306,AU198&lt;Deflactor!$BQ$307), Deflactor!$BP$306, Deflactor!$BP$307) ) ) ) ) ) ) ) ) )</f>
        <v>6</v>
      </c>
      <c r="AW198" s="57" t="str">
        <f>+IFERROR(VLOOKUP(AV198,Deflactor!$BP$298:$BU$307,6,0),"")</f>
        <v>15 a 20 millones USD</v>
      </c>
    </row>
    <row r="199" spans="1:49" x14ac:dyDescent="0.3">
      <c r="A199" s="3">
        <v>2012</v>
      </c>
      <c r="B199" s="3" t="s">
        <v>270</v>
      </c>
      <c r="C199" s="3" t="s">
        <v>7</v>
      </c>
      <c r="D199" s="3" t="s">
        <v>40</v>
      </c>
      <c r="E199" s="3" t="s">
        <v>41</v>
      </c>
      <c r="F199" s="3" t="s">
        <v>89</v>
      </c>
      <c r="G199" s="3" t="s">
        <v>623</v>
      </c>
      <c r="H199" s="12">
        <v>2008</v>
      </c>
      <c r="I199" s="13" t="s">
        <v>623</v>
      </c>
      <c r="J199" s="10">
        <f t="shared" si="7"/>
        <v>14778000000</v>
      </c>
      <c r="K199" s="3" t="s">
        <v>2284</v>
      </c>
      <c r="L199" s="3" t="s">
        <v>1542</v>
      </c>
      <c r="M199" s="3" t="s">
        <v>1543</v>
      </c>
      <c r="N199" s="3" t="s">
        <v>1544</v>
      </c>
      <c r="O199" s="3" t="s">
        <v>1545</v>
      </c>
      <c r="P199" s="3"/>
      <c r="Q199" s="3"/>
      <c r="R199" s="3" t="s">
        <v>1546</v>
      </c>
      <c r="S199" s="3" t="s">
        <v>1547</v>
      </c>
      <c r="T199" s="3"/>
      <c r="U199" s="3"/>
      <c r="V199" s="3"/>
      <c r="W199" s="10">
        <f>IF( J199="s.i", "s.i", IF(ISBLANK(J199),"Actualizando información",IFERROR(J199 / VLOOKUP(A199,Deflactor!$G$3:$H$64,2,0),"Revisar error" )))</f>
        <v>15070108637.508173</v>
      </c>
      <c r="AR199" s="10">
        <f t="shared" si="8"/>
        <v>7607946000</v>
      </c>
      <c r="AT199" s="46">
        <f t="shared" si="9"/>
        <v>7607946000</v>
      </c>
      <c r="AU199" s="54">
        <f xml:space="preserve"> IFERROR(ROUND(AT199 / VLOOKUP(A199,Tabla1[#All],2,0),0),"s.i")</f>
        <v>15630200</v>
      </c>
      <c r="AV199" s="33">
        <f xml:space="preserve"> IF(AU199="s.i", "s.i", IF(AND(AU199&gt;=Deflactor!$BQ$298,AU199&lt;Deflactor!$BQ$299), Deflactor!$BP$298, IF(AND(AU199&gt;=Deflactor!$BQ$299,AU199&lt;Deflactor!$BQ$300), Deflactor!$BP$299, IF(AND(AU199&gt;=Deflactor!$BQ$300,AU199&lt;Deflactor!$BQ$301), Deflactor!$BP$300, IF(AND(AU199&gt;=Deflactor!$BQ$301,AU199&lt;Deflactor!$BQ$302), Deflactor!$BP$301, IF(AND(AU199&gt;=Deflactor!$BQ$302,AU199&lt;Deflactor!$BQ$303), Deflactor!$BP$302, IF(AND(AU199&gt;=Deflactor!$BQ$303,AU199&lt;Deflactor!$BQ$304), Deflactor!$BP$303, IF(AND(AU199&gt;=Deflactor!$BQ$304,AU199&lt;Deflactor!$BQ$305), Deflactor!$BP$304, IF(AND(AU199&gt;=Deflactor!$BQ$305,AU199&lt;Deflactor!$BQ$306), Deflactor!$BP$305, IF(AND(AU199&gt;=Deflactor!$BQ$306,AU199&lt;Deflactor!$BQ$307), Deflactor!$BP$306, Deflactor!$BP$307) ) ) ) ) ) ) ) ) )</f>
        <v>6</v>
      </c>
      <c r="AW199" s="57" t="str">
        <f>+IFERROR(VLOOKUP(AV199,Deflactor!$BP$298:$BU$307,6,0),"")</f>
        <v>15 a 20 millones USD</v>
      </c>
    </row>
    <row r="200" spans="1:49" x14ac:dyDescent="0.3">
      <c r="A200" s="3">
        <v>2012</v>
      </c>
      <c r="B200" s="3" t="s">
        <v>271</v>
      </c>
      <c r="C200" s="3" t="s">
        <v>7</v>
      </c>
      <c r="D200" s="3" t="s">
        <v>40</v>
      </c>
      <c r="E200" s="3" t="s">
        <v>160</v>
      </c>
      <c r="F200" s="3" t="s">
        <v>30</v>
      </c>
      <c r="G200" s="3" t="s">
        <v>623</v>
      </c>
      <c r="H200" s="12">
        <v>2006</v>
      </c>
      <c r="I200" s="13" t="s">
        <v>623</v>
      </c>
      <c r="J200" s="10">
        <f xml:space="preserve"> 7097848 * 1000</f>
        <v>7097848000</v>
      </c>
      <c r="K200" s="3" t="s">
        <v>1831</v>
      </c>
      <c r="L200" s="3" t="s">
        <v>1548</v>
      </c>
      <c r="M200" s="3" t="s">
        <v>1549</v>
      </c>
      <c r="N200" s="3" t="s">
        <v>1550</v>
      </c>
      <c r="O200" s="3" t="s">
        <v>1551</v>
      </c>
      <c r="P200" s="3" t="s">
        <v>1552</v>
      </c>
      <c r="Q200" s="3"/>
      <c r="R200" s="3" t="s">
        <v>1553</v>
      </c>
      <c r="S200" s="3" t="s">
        <v>1554</v>
      </c>
      <c r="T200" s="3"/>
      <c r="U200" s="3"/>
      <c r="V200" s="3"/>
      <c r="W200" s="10">
        <f>IF( J200="s.i", "s.i", IF(ISBLANK(J200),"Actualizando información",IFERROR(J200 / VLOOKUP(A200,Deflactor!$G$3:$H$64,2,0),"Revisar error" )))</f>
        <v>7238147276.5272779</v>
      </c>
      <c r="AR200" s="34">
        <f xml:space="preserve"> 7097848 * 1000</f>
        <v>7097848000</v>
      </c>
      <c r="AT200" s="46">
        <f t="shared" si="9"/>
        <v>7097848000</v>
      </c>
      <c r="AU200" s="54">
        <f xml:space="preserve"> IFERROR(ROUND(AT200 / VLOOKUP(A200,Tabla1[#All],2,0),0),"s.i")</f>
        <v>14582225</v>
      </c>
      <c r="AV200" s="33">
        <f xml:space="preserve"> IF(AU200="s.i", "s.i", IF(AND(AU200&gt;=Deflactor!$BQ$298,AU200&lt;Deflactor!$BQ$299), Deflactor!$BP$298, IF(AND(AU200&gt;=Deflactor!$BQ$299,AU200&lt;Deflactor!$BQ$300), Deflactor!$BP$299, IF(AND(AU200&gt;=Deflactor!$BQ$300,AU200&lt;Deflactor!$BQ$301), Deflactor!$BP$300, IF(AND(AU200&gt;=Deflactor!$BQ$301,AU200&lt;Deflactor!$BQ$302), Deflactor!$BP$301, IF(AND(AU200&gt;=Deflactor!$BQ$302,AU200&lt;Deflactor!$BQ$303), Deflactor!$BP$302, IF(AND(AU200&gt;=Deflactor!$BQ$303,AU200&lt;Deflactor!$BQ$304), Deflactor!$BP$303, IF(AND(AU200&gt;=Deflactor!$BQ$304,AU200&lt;Deflactor!$BQ$305), Deflactor!$BP$304, IF(AND(AU200&gt;=Deflactor!$BQ$305,AU200&lt;Deflactor!$BQ$306), Deflactor!$BP$305, IF(AND(AU200&gt;=Deflactor!$BQ$306,AU200&lt;Deflactor!$BQ$307), Deflactor!$BP$306, Deflactor!$BP$307) ) ) ) ) ) ) ) ) )</f>
        <v>5</v>
      </c>
      <c r="AW200" s="57" t="str">
        <f>+IFERROR(VLOOKUP(AV200,Deflactor!$BP$298:$BU$307,6,0),"")</f>
        <v>10 a 15 millones USD</v>
      </c>
    </row>
    <row r="201" spans="1:49" x14ac:dyDescent="0.3">
      <c r="A201" s="3">
        <v>2012</v>
      </c>
      <c r="B201" s="3" t="s">
        <v>272</v>
      </c>
      <c r="C201" s="3" t="s">
        <v>7</v>
      </c>
      <c r="D201" s="3" t="s">
        <v>36</v>
      </c>
      <c r="E201" s="3" t="s">
        <v>98</v>
      </c>
      <c r="F201" s="3" t="s">
        <v>89</v>
      </c>
      <c r="G201" s="3" t="s">
        <v>623</v>
      </c>
      <c r="H201" s="12">
        <v>2007</v>
      </c>
      <c r="I201" s="13" t="s">
        <v>623</v>
      </c>
      <c r="J201" s="10">
        <f xml:space="preserve"> 1370 * 1000000</f>
        <v>1370000000</v>
      </c>
      <c r="K201" s="3" t="s">
        <v>1864</v>
      </c>
      <c r="L201" s="3" t="s">
        <v>1555</v>
      </c>
      <c r="M201" s="3" t="s">
        <v>1556</v>
      </c>
      <c r="N201" s="3" t="s">
        <v>1557</v>
      </c>
      <c r="O201" s="3" t="s">
        <v>1558</v>
      </c>
      <c r="P201" s="3"/>
      <c r="Q201" s="3"/>
      <c r="R201" s="3" t="s">
        <v>1559</v>
      </c>
      <c r="S201" s="3" t="s">
        <v>1560</v>
      </c>
      <c r="T201" s="3"/>
      <c r="U201" s="3"/>
      <c r="V201" s="3"/>
      <c r="W201" s="10">
        <f>IF( J201="s.i", "s.i", IF(ISBLANK(J201),"Actualizando información",IFERROR(J201 / VLOOKUP(A201,Deflactor!$G$3:$H$64,2,0),"Revisar error" )))</f>
        <v>1397080040.1533494</v>
      </c>
      <c r="AR201" s="34">
        <f xml:space="preserve"> 4151851 * 1000</f>
        <v>4151851000</v>
      </c>
      <c r="AT201" s="46">
        <f t="shared" si="9"/>
        <v>4151851000</v>
      </c>
      <c r="AU201" s="54">
        <f xml:space="preserve"> IFERROR(ROUND(AT201 / VLOOKUP(A201,Tabla1[#All],2,0),0),"s.i")</f>
        <v>8529800</v>
      </c>
      <c r="AV201" s="33">
        <f xml:space="preserve"> IF(AU201="s.i", "s.i", IF(AND(AU201&gt;=Deflactor!$BQ$298,AU201&lt;Deflactor!$BQ$299), Deflactor!$BP$298, IF(AND(AU201&gt;=Deflactor!$BQ$299,AU201&lt;Deflactor!$BQ$300), Deflactor!$BP$299, IF(AND(AU201&gt;=Deflactor!$BQ$300,AU201&lt;Deflactor!$BQ$301), Deflactor!$BP$300, IF(AND(AU201&gt;=Deflactor!$BQ$301,AU201&lt;Deflactor!$BQ$302), Deflactor!$BP$301, IF(AND(AU201&gt;=Deflactor!$BQ$302,AU201&lt;Deflactor!$BQ$303), Deflactor!$BP$302, IF(AND(AU201&gt;=Deflactor!$BQ$303,AU201&lt;Deflactor!$BQ$304), Deflactor!$BP$303, IF(AND(AU201&gt;=Deflactor!$BQ$304,AU201&lt;Deflactor!$BQ$305), Deflactor!$BP$304, IF(AND(AU201&gt;=Deflactor!$BQ$305,AU201&lt;Deflactor!$BQ$306), Deflactor!$BP$305, IF(AND(AU201&gt;=Deflactor!$BQ$306,AU201&lt;Deflactor!$BQ$307), Deflactor!$BP$306, Deflactor!$BP$307) ) ) ) ) ) ) ) ) )</f>
        <v>4</v>
      </c>
      <c r="AW201" s="57" t="str">
        <f>+IFERROR(VLOOKUP(AV201,Deflactor!$BP$298:$BU$307,6,0),"")</f>
        <v>7,5 a 10 millones USD</v>
      </c>
    </row>
    <row r="202" spans="1:49" x14ac:dyDescent="0.3">
      <c r="A202" s="3">
        <v>2012</v>
      </c>
      <c r="B202" s="3" t="s">
        <v>273</v>
      </c>
      <c r="C202" s="3" t="s">
        <v>7</v>
      </c>
      <c r="D202" s="3" t="s">
        <v>36</v>
      </c>
      <c r="E202" s="3" t="s">
        <v>81</v>
      </c>
      <c r="F202" s="3" t="s">
        <v>95</v>
      </c>
      <c r="G202" s="3" t="s">
        <v>723</v>
      </c>
      <c r="H202" s="13">
        <v>2005</v>
      </c>
      <c r="I202" s="13" t="s">
        <v>623</v>
      </c>
      <c r="J202" s="10">
        <f xml:space="preserve"> 5021446 * 1</f>
        <v>5021446</v>
      </c>
      <c r="K202" s="3"/>
      <c r="L202" s="3" t="s">
        <v>1561</v>
      </c>
      <c r="M202" s="3" t="s">
        <v>1562</v>
      </c>
      <c r="N202" s="3" t="s">
        <v>1563</v>
      </c>
      <c r="O202" s="3"/>
      <c r="P202" s="3"/>
      <c r="Q202" s="3"/>
      <c r="R202" s="3" t="s">
        <v>1564</v>
      </c>
      <c r="S202" s="3" t="s">
        <v>1565</v>
      </c>
      <c r="T202" s="3" t="s">
        <v>1566</v>
      </c>
      <c r="U202" s="3"/>
      <c r="V202" s="3"/>
      <c r="W202" s="10">
        <f>IF( J202="s.i", "s.i", IF(ISBLANK(J202),"Actualizando información",IFERROR(J202 / VLOOKUP(A202,Deflactor!$G$3:$H$64,2,0),"Revisar error" )))</f>
        <v>5120702.1746772816</v>
      </c>
      <c r="AR202" s="34">
        <f xml:space="preserve"> 5021446 * 1000</f>
        <v>5021446000</v>
      </c>
      <c r="AT202" s="46">
        <f t="shared" si="9"/>
        <v>5021446000</v>
      </c>
      <c r="AU202" s="54">
        <f xml:space="preserve"> IFERROR(ROUND(AT202 / VLOOKUP(A202,Tabla1[#All],2,0),0),"s.i")</f>
        <v>10316346</v>
      </c>
      <c r="AV202" s="33">
        <f xml:space="preserve"> IF(AU202="s.i", "s.i", IF(AND(AU202&gt;=Deflactor!$BQ$298,AU202&lt;Deflactor!$BQ$299), Deflactor!$BP$298, IF(AND(AU202&gt;=Deflactor!$BQ$299,AU202&lt;Deflactor!$BQ$300), Deflactor!$BP$299, IF(AND(AU202&gt;=Deflactor!$BQ$300,AU202&lt;Deflactor!$BQ$301), Deflactor!$BP$300, IF(AND(AU202&gt;=Deflactor!$BQ$301,AU202&lt;Deflactor!$BQ$302), Deflactor!$BP$301, IF(AND(AU202&gt;=Deflactor!$BQ$302,AU202&lt;Deflactor!$BQ$303), Deflactor!$BP$302, IF(AND(AU202&gt;=Deflactor!$BQ$303,AU202&lt;Deflactor!$BQ$304), Deflactor!$BP$303, IF(AND(AU202&gt;=Deflactor!$BQ$304,AU202&lt;Deflactor!$BQ$305), Deflactor!$BP$304, IF(AND(AU202&gt;=Deflactor!$BQ$305,AU202&lt;Deflactor!$BQ$306), Deflactor!$BP$305, IF(AND(AU202&gt;=Deflactor!$BQ$306,AU202&lt;Deflactor!$BQ$307), Deflactor!$BP$306, Deflactor!$BP$307) ) ) ) ) ) ) ) ) )</f>
        <v>5</v>
      </c>
      <c r="AW202" s="57" t="str">
        <f>+IFERROR(VLOOKUP(AV202,Deflactor!$BP$298:$BU$307,6,0),"")</f>
        <v>10 a 15 millones USD</v>
      </c>
    </row>
    <row r="203" spans="1:49" x14ac:dyDescent="0.3">
      <c r="A203" s="3">
        <v>2012</v>
      </c>
      <c r="B203" s="3" t="s">
        <v>274</v>
      </c>
      <c r="C203" s="3" t="s">
        <v>7</v>
      </c>
      <c r="D203" s="3" t="s">
        <v>25</v>
      </c>
      <c r="E203" s="3" t="s">
        <v>151</v>
      </c>
      <c r="F203" s="3" t="s">
        <v>194</v>
      </c>
      <c r="G203" s="3" t="s">
        <v>723</v>
      </c>
      <c r="H203" s="12">
        <v>2011</v>
      </c>
      <c r="I203" s="13" t="s">
        <v>623</v>
      </c>
      <c r="J203" s="10">
        <f xml:space="preserve"> 7058 * 1000000</f>
        <v>7058000000</v>
      </c>
      <c r="K203" s="3" t="s">
        <v>2303</v>
      </c>
      <c r="L203" s="3" t="s">
        <v>1567</v>
      </c>
      <c r="M203" s="3" t="s">
        <v>1568</v>
      </c>
      <c r="N203" s="3" t="s">
        <v>1569</v>
      </c>
      <c r="O203" s="3" t="s">
        <v>1570</v>
      </c>
      <c r="P203" s="3"/>
      <c r="Q203" s="14" t="s">
        <v>1571</v>
      </c>
      <c r="R203" s="3" t="s">
        <v>1572</v>
      </c>
      <c r="S203" s="3" t="s">
        <v>1573</v>
      </c>
      <c r="T203" s="3" t="s">
        <v>1574</v>
      </c>
      <c r="U203" s="3"/>
      <c r="V203" s="3"/>
      <c r="W203" s="10">
        <f>IF( J203="s.i", "s.i", IF(ISBLANK(J203),"Actualizando información",IFERROR(J203 / VLOOKUP(A203,Deflactor!$G$3:$H$64,2,0),"Revisar error" )))</f>
        <v>7197511622.9214163</v>
      </c>
      <c r="AR203" s="10">
        <f xml:space="preserve"> 4635252 * 1000</f>
        <v>4635252000</v>
      </c>
      <c r="AT203" s="46">
        <f t="shared" si="9"/>
        <v>4635252000</v>
      </c>
      <c r="AU203" s="54">
        <f xml:space="preserve"> IFERROR(ROUND(AT203 / VLOOKUP(A203,Tabla1[#All],2,0),0),"s.i")</f>
        <v>9522927</v>
      </c>
      <c r="AV203" s="33">
        <f xml:space="preserve"> IF(AU203="s.i", "s.i", IF(AND(AU203&gt;=Deflactor!$BQ$298,AU203&lt;Deflactor!$BQ$299), Deflactor!$BP$298, IF(AND(AU203&gt;=Deflactor!$BQ$299,AU203&lt;Deflactor!$BQ$300), Deflactor!$BP$299, IF(AND(AU203&gt;=Deflactor!$BQ$300,AU203&lt;Deflactor!$BQ$301), Deflactor!$BP$300, IF(AND(AU203&gt;=Deflactor!$BQ$301,AU203&lt;Deflactor!$BQ$302), Deflactor!$BP$301, IF(AND(AU203&gt;=Deflactor!$BQ$302,AU203&lt;Deflactor!$BQ$303), Deflactor!$BP$302, IF(AND(AU203&gt;=Deflactor!$BQ$303,AU203&lt;Deflactor!$BQ$304), Deflactor!$BP$303, IF(AND(AU203&gt;=Deflactor!$BQ$304,AU203&lt;Deflactor!$BQ$305), Deflactor!$BP$304, IF(AND(AU203&gt;=Deflactor!$BQ$305,AU203&lt;Deflactor!$BQ$306), Deflactor!$BP$305, IF(AND(AU203&gt;=Deflactor!$BQ$306,AU203&lt;Deflactor!$BQ$307), Deflactor!$BP$306, Deflactor!$BP$307) ) ) ) ) ) ) ) ) )</f>
        <v>4</v>
      </c>
      <c r="AW203" s="57" t="str">
        <f>+IFERROR(VLOOKUP(AV203,Deflactor!$BP$298:$BU$307,6,0),"")</f>
        <v>7,5 a 10 millones USD</v>
      </c>
    </row>
    <row r="204" spans="1:49" x14ac:dyDescent="0.3">
      <c r="A204" s="3">
        <v>2012</v>
      </c>
      <c r="B204" s="3" t="s">
        <v>275</v>
      </c>
      <c r="C204" s="3" t="s">
        <v>7</v>
      </c>
      <c r="D204" s="3" t="s">
        <v>25</v>
      </c>
      <c r="E204" s="3" t="s">
        <v>151</v>
      </c>
      <c r="F204" s="3" t="s">
        <v>194</v>
      </c>
      <c r="G204" s="3" t="s">
        <v>723</v>
      </c>
      <c r="H204" s="12">
        <v>2007</v>
      </c>
      <c r="I204" s="13" t="s">
        <v>623</v>
      </c>
      <c r="J204" s="10">
        <f xml:space="preserve"> 7058 * 1000000</f>
        <v>7058000000</v>
      </c>
      <c r="K204" s="3" t="s">
        <v>2303</v>
      </c>
      <c r="L204" s="3" t="s">
        <v>1567</v>
      </c>
      <c r="M204" s="3" t="s">
        <v>1568</v>
      </c>
      <c r="N204" s="3" t="s">
        <v>1569</v>
      </c>
      <c r="O204" s="3" t="s">
        <v>1570</v>
      </c>
      <c r="P204" s="3"/>
      <c r="Q204" s="14" t="s">
        <v>1575</v>
      </c>
      <c r="R204" s="3" t="s">
        <v>1572</v>
      </c>
      <c r="S204" s="3" t="s">
        <v>1573</v>
      </c>
      <c r="T204" s="3" t="s">
        <v>1574</v>
      </c>
      <c r="U204" s="3"/>
      <c r="V204" s="3"/>
      <c r="W204" s="10">
        <f>IF( J204="s.i", "s.i", IF(ISBLANK(J204),"Actualizando información",IFERROR(J204 / VLOOKUP(A204,Deflactor!$G$3:$H$64,2,0),"Revisar error" )))</f>
        <v>7197511622.9214163</v>
      </c>
      <c r="AR204" s="34">
        <f xml:space="preserve"> 2423221 * 1000</f>
        <v>2423221000</v>
      </c>
      <c r="AT204" s="46">
        <f t="shared" si="9"/>
        <v>2423221000</v>
      </c>
      <c r="AU204" s="54">
        <f xml:space="preserve"> IFERROR(ROUND(AT204 / VLOOKUP(A204,Tabla1[#All],2,0),0),"s.i")</f>
        <v>4978404</v>
      </c>
      <c r="AV204" s="33">
        <f xml:space="preserve"> IF(AU204="s.i", "s.i", IF(AND(AU204&gt;=Deflactor!$BQ$298,AU204&lt;Deflactor!$BQ$299), Deflactor!$BP$298, IF(AND(AU204&gt;=Deflactor!$BQ$299,AU204&lt;Deflactor!$BQ$300), Deflactor!$BP$299, IF(AND(AU204&gt;=Deflactor!$BQ$300,AU204&lt;Deflactor!$BQ$301), Deflactor!$BP$300, IF(AND(AU204&gt;=Deflactor!$BQ$301,AU204&lt;Deflactor!$BQ$302), Deflactor!$BP$301, IF(AND(AU204&gt;=Deflactor!$BQ$302,AU204&lt;Deflactor!$BQ$303), Deflactor!$BP$302, IF(AND(AU204&gt;=Deflactor!$BQ$303,AU204&lt;Deflactor!$BQ$304), Deflactor!$BP$303, IF(AND(AU204&gt;=Deflactor!$BQ$304,AU204&lt;Deflactor!$BQ$305), Deflactor!$BP$304, IF(AND(AU204&gt;=Deflactor!$BQ$305,AU204&lt;Deflactor!$BQ$306), Deflactor!$BP$305, IF(AND(AU204&gt;=Deflactor!$BQ$306,AU204&lt;Deflactor!$BQ$307), Deflactor!$BP$306, Deflactor!$BP$307) ) ) ) ) ) ) ) ) )</f>
        <v>2</v>
      </c>
      <c r="AW204" s="57" t="str">
        <f>+IFERROR(VLOOKUP(AV204,Deflactor!$BP$298:$BU$307,6,0),"")</f>
        <v>2 a 5 millones USD</v>
      </c>
    </row>
    <row r="205" spans="1:49" x14ac:dyDescent="0.3">
      <c r="A205" s="3">
        <v>2011</v>
      </c>
      <c r="B205" s="3" t="s">
        <v>276</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c r="AR205" s="10">
        <f xml:space="preserve"> 134989 * 1000</f>
        <v>134989000</v>
      </c>
      <c r="AT205" s="46">
        <f t="shared" si="9"/>
        <v>134989000</v>
      </c>
      <c r="AU205" s="54">
        <f xml:space="preserve"> IFERROR(ROUND(AT205 / VLOOKUP(A205,Tabla1[#All],2,0),0),"s.i")</f>
        <v>279270</v>
      </c>
      <c r="AV205" s="33">
        <f xml:space="preserve"> IF(AU205="s.i", "s.i", IF(AND(AU205&gt;=Deflactor!$BQ$298,AU205&lt;Deflactor!$BQ$299), Deflactor!$BP$298, IF(AND(AU205&gt;=Deflactor!$BQ$299,AU205&lt;Deflactor!$BQ$300), Deflactor!$BP$299, IF(AND(AU205&gt;=Deflactor!$BQ$300,AU205&lt;Deflactor!$BQ$301), Deflactor!$BP$300, IF(AND(AU205&gt;=Deflactor!$BQ$301,AU205&lt;Deflactor!$BQ$302), Deflactor!$BP$301, IF(AND(AU205&gt;=Deflactor!$BQ$302,AU205&lt;Deflactor!$BQ$303), Deflactor!$BP$302, IF(AND(AU205&gt;=Deflactor!$BQ$303,AU205&lt;Deflactor!$BQ$304), Deflactor!$BP$303, IF(AND(AU205&gt;=Deflactor!$BQ$304,AU205&lt;Deflactor!$BQ$305), Deflactor!$BP$304, IF(AND(AU205&gt;=Deflactor!$BQ$305,AU205&lt;Deflactor!$BQ$306), Deflactor!$BP$305, IF(AND(AU205&gt;=Deflactor!$BQ$306,AU205&lt;Deflactor!$BQ$307), Deflactor!$BP$306, Deflactor!$BP$307) ) ) ) ) ) ) ) ) )</f>
        <v>1</v>
      </c>
      <c r="AW205" s="57" t="str">
        <f>+IFERROR(VLOOKUP(AV205,Deflactor!$BP$298:$BU$307,6,0),"")</f>
        <v>2 millones USD y menos</v>
      </c>
    </row>
    <row r="206" spans="1:49" x14ac:dyDescent="0.3">
      <c r="A206" s="3">
        <v>2011</v>
      </c>
      <c r="B206" s="3" t="s">
        <v>277</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c r="AR206" s="10">
        <f xml:space="preserve"> 1597533 * 1000</f>
        <v>1597533000</v>
      </c>
      <c r="AT206" s="46">
        <f t="shared" si="9"/>
        <v>1597533000</v>
      </c>
      <c r="AU206" s="54">
        <f xml:space="preserve"> IFERROR(ROUND(AT206 / VLOOKUP(A206,Tabla1[#All],2,0),0),"s.i")</f>
        <v>3305031</v>
      </c>
      <c r="AV206" s="33">
        <f xml:space="preserve"> IF(AU206="s.i", "s.i", IF(AND(AU206&gt;=Deflactor!$BQ$298,AU206&lt;Deflactor!$BQ$299), Deflactor!$BP$298, IF(AND(AU206&gt;=Deflactor!$BQ$299,AU206&lt;Deflactor!$BQ$300), Deflactor!$BP$299, IF(AND(AU206&gt;=Deflactor!$BQ$300,AU206&lt;Deflactor!$BQ$301), Deflactor!$BP$300, IF(AND(AU206&gt;=Deflactor!$BQ$301,AU206&lt;Deflactor!$BQ$302), Deflactor!$BP$301, IF(AND(AU206&gt;=Deflactor!$BQ$302,AU206&lt;Deflactor!$BQ$303), Deflactor!$BP$302, IF(AND(AU206&gt;=Deflactor!$BQ$303,AU206&lt;Deflactor!$BQ$304), Deflactor!$BP$303, IF(AND(AU206&gt;=Deflactor!$BQ$304,AU206&lt;Deflactor!$BQ$305), Deflactor!$BP$304, IF(AND(AU206&gt;=Deflactor!$BQ$305,AU206&lt;Deflactor!$BQ$306), Deflactor!$BP$305, IF(AND(AU206&gt;=Deflactor!$BQ$306,AU206&lt;Deflactor!$BQ$307), Deflactor!$BP$306, Deflactor!$BP$307) ) ) ) ) ) ) ) ) )</f>
        <v>2</v>
      </c>
      <c r="AW206" s="57" t="str">
        <f>+IFERROR(VLOOKUP(AV206,Deflactor!$BP$298:$BU$307,6,0),"")</f>
        <v>2 a 5 millones USD</v>
      </c>
    </row>
    <row r="207" spans="1:49" x14ac:dyDescent="0.3">
      <c r="A207" s="3">
        <v>2011</v>
      </c>
      <c r="B207" s="3" t="s">
        <v>278</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c r="AR207" s="10">
        <f xml:space="preserve"> 75201 * 1000</f>
        <v>75201000</v>
      </c>
      <c r="AT207" s="46">
        <f t="shared" si="9"/>
        <v>75201000</v>
      </c>
      <c r="AU207" s="54">
        <f xml:space="preserve"> IFERROR(ROUND(AT207 / VLOOKUP(A207,Tabla1[#All],2,0),0),"s.i")</f>
        <v>155578</v>
      </c>
      <c r="AV207" s="33">
        <f xml:space="preserve"> IF(AU207="s.i", "s.i", IF(AND(AU207&gt;=Deflactor!$BQ$298,AU207&lt;Deflactor!$BQ$299), Deflactor!$BP$298, IF(AND(AU207&gt;=Deflactor!$BQ$299,AU207&lt;Deflactor!$BQ$300), Deflactor!$BP$299, IF(AND(AU207&gt;=Deflactor!$BQ$300,AU207&lt;Deflactor!$BQ$301), Deflactor!$BP$300, IF(AND(AU207&gt;=Deflactor!$BQ$301,AU207&lt;Deflactor!$BQ$302), Deflactor!$BP$301, IF(AND(AU207&gt;=Deflactor!$BQ$302,AU207&lt;Deflactor!$BQ$303), Deflactor!$BP$302, IF(AND(AU207&gt;=Deflactor!$BQ$303,AU207&lt;Deflactor!$BQ$304), Deflactor!$BP$303, IF(AND(AU207&gt;=Deflactor!$BQ$304,AU207&lt;Deflactor!$BQ$305), Deflactor!$BP$304, IF(AND(AU207&gt;=Deflactor!$BQ$305,AU207&lt;Deflactor!$BQ$306), Deflactor!$BP$305, IF(AND(AU207&gt;=Deflactor!$BQ$306,AU207&lt;Deflactor!$BQ$307), Deflactor!$BP$306, Deflactor!$BP$307) ) ) ) ) ) ) ) ) )</f>
        <v>1</v>
      </c>
      <c r="AW207" s="57" t="str">
        <f>+IFERROR(VLOOKUP(AV207,Deflactor!$BP$298:$BU$307,6,0),"")</f>
        <v>2 millones USD y menos</v>
      </c>
    </row>
    <row r="208" spans="1:49" x14ac:dyDescent="0.3">
      <c r="A208" s="3">
        <v>2011</v>
      </c>
      <c r="B208" s="3" t="s">
        <v>279</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c r="AR208" s="10">
        <f xml:space="preserve"> 252948 * 1000</f>
        <v>252948000</v>
      </c>
      <c r="AT208" s="46">
        <f t="shared" si="9"/>
        <v>252948000</v>
      </c>
      <c r="AU208" s="54">
        <f xml:space="preserve"> IFERROR(ROUND(AT208 / VLOOKUP(A208,Tabla1[#All],2,0),0),"s.i")</f>
        <v>523307</v>
      </c>
      <c r="AV208" s="33">
        <f xml:space="preserve"> IF(AU208="s.i", "s.i", IF(AND(AU208&gt;=Deflactor!$BQ$298,AU208&lt;Deflactor!$BQ$299), Deflactor!$BP$298, IF(AND(AU208&gt;=Deflactor!$BQ$299,AU208&lt;Deflactor!$BQ$300), Deflactor!$BP$299, IF(AND(AU208&gt;=Deflactor!$BQ$300,AU208&lt;Deflactor!$BQ$301), Deflactor!$BP$300, IF(AND(AU208&gt;=Deflactor!$BQ$301,AU208&lt;Deflactor!$BQ$302), Deflactor!$BP$301, IF(AND(AU208&gt;=Deflactor!$BQ$302,AU208&lt;Deflactor!$BQ$303), Deflactor!$BP$302, IF(AND(AU208&gt;=Deflactor!$BQ$303,AU208&lt;Deflactor!$BQ$304), Deflactor!$BP$303, IF(AND(AU208&gt;=Deflactor!$BQ$304,AU208&lt;Deflactor!$BQ$305), Deflactor!$BP$304, IF(AND(AU208&gt;=Deflactor!$BQ$305,AU208&lt;Deflactor!$BQ$306), Deflactor!$BP$305, IF(AND(AU208&gt;=Deflactor!$BQ$306,AU208&lt;Deflactor!$BQ$307), Deflactor!$BP$306, Deflactor!$BP$307) ) ) ) ) ) ) ) ) )</f>
        <v>1</v>
      </c>
      <c r="AW208" s="57" t="str">
        <f>+IFERROR(VLOOKUP(AV208,Deflactor!$BP$298:$BU$307,6,0),"")</f>
        <v>2 millones USD y menos</v>
      </c>
    </row>
    <row r="209" spans="1:49" x14ac:dyDescent="0.3">
      <c r="A209" s="3">
        <v>2011</v>
      </c>
      <c r="B209" s="3" t="s">
        <v>280</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c r="AR209" s="10">
        <f xml:space="preserve"> 2632393 * 1000</f>
        <v>2632393000</v>
      </c>
      <c r="AT209" s="46">
        <f t="shared" si="9"/>
        <v>2632393000</v>
      </c>
      <c r="AU209" s="54">
        <f xml:space="preserve"> IFERROR(ROUND(AT209 / VLOOKUP(A209,Tabla1[#All],2,0),0),"s.i")</f>
        <v>5445984</v>
      </c>
      <c r="AV209" s="33">
        <f xml:space="preserve"> IF(AU209="s.i", "s.i", IF(AND(AU209&gt;=Deflactor!$BQ$298,AU209&lt;Deflactor!$BQ$299), Deflactor!$BP$298, IF(AND(AU209&gt;=Deflactor!$BQ$299,AU209&lt;Deflactor!$BQ$300), Deflactor!$BP$299, IF(AND(AU209&gt;=Deflactor!$BQ$300,AU209&lt;Deflactor!$BQ$301), Deflactor!$BP$300, IF(AND(AU209&gt;=Deflactor!$BQ$301,AU209&lt;Deflactor!$BQ$302), Deflactor!$BP$301, IF(AND(AU209&gt;=Deflactor!$BQ$302,AU209&lt;Deflactor!$BQ$303), Deflactor!$BP$302, IF(AND(AU209&gt;=Deflactor!$BQ$303,AU209&lt;Deflactor!$BQ$304), Deflactor!$BP$303, IF(AND(AU209&gt;=Deflactor!$BQ$304,AU209&lt;Deflactor!$BQ$305), Deflactor!$BP$304, IF(AND(AU209&gt;=Deflactor!$BQ$305,AU209&lt;Deflactor!$BQ$306), Deflactor!$BP$305, IF(AND(AU209&gt;=Deflactor!$BQ$306,AU209&lt;Deflactor!$BQ$307), Deflactor!$BP$306, Deflactor!$BP$307) ) ) ) ) ) ) ) ) )</f>
        <v>3</v>
      </c>
      <c r="AW209" s="57" t="str">
        <f>+IFERROR(VLOOKUP(AV209,Deflactor!$BP$298:$BU$307,6,0),"")</f>
        <v>5 a 7,5 millones USD</v>
      </c>
    </row>
    <row r="210" spans="1:49" x14ac:dyDescent="0.3">
      <c r="A210" s="3">
        <v>2011</v>
      </c>
      <c r="B210" s="3" t="s">
        <v>281</v>
      </c>
      <c r="C210" s="3" t="s">
        <v>155</v>
      </c>
      <c r="D210" s="3" t="s">
        <v>54</v>
      </c>
      <c r="E210" s="3" t="s">
        <v>243</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c r="AR210" s="10">
        <f xml:space="preserve"> 1902666882 * 1000</f>
        <v>1902666882000</v>
      </c>
      <c r="AT210" s="46">
        <f t="shared" si="9"/>
        <v>1902666882000</v>
      </c>
      <c r="AU210" s="54">
        <f xml:space="preserve"> IFERROR(ROUND(AT210 / VLOOKUP(A210,Tabla1[#All],2,0),0),"s.i")</f>
        <v>3936302030</v>
      </c>
      <c r="AV210" s="33">
        <f xml:space="preserve"> IF(AU210="s.i", "s.i", IF(AND(AU210&gt;=Deflactor!$BQ$298,AU210&lt;Deflactor!$BQ$299), Deflactor!$BP$298, IF(AND(AU210&gt;=Deflactor!$BQ$299,AU210&lt;Deflactor!$BQ$300), Deflactor!$BP$299, IF(AND(AU210&gt;=Deflactor!$BQ$300,AU210&lt;Deflactor!$BQ$301), Deflactor!$BP$300, IF(AND(AU210&gt;=Deflactor!$BQ$301,AU210&lt;Deflactor!$BQ$302), Deflactor!$BP$301, IF(AND(AU210&gt;=Deflactor!$BQ$302,AU210&lt;Deflactor!$BQ$303), Deflactor!$BP$302, IF(AND(AU210&gt;=Deflactor!$BQ$303,AU210&lt;Deflactor!$BQ$304), Deflactor!$BP$303, IF(AND(AU210&gt;=Deflactor!$BQ$304,AU210&lt;Deflactor!$BQ$305), Deflactor!$BP$304, IF(AND(AU210&gt;=Deflactor!$BQ$305,AU210&lt;Deflactor!$BQ$306), Deflactor!$BP$305, IF(AND(AU210&gt;=Deflactor!$BQ$306,AU210&lt;Deflactor!$BQ$307), Deflactor!$BP$306, Deflactor!$BP$307) ) ) ) ) ) ) ) ) )</f>
        <v>10</v>
      </c>
      <c r="AW210" s="57" t="str">
        <f>+IFERROR(VLOOKUP(AV210,Deflactor!$BP$298:$BU$307,6,0),"")</f>
        <v>100 millones USD y mas</v>
      </c>
    </row>
    <row r="211" spans="1:49" x14ac:dyDescent="0.3">
      <c r="A211" s="3">
        <v>2011</v>
      </c>
      <c r="B211" s="3" t="s">
        <v>282</v>
      </c>
      <c r="C211" s="3" t="s">
        <v>283</v>
      </c>
      <c r="D211" s="3" t="s">
        <v>54</v>
      </c>
      <c r="E211" s="3" t="s">
        <v>243</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c r="AR211" s="10">
        <f xml:space="preserve"> 6269428 * 1000</f>
        <v>6269428000</v>
      </c>
      <c r="AT211" s="46">
        <f t="shared" si="9"/>
        <v>6269428000</v>
      </c>
      <c r="AU211" s="54">
        <f xml:space="preserve"> IFERROR(ROUND(AT211 / VLOOKUP(A211,Tabla1[#All],2,0),0),"s.i")</f>
        <v>12970406</v>
      </c>
      <c r="AV211" s="33">
        <f xml:space="preserve"> IF(AU211="s.i", "s.i", IF(AND(AU211&gt;=Deflactor!$BQ$298,AU211&lt;Deflactor!$BQ$299), Deflactor!$BP$298, IF(AND(AU211&gt;=Deflactor!$BQ$299,AU211&lt;Deflactor!$BQ$300), Deflactor!$BP$299, IF(AND(AU211&gt;=Deflactor!$BQ$300,AU211&lt;Deflactor!$BQ$301), Deflactor!$BP$300, IF(AND(AU211&gt;=Deflactor!$BQ$301,AU211&lt;Deflactor!$BQ$302), Deflactor!$BP$301, IF(AND(AU211&gt;=Deflactor!$BQ$302,AU211&lt;Deflactor!$BQ$303), Deflactor!$BP$302, IF(AND(AU211&gt;=Deflactor!$BQ$303,AU211&lt;Deflactor!$BQ$304), Deflactor!$BP$303, IF(AND(AU211&gt;=Deflactor!$BQ$304,AU211&lt;Deflactor!$BQ$305), Deflactor!$BP$304, IF(AND(AU211&gt;=Deflactor!$BQ$305,AU211&lt;Deflactor!$BQ$306), Deflactor!$BP$305, IF(AND(AU211&gt;=Deflactor!$BQ$306,AU211&lt;Deflactor!$BQ$307), Deflactor!$BP$306, Deflactor!$BP$307) ) ) ) ) ) ) ) ) )</f>
        <v>5</v>
      </c>
      <c r="AW211" s="57" t="str">
        <f>+IFERROR(VLOOKUP(AV211,Deflactor!$BP$298:$BU$307,6,0),"")</f>
        <v>10 a 15 millones USD</v>
      </c>
    </row>
    <row r="212" spans="1:49" x14ac:dyDescent="0.3">
      <c r="A212" s="3">
        <v>2011</v>
      </c>
      <c r="B212" s="3" t="s">
        <v>284</v>
      </c>
      <c r="C212" s="3" t="s">
        <v>283</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c r="AR212" s="10">
        <f xml:space="preserve"> 20660000 * 1000</f>
        <v>20660000000</v>
      </c>
      <c r="AT212" s="46">
        <f t="shared" si="9"/>
        <v>20660000000</v>
      </c>
      <c r="AU212" s="54">
        <f xml:space="preserve"> IFERROR(ROUND(AT212 / VLOOKUP(A212,Tabla1[#All],2,0),0),"s.i")</f>
        <v>42742111</v>
      </c>
      <c r="AV212" s="33">
        <f xml:space="preserve"> IF(AU212="s.i", "s.i", IF(AND(AU212&gt;=Deflactor!$BQ$298,AU212&lt;Deflactor!$BQ$299), Deflactor!$BP$298, IF(AND(AU212&gt;=Deflactor!$BQ$299,AU212&lt;Deflactor!$BQ$300), Deflactor!$BP$299, IF(AND(AU212&gt;=Deflactor!$BQ$300,AU212&lt;Deflactor!$BQ$301), Deflactor!$BP$300, IF(AND(AU212&gt;=Deflactor!$BQ$301,AU212&lt;Deflactor!$BQ$302), Deflactor!$BP$301, IF(AND(AU212&gt;=Deflactor!$BQ$302,AU212&lt;Deflactor!$BQ$303), Deflactor!$BP$302, IF(AND(AU212&gt;=Deflactor!$BQ$303,AU212&lt;Deflactor!$BQ$304), Deflactor!$BP$303, IF(AND(AU212&gt;=Deflactor!$BQ$304,AU212&lt;Deflactor!$BQ$305), Deflactor!$BP$304, IF(AND(AU212&gt;=Deflactor!$BQ$305,AU212&lt;Deflactor!$BQ$306), Deflactor!$BP$305, IF(AND(AU212&gt;=Deflactor!$BQ$306,AU212&lt;Deflactor!$BQ$307), Deflactor!$BP$306, Deflactor!$BP$307) ) ) ) ) ) ) ) ) )</f>
        <v>8</v>
      </c>
      <c r="AW212" s="57" t="str">
        <f>+IFERROR(VLOOKUP(AV212,Deflactor!$BP$298:$BU$307,6,0),"")</f>
        <v>30 a 50 millones USD</v>
      </c>
    </row>
    <row r="213" spans="1:49" x14ac:dyDescent="0.3">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c r="AR213" s="10">
        <f xml:space="preserve"> 22112338 * 1000</f>
        <v>22112338000</v>
      </c>
      <c r="AT213" s="46">
        <f t="shared" si="9"/>
        <v>22112338000</v>
      </c>
      <c r="AU213" s="54">
        <f xml:space="preserve"> IFERROR(ROUND(AT213 / VLOOKUP(A213,Tabla1[#All],2,0),0),"s.i")</f>
        <v>45746758</v>
      </c>
      <c r="AV213" s="33">
        <f xml:space="preserve"> IF(AU213="s.i", "s.i", IF(AND(AU213&gt;=Deflactor!$BQ$298,AU213&lt;Deflactor!$BQ$299), Deflactor!$BP$298, IF(AND(AU213&gt;=Deflactor!$BQ$299,AU213&lt;Deflactor!$BQ$300), Deflactor!$BP$299, IF(AND(AU213&gt;=Deflactor!$BQ$300,AU213&lt;Deflactor!$BQ$301), Deflactor!$BP$300, IF(AND(AU213&gt;=Deflactor!$BQ$301,AU213&lt;Deflactor!$BQ$302), Deflactor!$BP$301, IF(AND(AU213&gt;=Deflactor!$BQ$302,AU213&lt;Deflactor!$BQ$303), Deflactor!$BP$302, IF(AND(AU213&gt;=Deflactor!$BQ$303,AU213&lt;Deflactor!$BQ$304), Deflactor!$BP$303, IF(AND(AU213&gt;=Deflactor!$BQ$304,AU213&lt;Deflactor!$BQ$305), Deflactor!$BP$304, IF(AND(AU213&gt;=Deflactor!$BQ$305,AU213&lt;Deflactor!$BQ$306), Deflactor!$BP$305, IF(AND(AU213&gt;=Deflactor!$BQ$306,AU213&lt;Deflactor!$BQ$307), Deflactor!$BP$306, Deflactor!$BP$307) ) ) ) ) ) ) ) ) )</f>
        <v>8</v>
      </c>
      <c r="AW213" s="57" t="str">
        <f>+IFERROR(VLOOKUP(AV213,Deflactor!$BP$298:$BU$307,6,0),"")</f>
        <v>30 a 50 millones USD</v>
      </c>
    </row>
    <row r="214" spans="1:49" x14ac:dyDescent="0.3">
      <c r="A214" s="3">
        <v>2011</v>
      </c>
      <c r="B214" s="3" t="s">
        <v>285</v>
      </c>
      <c r="C214" s="3" t="s">
        <v>283</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c r="AR214" s="10">
        <f xml:space="preserve"> 13687250 * 1000</f>
        <v>13687250000</v>
      </c>
      <c r="AT214" s="46">
        <f t="shared" si="9"/>
        <v>13687250000</v>
      </c>
      <c r="AU214" s="54">
        <f xml:space="preserve"> IFERROR(ROUND(AT214 / VLOOKUP(A214,Tabla1[#All],2,0),0),"s.i")</f>
        <v>28316649</v>
      </c>
      <c r="AV214" s="33">
        <f xml:space="preserve"> IF(AU214="s.i", "s.i", IF(AND(AU214&gt;=Deflactor!$BQ$298,AU214&lt;Deflactor!$BQ$299), Deflactor!$BP$298, IF(AND(AU214&gt;=Deflactor!$BQ$299,AU214&lt;Deflactor!$BQ$300), Deflactor!$BP$299, IF(AND(AU214&gt;=Deflactor!$BQ$300,AU214&lt;Deflactor!$BQ$301), Deflactor!$BP$300, IF(AND(AU214&gt;=Deflactor!$BQ$301,AU214&lt;Deflactor!$BQ$302), Deflactor!$BP$301, IF(AND(AU214&gt;=Deflactor!$BQ$302,AU214&lt;Deflactor!$BQ$303), Deflactor!$BP$302, IF(AND(AU214&gt;=Deflactor!$BQ$303,AU214&lt;Deflactor!$BQ$304), Deflactor!$BP$303, IF(AND(AU214&gt;=Deflactor!$BQ$304,AU214&lt;Deflactor!$BQ$305), Deflactor!$BP$304, IF(AND(AU214&gt;=Deflactor!$BQ$305,AU214&lt;Deflactor!$BQ$306), Deflactor!$BP$305, IF(AND(AU214&gt;=Deflactor!$BQ$306,AU214&lt;Deflactor!$BQ$307), Deflactor!$BP$306, Deflactor!$BP$307) ) ) ) ) ) ) ) ) )</f>
        <v>7</v>
      </c>
      <c r="AW214" s="57" t="str">
        <f>+IFERROR(VLOOKUP(AV214,Deflactor!$BP$298:$BU$307,6,0),"")</f>
        <v>20 a 30 millones USD</v>
      </c>
    </row>
    <row r="215" spans="1:49" x14ac:dyDescent="0.3">
      <c r="A215" s="3">
        <v>2011</v>
      </c>
      <c r="B215" s="3" t="s">
        <v>286</v>
      </c>
      <c r="C215" s="3" t="s">
        <v>283</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c r="AR215" s="10">
        <f xml:space="preserve"> 8131349 * 1000</f>
        <v>8131349000</v>
      </c>
      <c r="AT215" s="46">
        <f t="shared" si="9"/>
        <v>8131349000</v>
      </c>
      <c r="AU215" s="54">
        <f xml:space="preserve"> IFERROR(ROUND(AT215 / VLOOKUP(A215,Tabla1[#All],2,0),0),"s.i")</f>
        <v>16822412</v>
      </c>
      <c r="AV215" s="33">
        <f xml:space="preserve"> IF(AU215="s.i", "s.i", IF(AND(AU215&gt;=Deflactor!$BQ$298,AU215&lt;Deflactor!$BQ$299), Deflactor!$BP$298, IF(AND(AU215&gt;=Deflactor!$BQ$299,AU215&lt;Deflactor!$BQ$300), Deflactor!$BP$299, IF(AND(AU215&gt;=Deflactor!$BQ$300,AU215&lt;Deflactor!$BQ$301), Deflactor!$BP$300, IF(AND(AU215&gt;=Deflactor!$BQ$301,AU215&lt;Deflactor!$BQ$302), Deflactor!$BP$301, IF(AND(AU215&gt;=Deflactor!$BQ$302,AU215&lt;Deflactor!$BQ$303), Deflactor!$BP$302, IF(AND(AU215&gt;=Deflactor!$BQ$303,AU215&lt;Deflactor!$BQ$304), Deflactor!$BP$303, IF(AND(AU215&gt;=Deflactor!$BQ$304,AU215&lt;Deflactor!$BQ$305), Deflactor!$BP$304, IF(AND(AU215&gt;=Deflactor!$BQ$305,AU215&lt;Deflactor!$BQ$306), Deflactor!$BP$305, IF(AND(AU215&gt;=Deflactor!$BQ$306,AU215&lt;Deflactor!$BQ$307), Deflactor!$BP$306, Deflactor!$BP$307) ) ) ) ) ) ) ) ) )</f>
        <v>6</v>
      </c>
      <c r="AW215" s="57" t="str">
        <f>+IFERROR(VLOOKUP(AV215,Deflactor!$BP$298:$BU$307,6,0),"")</f>
        <v>15 a 20 millones USD</v>
      </c>
    </row>
    <row r="216" spans="1:49" x14ac:dyDescent="0.3">
      <c r="A216" s="3">
        <v>2011</v>
      </c>
      <c r="B216" s="3" t="s">
        <v>287</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c r="AR216" s="10">
        <f xml:space="preserve"> 9297000 * 1000</f>
        <v>9297000000</v>
      </c>
      <c r="AT216" s="46">
        <f t="shared" si="9"/>
        <v>9297000000</v>
      </c>
      <c r="AU216" s="54">
        <f xml:space="preserve"> IFERROR(ROUND(AT216 / VLOOKUP(A216,Tabla1[#All],2,0),0),"s.i")</f>
        <v>19233950</v>
      </c>
      <c r="AV216" s="33">
        <f xml:space="preserve"> IF(AU216="s.i", "s.i", IF(AND(AU216&gt;=Deflactor!$BQ$298,AU216&lt;Deflactor!$BQ$299), Deflactor!$BP$298, IF(AND(AU216&gt;=Deflactor!$BQ$299,AU216&lt;Deflactor!$BQ$300), Deflactor!$BP$299, IF(AND(AU216&gt;=Deflactor!$BQ$300,AU216&lt;Deflactor!$BQ$301), Deflactor!$BP$300, IF(AND(AU216&gt;=Deflactor!$BQ$301,AU216&lt;Deflactor!$BQ$302), Deflactor!$BP$301, IF(AND(AU216&gt;=Deflactor!$BQ$302,AU216&lt;Deflactor!$BQ$303), Deflactor!$BP$302, IF(AND(AU216&gt;=Deflactor!$BQ$303,AU216&lt;Deflactor!$BQ$304), Deflactor!$BP$303, IF(AND(AU216&gt;=Deflactor!$BQ$304,AU216&lt;Deflactor!$BQ$305), Deflactor!$BP$304, IF(AND(AU216&gt;=Deflactor!$BQ$305,AU216&lt;Deflactor!$BQ$306), Deflactor!$BP$305, IF(AND(AU216&gt;=Deflactor!$BQ$306,AU216&lt;Deflactor!$BQ$307), Deflactor!$BP$306, Deflactor!$BP$307) ) ) ) ) ) ) ) ) )</f>
        <v>6</v>
      </c>
      <c r="AW216" s="57" t="str">
        <f>+IFERROR(VLOOKUP(AV216,Deflactor!$BP$298:$BU$307,6,0),"")</f>
        <v>15 a 20 millones USD</v>
      </c>
    </row>
    <row r="217" spans="1:49" x14ac:dyDescent="0.3">
      <c r="A217" s="3">
        <v>2011</v>
      </c>
      <c r="B217" s="3" t="s">
        <v>288</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c r="AR217" s="10">
        <f xml:space="preserve"> 143148755 * 1000</f>
        <v>143148755000</v>
      </c>
      <c r="AT217" s="46">
        <f t="shared" si="9"/>
        <v>143148755000</v>
      </c>
      <c r="AU217" s="54">
        <f xml:space="preserve"> IFERROR(ROUND(AT217 / VLOOKUP(A217,Tabla1[#All],2,0),0),"s.i")</f>
        <v>296151018</v>
      </c>
      <c r="AV217" s="33">
        <f xml:space="preserve"> IF(AU217="s.i", "s.i", IF(AND(AU217&gt;=Deflactor!$BQ$298,AU217&lt;Deflactor!$BQ$299), Deflactor!$BP$298, IF(AND(AU217&gt;=Deflactor!$BQ$299,AU217&lt;Deflactor!$BQ$300), Deflactor!$BP$299, IF(AND(AU217&gt;=Deflactor!$BQ$300,AU217&lt;Deflactor!$BQ$301), Deflactor!$BP$300, IF(AND(AU217&gt;=Deflactor!$BQ$301,AU217&lt;Deflactor!$BQ$302), Deflactor!$BP$301, IF(AND(AU217&gt;=Deflactor!$BQ$302,AU217&lt;Deflactor!$BQ$303), Deflactor!$BP$302, IF(AND(AU217&gt;=Deflactor!$BQ$303,AU217&lt;Deflactor!$BQ$304), Deflactor!$BP$303, IF(AND(AU217&gt;=Deflactor!$BQ$304,AU217&lt;Deflactor!$BQ$305), Deflactor!$BP$304, IF(AND(AU217&gt;=Deflactor!$BQ$305,AU217&lt;Deflactor!$BQ$306), Deflactor!$BP$305, IF(AND(AU217&gt;=Deflactor!$BQ$306,AU217&lt;Deflactor!$BQ$307), Deflactor!$BP$306, Deflactor!$BP$307) ) ) ) ) ) ) ) ) )</f>
        <v>10</v>
      </c>
      <c r="AW217" s="57" t="str">
        <f>+IFERROR(VLOOKUP(AV217,Deflactor!$BP$298:$BU$307,6,0),"")</f>
        <v>100 millones USD y mas</v>
      </c>
    </row>
    <row r="218" spans="1:49" x14ac:dyDescent="0.3">
      <c r="A218" s="3">
        <v>2011</v>
      </c>
      <c r="B218" s="3" t="s">
        <v>289</v>
      </c>
      <c r="C218" s="3" t="s">
        <v>7</v>
      </c>
      <c r="D218" s="3" t="s">
        <v>290</v>
      </c>
      <c r="E218" s="3" t="s">
        <v>291</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c r="AR218" s="10">
        <f xml:space="preserve"> 13150019 * 1000</f>
        <v>13150019000</v>
      </c>
      <c r="AT218" s="46">
        <f t="shared" si="9"/>
        <v>13150019000</v>
      </c>
      <c r="AU218" s="54">
        <f xml:space="preserve"> IFERROR(ROUND(AT218 / VLOOKUP(A218,Tabla1[#All],2,0),0),"s.i")</f>
        <v>27205207</v>
      </c>
      <c r="AV218" s="33">
        <f xml:space="preserve"> IF(AU218="s.i", "s.i", IF(AND(AU218&gt;=Deflactor!$BQ$298,AU218&lt;Deflactor!$BQ$299), Deflactor!$BP$298, IF(AND(AU218&gt;=Deflactor!$BQ$299,AU218&lt;Deflactor!$BQ$300), Deflactor!$BP$299, IF(AND(AU218&gt;=Deflactor!$BQ$300,AU218&lt;Deflactor!$BQ$301), Deflactor!$BP$300, IF(AND(AU218&gt;=Deflactor!$BQ$301,AU218&lt;Deflactor!$BQ$302), Deflactor!$BP$301, IF(AND(AU218&gt;=Deflactor!$BQ$302,AU218&lt;Deflactor!$BQ$303), Deflactor!$BP$302, IF(AND(AU218&gt;=Deflactor!$BQ$303,AU218&lt;Deflactor!$BQ$304), Deflactor!$BP$303, IF(AND(AU218&gt;=Deflactor!$BQ$304,AU218&lt;Deflactor!$BQ$305), Deflactor!$BP$304, IF(AND(AU218&gt;=Deflactor!$BQ$305,AU218&lt;Deflactor!$BQ$306), Deflactor!$BP$305, IF(AND(AU218&gt;=Deflactor!$BQ$306,AU218&lt;Deflactor!$BQ$307), Deflactor!$BP$306, Deflactor!$BP$307) ) ) ) ) ) ) ) ) )</f>
        <v>7</v>
      </c>
      <c r="AW218" s="57" t="str">
        <f>+IFERROR(VLOOKUP(AV218,Deflactor!$BP$298:$BU$307,6,0),"")</f>
        <v>20 a 30 millones USD</v>
      </c>
    </row>
    <row r="219" spans="1:49" x14ac:dyDescent="0.3">
      <c r="A219" s="3">
        <v>2011</v>
      </c>
      <c r="B219" s="3" t="s">
        <v>292</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c r="AR219" s="10">
        <f xml:space="preserve"> 15537429 * 1000</f>
        <v>15537429000</v>
      </c>
      <c r="AT219" s="46">
        <f t="shared" si="9"/>
        <v>15537429000</v>
      </c>
      <c r="AU219" s="54">
        <f xml:space="preserve"> IFERROR(ROUND(AT219 / VLOOKUP(A219,Tabla1[#All],2,0),0),"s.i")</f>
        <v>32144362</v>
      </c>
      <c r="AV219" s="33">
        <f xml:space="preserve"> IF(AU219="s.i", "s.i", IF(AND(AU219&gt;=Deflactor!$BQ$298,AU219&lt;Deflactor!$BQ$299), Deflactor!$BP$298, IF(AND(AU219&gt;=Deflactor!$BQ$299,AU219&lt;Deflactor!$BQ$300), Deflactor!$BP$299, IF(AND(AU219&gt;=Deflactor!$BQ$300,AU219&lt;Deflactor!$BQ$301), Deflactor!$BP$300, IF(AND(AU219&gt;=Deflactor!$BQ$301,AU219&lt;Deflactor!$BQ$302), Deflactor!$BP$301, IF(AND(AU219&gt;=Deflactor!$BQ$302,AU219&lt;Deflactor!$BQ$303), Deflactor!$BP$302, IF(AND(AU219&gt;=Deflactor!$BQ$303,AU219&lt;Deflactor!$BQ$304), Deflactor!$BP$303, IF(AND(AU219&gt;=Deflactor!$BQ$304,AU219&lt;Deflactor!$BQ$305), Deflactor!$BP$304, IF(AND(AU219&gt;=Deflactor!$BQ$305,AU219&lt;Deflactor!$BQ$306), Deflactor!$BP$305, IF(AND(AU219&gt;=Deflactor!$BQ$306,AU219&lt;Deflactor!$BQ$307), Deflactor!$BP$306, Deflactor!$BP$307) ) ) ) ) ) ) ) ) )</f>
        <v>8</v>
      </c>
      <c r="AW219" s="57" t="str">
        <f>+IFERROR(VLOOKUP(AV219,Deflactor!$BP$298:$BU$307,6,0),"")</f>
        <v>30 a 50 millones USD</v>
      </c>
    </row>
    <row r="220" spans="1:49" x14ac:dyDescent="0.3">
      <c r="A220" s="3">
        <v>2011</v>
      </c>
      <c r="B220" s="3" t="s">
        <v>293</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c r="AR220" s="10">
        <f xml:space="preserve"> 79244338 * 1000</f>
        <v>79244338000</v>
      </c>
      <c r="AT220" s="46">
        <f t="shared" si="9"/>
        <v>79244338000</v>
      </c>
      <c r="AU220" s="54">
        <f xml:space="preserve"> IFERROR(ROUND(AT220 / VLOOKUP(A220,Tabla1[#All],2,0),0),"s.i")</f>
        <v>163943385</v>
      </c>
      <c r="AV220" s="33">
        <f xml:space="preserve"> IF(AU220="s.i", "s.i", IF(AND(AU220&gt;=Deflactor!$BQ$298,AU220&lt;Deflactor!$BQ$299), Deflactor!$BP$298, IF(AND(AU220&gt;=Deflactor!$BQ$299,AU220&lt;Deflactor!$BQ$300), Deflactor!$BP$299, IF(AND(AU220&gt;=Deflactor!$BQ$300,AU220&lt;Deflactor!$BQ$301), Deflactor!$BP$300, IF(AND(AU220&gt;=Deflactor!$BQ$301,AU220&lt;Deflactor!$BQ$302), Deflactor!$BP$301, IF(AND(AU220&gt;=Deflactor!$BQ$302,AU220&lt;Deflactor!$BQ$303), Deflactor!$BP$302, IF(AND(AU220&gt;=Deflactor!$BQ$303,AU220&lt;Deflactor!$BQ$304), Deflactor!$BP$303, IF(AND(AU220&gt;=Deflactor!$BQ$304,AU220&lt;Deflactor!$BQ$305), Deflactor!$BP$304, IF(AND(AU220&gt;=Deflactor!$BQ$305,AU220&lt;Deflactor!$BQ$306), Deflactor!$BP$305, IF(AND(AU220&gt;=Deflactor!$BQ$306,AU220&lt;Deflactor!$BQ$307), Deflactor!$BP$306, Deflactor!$BP$307) ) ) ) ) ) ) ) ) )</f>
        <v>10</v>
      </c>
      <c r="AW220" s="57" t="str">
        <f>+IFERROR(VLOOKUP(AV220,Deflactor!$BP$298:$BU$307,6,0),"")</f>
        <v>100 millones USD y mas</v>
      </c>
    </row>
    <row r="221" spans="1:49" x14ac:dyDescent="0.3">
      <c r="A221" s="3">
        <v>2011</v>
      </c>
      <c r="B221" s="3" t="s">
        <v>294</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c r="AR221" s="10">
        <f xml:space="preserve"> 15552470 * 1000</f>
        <v>15552470000</v>
      </c>
      <c r="AT221" s="46">
        <f t="shared" si="9"/>
        <v>15552470000</v>
      </c>
      <c r="AU221" s="54">
        <f xml:space="preserve"> IFERROR(ROUND(AT221 / VLOOKUP(A221,Tabla1[#All],2,0),0),"s.i")</f>
        <v>32175479</v>
      </c>
      <c r="AV221" s="33">
        <f xml:space="preserve"> IF(AU221="s.i", "s.i", IF(AND(AU221&gt;=Deflactor!$BQ$298,AU221&lt;Deflactor!$BQ$299), Deflactor!$BP$298, IF(AND(AU221&gt;=Deflactor!$BQ$299,AU221&lt;Deflactor!$BQ$300), Deflactor!$BP$299, IF(AND(AU221&gt;=Deflactor!$BQ$300,AU221&lt;Deflactor!$BQ$301), Deflactor!$BP$300, IF(AND(AU221&gt;=Deflactor!$BQ$301,AU221&lt;Deflactor!$BQ$302), Deflactor!$BP$301, IF(AND(AU221&gt;=Deflactor!$BQ$302,AU221&lt;Deflactor!$BQ$303), Deflactor!$BP$302, IF(AND(AU221&gt;=Deflactor!$BQ$303,AU221&lt;Deflactor!$BQ$304), Deflactor!$BP$303, IF(AND(AU221&gt;=Deflactor!$BQ$304,AU221&lt;Deflactor!$BQ$305), Deflactor!$BP$304, IF(AND(AU221&gt;=Deflactor!$BQ$305,AU221&lt;Deflactor!$BQ$306), Deflactor!$BP$305, IF(AND(AU221&gt;=Deflactor!$BQ$306,AU221&lt;Deflactor!$BQ$307), Deflactor!$BP$306, Deflactor!$BP$307) ) ) ) ) ) ) ) ) )</f>
        <v>8</v>
      </c>
      <c r="AW221" s="57" t="str">
        <f>+IFERROR(VLOOKUP(AV221,Deflactor!$BP$298:$BU$307,6,0),"")</f>
        <v>30 a 50 millones USD</v>
      </c>
    </row>
    <row r="222" spans="1:49" x14ac:dyDescent="0.3">
      <c r="A222" s="3">
        <v>2011</v>
      </c>
      <c r="B222" s="3" t="s">
        <v>295</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c r="AR222" s="10">
        <f xml:space="preserve"> 175893053 * 1000</f>
        <v>175893053000</v>
      </c>
      <c r="AT222" s="46">
        <f t="shared" si="9"/>
        <v>175893053000</v>
      </c>
      <c r="AU222" s="54">
        <f xml:space="preserve"> IFERROR(ROUND(AT222 / VLOOKUP(A222,Tabla1[#All],2,0),0),"s.i")</f>
        <v>363893537</v>
      </c>
      <c r="AV222" s="33">
        <f xml:space="preserve"> IF(AU222="s.i", "s.i", IF(AND(AU222&gt;=Deflactor!$BQ$298,AU222&lt;Deflactor!$BQ$299), Deflactor!$BP$298, IF(AND(AU222&gt;=Deflactor!$BQ$299,AU222&lt;Deflactor!$BQ$300), Deflactor!$BP$299, IF(AND(AU222&gt;=Deflactor!$BQ$300,AU222&lt;Deflactor!$BQ$301), Deflactor!$BP$300, IF(AND(AU222&gt;=Deflactor!$BQ$301,AU222&lt;Deflactor!$BQ$302), Deflactor!$BP$301, IF(AND(AU222&gt;=Deflactor!$BQ$302,AU222&lt;Deflactor!$BQ$303), Deflactor!$BP$302, IF(AND(AU222&gt;=Deflactor!$BQ$303,AU222&lt;Deflactor!$BQ$304), Deflactor!$BP$303, IF(AND(AU222&gt;=Deflactor!$BQ$304,AU222&lt;Deflactor!$BQ$305), Deflactor!$BP$304, IF(AND(AU222&gt;=Deflactor!$BQ$305,AU222&lt;Deflactor!$BQ$306), Deflactor!$BP$305, IF(AND(AU222&gt;=Deflactor!$BQ$306,AU222&lt;Deflactor!$BQ$307), Deflactor!$BP$306, Deflactor!$BP$307) ) ) ) ) ) ) ) ) )</f>
        <v>10</v>
      </c>
      <c r="AW222" s="57" t="str">
        <f>+IFERROR(VLOOKUP(AV222,Deflactor!$BP$298:$BU$307,6,0),"")</f>
        <v>100 millones USD y mas</v>
      </c>
    </row>
    <row r="223" spans="1:49" x14ac:dyDescent="0.3">
      <c r="A223" s="3">
        <v>2011</v>
      </c>
      <c r="B223" s="3" t="s">
        <v>296</v>
      </c>
      <c r="C223" s="3" t="s">
        <v>7</v>
      </c>
      <c r="D223" s="3" t="s">
        <v>290</v>
      </c>
      <c r="E223" s="3" t="s">
        <v>291</v>
      </c>
      <c r="F223" s="3" t="s">
        <v>95</v>
      </c>
      <c r="G223" s="3"/>
      <c r="H223" s="12"/>
      <c r="I223" s="13"/>
      <c r="J223" s="10">
        <f xml:space="preserve"> 2954723 * 1000000</f>
        <v>2954723000000</v>
      </c>
      <c r="K223" s="3"/>
      <c r="L223" s="3"/>
      <c r="M223" s="3"/>
      <c r="N223" s="3"/>
      <c r="O223" s="3"/>
      <c r="P223" s="3"/>
      <c r="Q223" s="3"/>
      <c r="R223" s="3"/>
      <c r="S223" s="3"/>
      <c r="T223" s="3"/>
      <c r="U223" s="3"/>
      <c r="V223" s="3"/>
      <c r="W223" s="10">
        <f>IF( J223="s.i", "s.i", IF(ISBLANK(J223),"Actualizando información",IFERROR(J223 / VLOOKUP(A223,Deflactor!$G$3:$H$64,2,0),"Revisar error" )))</f>
        <v>3047180580507.9009</v>
      </c>
      <c r="AR223" s="34">
        <f xml:space="preserve"> 2954723 * 1000</f>
        <v>2954723000</v>
      </c>
      <c r="AT223" s="46">
        <f t="shared" si="9"/>
        <v>2954723000</v>
      </c>
      <c r="AU223" s="54">
        <f xml:space="preserve"> IFERROR(ROUND(AT223 / VLOOKUP(A223,Tabla1[#All],2,0),0),"s.i")</f>
        <v>6112832</v>
      </c>
      <c r="AV223" s="33">
        <f xml:space="preserve"> IF(AU223="s.i", "s.i", IF(AND(AU223&gt;=Deflactor!$BQ$298,AU223&lt;Deflactor!$BQ$299), Deflactor!$BP$298, IF(AND(AU223&gt;=Deflactor!$BQ$299,AU223&lt;Deflactor!$BQ$300), Deflactor!$BP$299, IF(AND(AU223&gt;=Deflactor!$BQ$300,AU223&lt;Deflactor!$BQ$301), Deflactor!$BP$300, IF(AND(AU223&gt;=Deflactor!$BQ$301,AU223&lt;Deflactor!$BQ$302), Deflactor!$BP$301, IF(AND(AU223&gt;=Deflactor!$BQ$302,AU223&lt;Deflactor!$BQ$303), Deflactor!$BP$302, IF(AND(AU223&gt;=Deflactor!$BQ$303,AU223&lt;Deflactor!$BQ$304), Deflactor!$BP$303, IF(AND(AU223&gt;=Deflactor!$BQ$304,AU223&lt;Deflactor!$BQ$305), Deflactor!$BP$304, IF(AND(AU223&gt;=Deflactor!$BQ$305,AU223&lt;Deflactor!$BQ$306), Deflactor!$BP$305, IF(AND(AU223&gt;=Deflactor!$BQ$306,AU223&lt;Deflactor!$BQ$307), Deflactor!$BP$306, Deflactor!$BP$307) ) ) ) ) ) ) ) ) )</f>
        <v>3</v>
      </c>
      <c r="AW223" s="57" t="str">
        <f>+IFERROR(VLOOKUP(AV223,Deflactor!$BP$298:$BU$307,6,0),"")</f>
        <v>5 a 7,5 millones USD</v>
      </c>
    </row>
    <row r="224" spans="1:49" x14ac:dyDescent="0.3">
      <c r="A224" s="3">
        <v>2011</v>
      </c>
      <c r="B224" s="3" t="s">
        <v>297</v>
      </c>
      <c r="C224" s="3" t="s">
        <v>283</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c r="AR224" s="10">
        <f xml:space="preserve"> 64046000 * 1000</f>
        <v>64046000000</v>
      </c>
      <c r="AT224" s="46">
        <f t="shared" si="9"/>
        <v>64046000000</v>
      </c>
      <c r="AU224" s="54">
        <f xml:space="preserve"> IFERROR(ROUND(AT224 / VLOOKUP(A224,Tabla1[#All],2,0),0),"s.i")</f>
        <v>132500546</v>
      </c>
      <c r="AV224" s="33">
        <f xml:space="preserve"> IF(AU224="s.i", "s.i", IF(AND(AU224&gt;=Deflactor!$BQ$298,AU224&lt;Deflactor!$BQ$299), Deflactor!$BP$298, IF(AND(AU224&gt;=Deflactor!$BQ$299,AU224&lt;Deflactor!$BQ$300), Deflactor!$BP$299, IF(AND(AU224&gt;=Deflactor!$BQ$300,AU224&lt;Deflactor!$BQ$301), Deflactor!$BP$300, IF(AND(AU224&gt;=Deflactor!$BQ$301,AU224&lt;Deflactor!$BQ$302), Deflactor!$BP$301, IF(AND(AU224&gt;=Deflactor!$BQ$302,AU224&lt;Deflactor!$BQ$303), Deflactor!$BP$302, IF(AND(AU224&gt;=Deflactor!$BQ$303,AU224&lt;Deflactor!$BQ$304), Deflactor!$BP$303, IF(AND(AU224&gt;=Deflactor!$BQ$304,AU224&lt;Deflactor!$BQ$305), Deflactor!$BP$304, IF(AND(AU224&gt;=Deflactor!$BQ$305,AU224&lt;Deflactor!$BQ$306), Deflactor!$BP$305, IF(AND(AU224&gt;=Deflactor!$BQ$306,AU224&lt;Deflactor!$BQ$307), Deflactor!$BP$306, Deflactor!$BP$307) ) ) ) ) ) ) ) ) )</f>
        <v>10</v>
      </c>
      <c r="AW224" s="57" t="str">
        <f>+IFERROR(VLOOKUP(AV224,Deflactor!$BP$298:$BU$307,6,0),"")</f>
        <v>100 millones USD y mas</v>
      </c>
    </row>
    <row r="225" spans="1:49" x14ac:dyDescent="0.3">
      <c r="A225" s="3">
        <v>2011</v>
      </c>
      <c r="B225" s="3" t="s">
        <v>298</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c r="AR225" s="10">
        <f xml:space="preserve"> (1050218 + 2230585 + 524704 + 3427304 + 7631196 + 10088461 + 19272077 + 21801521 + 6126315 + 3805890 + 745520 + 668509 + 33214653 + 1398536 + 430755) * 1000</f>
        <v>112416244000</v>
      </c>
      <c r="AT225" s="46">
        <f t="shared" si="9"/>
        <v>112416244000</v>
      </c>
      <c r="AU225" s="54">
        <f xml:space="preserve"> IFERROR(ROUND(AT225 / VLOOKUP(A225,Tabla1[#All],2,0),0),"s.i")</f>
        <v>232570553</v>
      </c>
      <c r="AV225" s="33">
        <f xml:space="preserve"> IF(AU225="s.i", "s.i", IF(AND(AU225&gt;=Deflactor!$BQ$298,AU225&lt;Deflactor!$BQ$299), Deflactor!$BP$298, IF(AND(AU225&gt;=Deflactor!$BQ$299,AU225&lt;Deflactor!$BQ$300), Deflactor!$BP$299, IF(AND(AU225&gt;=Deflactor!$BQ$300,AU225&lt;Deflactor!$BQ$301), Deflactor!$BP$300, IF(AND(AU225&gt;=Deflactor!$BQ$301,AU225&lt;Deflactor!$BQ$302), Deflactor!$BP$301, IF(AND(AU225&gt;=Deflactor!$BQ$302,AU225&lt;Deflactor!$BQ$303), Deflactor!$BP$302, IF(AND(AU225&gt;=Deflactor!$BQ$303,AU225&lt;Deflactor!$BQ$304), Deflactor!$BP$303, IF(AND(AU225&gt;=Deflactor!$BQ$304,AU225&lt;Deflactor!$BQ$305), Deflactor!$BP$304, IF(AND(AU225&gt;=Deflactor!$BQ$305,AU225&lt;Deflactor!$BQ$306), Deflactor!$BP$305, IF(AND(AU225&gt;=Deflactor!$BQ$306,AU225&lt;Deflactor!$BQ$307), Deflactor!$BP$306, Deflactor!$BP$307) ) ) ) ) ) ) ) ) )</f>
        <v>10</v>
      </c>
      <c r="AW225" s="57" t="str">
        <f>+IFERROR(VLOOKUP(AV225,Deflactor!$BP$298:$BU$307,6,0),"")</f>
        <v>100 millones USD y mas</v>
      </c>
    </row>
    <row r="226" spans="1:49" x14ac:dyDescent="0.3">
      <c r="A226" s="3">
        <v>2011</v>
      </c>
      <c r="B226" s="3" t="s">
        <v>299</v>
      </c>
      <c r="C226" s="3" t="s">
        <v>7</v>
      </c>
      <c r="D226" s="3" t="s">
        <v>12</v>
      </c>
      <c r="E226" s="3" t="s">
        <v>13</v>
      </c>
      <c r="F226" s="3" t="s">
        <v>95</v>
      </c>
      <c r="G226" s="3"/>
      <c r="H226" s="12"/>
      <c r="I226" s="13"/>
      <c r="J226" s="10"/>
      <c r="K226" s="3"/>
      <c r="L226" s="3"/>
      <c r="M226" s="3"/>
      <c r="N226" s="3"/>
      <c r="O226" s="3"/>
      <c r="P226" s="3"/>
      <c r="Q226" s="3"/>
      <c r="R226" s="3"/>
      <c r="S226" s="3"/>
      <c r="T226" s="3"/>
      <c r="U226" s="3" t="s">
        <v>1324</v>
      </c>
      <c r="V226" s="3"/>
      <c r="W226" s="10" t="str">
        <f>IF( J226="s.i", "s.i", IF(ISBLANK(J226),"Actualizando información",IFERROR(J226 / VLOOKUP(A226,Deflactor!$G$3:$H$64,2,0),"Revisar error" )))</f>
        <v>Actualizando información</v>
      </c>
      <c r="AR226" s="10">
        <f xml:space="preserve"> 11378638 * 1000</f>
        <v>11378638000</v>
      </c>
      <c r="AT226" s="46">
        <f t="shared" si="9"/>
        <v>11378638000</v>
      </c>
      <c r="AU226" s="54">
        <f xml:space="preserve"> IFERROR(ROUND(AT226 / VLOOKUP(A226,Tabla1[#All],2,0),0),"s.i")</f>
        <v>23540514</v>
      </c>
      <c r="AV226" s="33">
        <f xml:space="preserve"> IF(AU226="s.i", "s.i", IF(AND(AU226&gt;=Deflactor!$BQ$298,AU226&lt;Deflactor!$BQ$299), Deflactor!$BP$298, IF(AND(AU226&gt;=Deflactor!$BQ$299,AU226&lt;Deflactor!$BQ$300), Deflactor!$BP$299, IF(AND(AU226&gt;=Deflactor!$BQ$300,AU226&lt;Deflactor!$BQ$301), Deflactor!$BP$300, IF(AND(AU226&gt;=Deflactor!$BQ$301,AU226&lt;Deflactor!$BQ$302), Deflactor!$BP$301, IF(AND(AU226&gt;=Deflactor!$BQ$302,AU226&lt;Deflactor!$BQ$303), Deflactor!$BP$302, IF(AND(AU226&gt;=Deflactor!$BQ$303,AU226&lt;Deflactor!$BQ$304), Deflactor!$BP$303, IF(AND(AU226&gt;=Deflactor!$BQ$304,AU226&lt;Deflactor!$BQ$305), Deflactor!$BP$304, IF(AND(AU226&gt;=Deflactor!$BQ$305,AU226&lt;Deflactor!$BQ$306), Deflactor!$BP$305, IF(AND(AU226&gt;=Deflactor!$BQ$306,AU226&lt;Deflactor!$BQ$307), Deflactor!$BP$306, Deflactor!$BP$307) ) ) ) ) ) ) ) ) )</f>
        <v>7</v>
      </c>
      <c r="AW226" s="57" t="str">
        <f>+IFERROR(VLOOKUP(AV226,Deflactor!$BP$298:$BU$307,6,0),"")</f>
        <v>20 a 30 millones USD</v>
      </c>
    </row>
    <row r="227" spans="1:49" x14ac:dyDescent="0.3">
      <c r="A227" s="3">
        <v>2011</v>
      </c>
      <c r="B227" s="3" t="s">
        <v>300</v>
      </c>
      <c r="C227" s="3" t="s">
        <v>7</v>
      </c>
      <c r="D227" s="3" t="s">
        <v>12</v>
      </c>
      <c r="E227" s="3" t="s">
        <v>13</v>
      </c>
      <c r="F227" s="3" t="s">
        <v>89</v>
      </c>
      <c r="G227" s="3"/>
      <c r="H227" s="12"/>
      <c r="I227" s="13"/>
      <c r="J227" s="10"/>
      <c r="K227" s="30" t="s">
        <v>2282</v>
      </c>
      <c r="L227" s="3"/>
      <c r="M227" s="3"/>
      <c r="N227" s="3"/>
      <c r="O227" s="3"/>
      <c r="P227" s="3"/>
      <c r="Q227" s="3"/>
      <c r="R227" s="3"/>
      <c r="S227" s="3"/>
      <c r="T227" s="3"/>
      <c r="U227" s="3" t="s">
        <v>1328</v>
      </c>
      <c r="V227" s="3"/>
      <c r="W227" s="10" t="str">
        <f>IF( J227="s.i", "s.i", IF(ISBLANK(J227),"Actualizando información",IFERROR(J227 / VLOOKUP(A227,Deflactor!$G$3:$H$64,2,0),"Revisar error" )))</f>
        <v>Actualizando información</v>
      </c>
      <c r="AR227" s="10">
        <f xml:space="preserve"> 31324033 * 1000</f>
        <v>31324033000</v>
      </c>
      <c r="AT227" s="46">
        <f t="shared" si="9"/>
        <v>31324033000</v>
      </c>
      <c r="AU227" s="54">
        <f xml:space="preserve"> IFERROR(ROUND(AT227 / VLOOKUP(A227,Tabla1[#All],2,0),0),"s.i")</f>
        <v>64804226</v>
      </c>
      <c r="AV227" s="33">
        <f xml:space="preserve"> IF(AU227="s.i", "s.i", IF(AND(AU227&gt;=Deflactor!$BQ$298,AU227&lt;Deflactor!$BQ$299), Deflactor!$BP$298, IF(AND(AU227&gt;=Deflactor!$BQ$299,AU227&lt;Deflactor!$BQ$300), Deflactor!$BP$299, IF(AND(AU227&gt;=Deflactor!$BQ$300,AU227&lt;Deflactor!$BQ$301), Deflactor!$BP$300, IF(AND(AU227&gt;=Deflactor!$BQ$301,AU227&lt;Deflactor!$BQ$302), Deflactor!$BP$301, IF(AND(AU227&gt;=Deflactor!$BQ$302,AU227&lt;Deflactor!$BQ$303), Deflactor!$BP$302, IF(AND(AU227&gt;=Deflactor!$BQ$303,AU227&lt;Deflactor!$BQ$304), Deflactor!$BP$303, IF(AND(AU227&gt;=Deflactor!$BQ$304,AU227&lt;Deflactor!$BQ$305), Deflactor!$BP$304, IF(AND(AU227&gt;=Deflactor!$BQ$305,AU227&lt;Deflactor!$BQ$306), Deflactor!$BP$305, IF(AND(AU227&gt;=Deflactor!$BQ$306,AU227&lt;Deflactor!$BQ$307), Deflactor!$BP$306, Deflactor!$BP$307) ) ) ) ) ) ) ) ) )</f>
        <v>9</v>
      </c>
      <c r="AW227" s="57" t="str">
        <f>+IFERROR(VLOOKUP(AV227,Deflactor!$BP$298:$BU$307,6,0),"")</f>
        <v>50 a 100 millones USD</v>
      </c>
    </row>
    <row r="228" spans="1:49" x14ac:dyDescent="0.3">
      <c r="A228" s="3">
        <v>2011</v>
      </c>
      <c r="B228" s="3" t="s">
        <v>301</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c r="AR228" s="34">
        <f xml:space="preserve"> 1272553 * 1000</f>
        <v>1272553000</v>
      </c>
      <c r="AT228" s="46">
        <f t="shared" si="9"/>
        <v>1272553000</v>
      </c>
      <c r="AU228" s="54">
        <f xml:space="preserve"> IFERROR(ROUND(AT228 / VLOOKUP(A228,Tabla1[#All],2,0),0),"s.i")</f>
        <v>2632701</v>
      </c>
      <c r="AV228" s="33">
        <f xml:space="preserve"> IF(AU228="s.i", "s.i", IF(AND(AU228&gt;=Deflactor!$BQ$298,AU228&lt;Deflactor!$BQ$299), Deflactor!$BP$298, IF(AND(AU228&gt;=Deflactor!$BQ$299,AU228&lt;Deflactor!$BQ$300), Deflactor!$BP$299, IF(AND(AU228&gt;=Deflactor!$BQ$300,AU228&lt;Deflactor!$BQ$301), Deflactor!$BP$300, IF(AND(AU228&gt;=Deflactor!$BQ$301,AU228&lt;Deflactor!$BQ$302), Deflactor!$BP$301, IF(AND(AU228&gt;=Deflactor!$BQ$302,AU228&lt;Deflactor!$BQ$303), Deflactor!$BP$302, IF(AND(AU228&gt;=Deflactor!$BQ$303,AU228&lt;Deflactor!$BQ$304), Deflactor!$BP$303, IF(AND(AU228&gt;=Deflactor!$BQ$304,AU228&lt;Deflactor!$BQ$305), Deflactor!$BP$304, IF(AND(AU228&gt;=Deflactor!$BQ$305,AU228&lt;Deflactor!$BQ$306), Deflactor!$BP$305, IF(AND(AU228&gt;=Deflactor!$BQ$306,AU228&lt;Deflactor!$BQ$307), Deflactor!$BP$306, Deflactor!$BP$307) ) ) ) ) ) ) ) ) )</f>
        <v>2</v>
      </c>
      <c r="AW228" s="57" t="str">
        <f>+IFERROR(VLOOKUP(AV228,Deflactor!$BP$298:$BU$307,6,0),"")</f>
        <v>2 a 5 millones USD</v>
      </c>
    </row>
    <row r="229" spans="1:49" x14ac:dyDescent="0.3">
      <c r="A229" s="3">
        <v>2011</v>
      </c>
      <c r="B229" s="3" t="s">
        <v>302</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c r="AR229" s="10">
        <f xml:space="preserve"> 3099000 * 1000</f>
        <v>3099000000</v>
      </c>
      <c r="AT229" s="46">
        <f t="shared" si="9"/>
        <v>3099000000</v>
      </c>
      <c r="AU229" s="54">
        <f xml:space="preserve"> IFERROR(ROUND(AT229 / VLOOKUP(A229,Tabla1[#All],2,0),0),"s.i")</f>
        <v>6411317</v>
      </c>
      <c r="AV229" s="33">
        <f xml:space="preserve"> IF(AU229="s.i", "s.i", IF(AND(AU229&gt;=Deflactor!$BQ$298,AU229&lt;Deflactor!$BQ$299), Deflactor!$BP$298, IF(AND(AU229&gt;=Deflactor!$BQ$299,AU229&lt;Deflactor!$BQ$300), Deflactor!$BP$299, IF(AND(AU229&gt;=Deflactor!$BQ$300,AU229&lt;Deflactor!$BQ$301), Deflactor!$BP$300, IF(AND(AU229&gt;=Deflactor!$BQ$301,AU229&lt;Deflactor!$BQ$302), Deflactor!$BP$301, IF(AND(AU229&gt;=Deflactor!$BQ$302,AU229&lt;Deflactor!$BQ$303), Deflactor!$BP$302, IF(AND(AU229&gt;=Deflactor!$BQ$303,AU229&lt;Deflactor!$BQ$304), Deflactor!$BP$303, IF(AND(AU229&gt;=Deflactor!$BQ$304,AU229&lt;Deflactor!$BQ$305), Deflactor!$BP$304, IF(AND(AU229&gt;=Deflactor!$BQ$305,AU229&lt;Deflactor!$BQ$306), Deflactor!$BP$305, IF(AND(AU229&gt;=Deflactor!$BQ$306,AU229&lt;Deflactor!$BQ$307), Deflactor!$BP$306, Deflactor!$BP$307) ) ) ) ) ) ) ) ) )</f>
        <v>3</v>
      </c>
      <c r="AW229" s="57" t="str">
        <f>+IFERROR(VLOOKUP(AV229,Deflactor!$BP$298:$BU$307,6,0),"")</f>
        <v>5 a 7,5 millones USD</v>
      </c>
    </row>
    <row r="230" spans="1:49" x14ac:dyDescent="0.3">
      <c r="A230" s="3">
        <v>2011</v>
      </c>
      <c r="B230" s="3" t="s">
        <v>303</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c r="AR230" s="10">
        <f xml:space="preserve"> 42787209 * 1000</f>
        <v>42787209000</v>
      </c>
      <c r="AT230" s="46">
        <f t="shared" si="9"/>
        <v>42787209000</v>
      </c>
      <c r="AU230" s="54">
        <f xml:space="preserve"> IFERROR(ROUND(AT230 / VLOOKUP(A230,Tabla1[#All],2,0),0),"s.i")</f>
        <v>88519635</v>
      </c>
      <c r="AV230" s="33">
        <f xml:space="preserve"> IF(AU230="s.i", "s.i", IF(AND(AU230&gt;=Deflactor!$BQ$298,AU230&lt;Deflactor!$BQ$299), Deflactor!$BP$298, IF(AND(AU230&gt;=Deflactor!$BQ$299,AU230&lt;Deflactor!$BQ$300), Deflactor!$BP$299, IF(AND(AU230&gt;=Deflactor!$BQ$300,AU230&lt;Deflactor!$BQ$301), Deflactor!$BP$300, IF(AND(AU230&gt;=Deflactor!$BQ$301,AU230&lt;Deflactor!$BQ$302), Deflactor!$BP$301, IF(AND(AU230&gt;=Deflactor!$BQ$302,AU230&lt;Deflactor!$BQ$303), Deflactor!$BP$302, IF(AND(AU230&gt;=Deflactor!$BQ$303,AU230&lt;Deflactor!$BQ$304), Deflactor!$BP$303, IF(AND(AU230&gt;=Deflactor!$BQ$304,AU230&lt;Deflactor!$BQ$305), Deflactor!$BP$304, IF(AND(AU230&gt;=Deflactor!$BQ$305,AU230&lt;Deflactor!$BQ$306), Deflactor!$BP$305, IF(AND(AU230&gt;=Deflactor!$BQ$306,AU230&lt;Deflactor!$BQ$307), Deflactor!$BP$306, Deflactor!$BP$307) ) ) ) ) ) ) ) ) )</f>
        <v>9</v>
      </c>
      <c r="AW230" s="57" t="str">
        <f>+IFERROR(VLOOKUP(AV230,Deflactor!$BP$298:$BU$307,6,0),"")</f>
        <v>50 a 100 millones USD</v>
      </c>
    </row>
    <row r="231" spans="1:49" x14ac:dyDescent="0.3">
      <c r="A231" s="3">
        <v>2011</v>
      </c>
      <c r="B231" s="3" t="s">
        <v>304</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c r="AR231" s="10">
        <f xml:space="preserve"> 6729995 * 1000</f>
        <v>6729995000</v>
      </c>
      <c r="AT231" s="46">
        <f t="shared" si="9"/>
        <v>6729995000</v>
      </c>
      <c r="AU231" s="54">
        <f xml:space="preserve"> IFERROR(ROUND(AT231 / VLOOKUP(A231,Tabla1[#All],2,0),0),"s.i")</f>
        <v>13923243</v>
      </c>
      <c r="AV231" s="33">
        <f xml:space="preserve"> IF(AU231="s.i", "s.i", IF(AND(AU231&gt;=Deflactor!$BQ$298,AU231&lt;Deflactor!$BQ$299), Deflactor!$BP$298, IF(AND(AU231&gt;=Deflactor!$BQ$299,AU231&lt;Deflactor!$BQ$300), Deflactor!$BP$299, IF(AND(AU231&gt;=Deflactor!$BQ$300,AU231&lt;Deflactor!$BQ$301), Deflactor!$BP$300, IF(AND(AU231&gt;=Deflactor!$BQ$301,AU231&lt;Deflactor!$BQ$302), Deflactor!$BP$301, IF(AND(AU231&gt;=Deflactor!$BQ$302,AU231&lt;Deflactor!$BQ$303), Deflactor!$BP$302, IF(AND(AU231&gt;=Deflactor!$BQ$303,AU231&lt;Deflactor!$BQ$304), Deflactor!$BP$303, IF(AND(AU231&gt;=Deflactor!$BQ$304,AU231&lt;Deflactor!$BQ$305), Deflactor!$BP$304, IF(AND(AU231&gt;=Deflactor!$BQ$305,AU231&lt;Deflactor!$BQ$306), Deflactor!$BP$305, IF(AND(AU231&gt;=Deflactor!$BQ$306,AU231&lt;Deflactor!$BQ$307), Deflactor!$BP$306, Deflactor!$BP$307) ) ) ) ) ) ) ) ) )</f>
        <v>5</v>
      </c>
      <c r="AW231" s="57" t="str">
        <f>+IFERROR(VLOOKUP(AV231,Deflactor!$BP$298:$BU$307,6,0),"")</f>
        <v>10 a 15 millones USD</v>
      </c>
    </row>
    <row r="232" spans="1:49" x14ac:dyDescent="0.3">
      <c r="A232" s="3">
        <v>2011</v>
      </c>
      <c r="B232" s="3" t="s">
        <v>305</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c r="AR232" s="10">
        <f xml:space="preserve"> 11426096 * 1000</f>
        <v>11426096000</v>
      </c>
      <c r="AT232" s="46">
        <f t="shared" si="9"/>
        <v>11426096000</v>
      </c>
      <c r="AU232" s="54">
        <f xml:space="preserve"> IFERROR(ROUND(AT232 / VLOOKUP(A232,Tabla1[#All],2,0),0),"s.i")</f>
        <v>23638696</v>
      </c>
      <c r="AV232" s="33">
        <f xml:space="preserve"> IF(AU232="s.i", "s.i", IF(AND(AU232&gt;=Deflactor!$BQ$298,AU232&lt;Deflactor!$BQ$299), Deflactor!$BP$298, IF(AND(AU232&gt;=Deflactor!$BQ$299,AU232&lt;Deflactor!$BQ$300), Deflactor!$BP$299, IF(AND(AU232&gt;=Deflactor!$BQ$300,AU232&lt;Deflactor!$BQ$301), Deflactor!$BP$300, IF(AND(AU232&gt;=Deflactor!$BQ$301,AU232&lt;Deflactor!$BQ$302), Deflactor!$BP$301, IF(AND(AU232&gt;=Deflactor!$BQ$302,AU232&lt;Deflactor!$BQ$303), Deflactor!$BP$302, IF(AND(AU232&gt;=Deflactor!$BQ$303,AU232&lt;Deflactor!$BQ$304), Deflactor!$BP$303, IF(AND(AU232&gt;=Deflactor!$BQ$304,AU232&lt;Deflactor!$BQ$305), Deflactor!$BP$304, IF(AND(AU232&gt;=Deflactor!$BQ$305,AU232&lt;Deflactor!$BQ$306), Deflactor!$BP$305, IF(AND(AU232&gt;=Deflactor!$BQ$306,AU232&lt;Deflactor!$BQ$307), Deflactor!$BP$306, Deflactor!$BP$307) ) ) ) ) ) ) ) ) )</f>
        <v>7</v>
      </c>
      <c r="AW232" s="57" t="str">
        <f>+IFERROR(VLOOKUP(AV232,Deflactor!$BP$298:$BU$307,6,0),"")</f>
        <v>20 a 30 millones USD</v>
      </c>
    </row>
    <row r="233" spans="1:49" x14ac:dyDescent="0.3">
      <c r="A233" s="3">
        <v>2010</v>
      </c>
      <c r="B233" s="3" t="s">
        <v>306</v>
      </c>
      <c r="C233" s="3" t="s">
        <v>283</v>
      </c>
      <c r="D233" s="3" t="s">
        <v>8</v>
      </c>
      <c r="E233" s="3" t="s">
        <v>51</v>
      </c>
      <c r="F233" s="3" t="s">
        <v>157</v>
      </c>
      <c r="G233" s="3" t="s">
        <v>723</v>
      </c>
      <c r="H233" s="12">
        <v>2010</v>
      </c>
      <c r="I233" s="13" t="s">
        <v>623</v>
      </c>
      <c r="J233" s="10" t="s">
        <v>623</v>
      </c>
      <c r="K233" s="3"/>
      <c r="L233" s="3" t="s">
        <v>1576</v>
      </c>
      <c r="M233" s="3" t="s">
        <v>1577</v>
      </c>
      <c r="N233" s="3" t="s">
        <v>1578</v>
      </c>
      <c r="O233" s="3" t="s">
        <v>1579</v>
      </c>
      <c r="P233" s="3"/>
      <c r="Q233" s="3"/>
      <c r="R233" s="3" t="s">
        <v>1580</v>
      </c>
      <c r="S233" s="3"/>
      <c r="T233" s="3"/>
      <c r="U233" s="3"/>
      <c r="V233" s="3"/>
      <c r="W233" s="10" t="str">
        <f>IF( J233="s.i", "s.i", IF(ISBLANK(J233),"Actualizando información",IFERROR(J233 / VLOOKUP(A233,Deflactor!$G$3:$H$64,2,0),"Revisar error" )))</f>
        <v>s.i</v>
      </c>
      <c r="AR233" s="34">
        <f xml:space="preserve"> 19410354 * 1000</f>
        <v>19410354000</v>
      </c>
      <c r="AT233" s="46">
        <f t="shared" si="9"/>
        <v>19410354000</v>
      </c>
      <c r="AU233" s="54">
        <f xml:space="preserve"> IFERROR(ROUND(AT233 / VLOOKUP(A233,Tabla1[#All],2,0),0),"s.i")</f>
        <v>38031431</v>
      </c>
      <c r="AV233" s="33">
        <f xml:space="preserve"> IF(AU233="s.i", "s.i", IF(AND(AU233&gt;=Deflactor!$BQ$298,AU233&lt;Deflactor!$BQ$299), Deflactor!$BP$298, IF(AND(AU233&gt;=Deflactor!$BQ$299,AU233&lt;Deflactor!$BQ$300), Deflactor!$BP$299, IF(AND(AU233&gt;=Deflactor!$BQ$300,AU233&lt;Deflactor!$BQ$301), Deflactor!$BP$300, IF(AND(AU233&gt;=Deflactor!$BQ$301,AU233&lt;Deflactor!$BQ$302), Deflactor!$BP$301, IF(AND(AU233&gt;=Deflactor!$BQ$302,AU233&lt;Deflactor!$BQ$303), Deflactor!$BP$302, IF(AND(AU233&gt;=Deflactor!$BQ$303,AU233&lt;Deflactor!$BQ$304), Deflactor!$BP$303, IF(AND(AU233&gt;=Deflactor!$BQ$304,AU233&lt;Deflactor!$BQ$305), Deflactor!$BP$304, IF(AND(AU233&gt;=Deflactor!$BQ$305,AU233&lt;Deflactor!$BQ$306), Deflactor!$BP$305, IF(AND(AU233&gt;=Deflactor!$BQ$306,AU233&lt;Deflactor!$BQ$307), Deflactor!$BP$306, Deflactor!$BP$307) ) ) ) ) ) ) ) ) )</f>
        <v>8</v>
      </c>
      <c r="AW233" s="57" t="str">
        <f>+IFERROR(VLOOKUP(AV233,Deflactor!$BP$298:$BU$307,6,0),"")</f>
        <v>30 a 50 millones USD</v>
      </c>
    </row>
    <row r="234" spans="1:49" x14ac:dyDescent="0.3">
      <c r="A234" s="3">
        <v>2010</v>
      </c>
      <c r="B234" s="3" t="s">
        <v>247</v>
      </c>
      <c r="C234" s="3" t="s">
        <v>283</v>
      </c>
      <c r="D234" s="3" t="s">
        <v>40</v>
      </c>
      <c r="E234" s="3" t="s">
        <v>43</v>
      </c>
      <c r="F234" s="3" t="s">
        <v>157</v>
      </c>
      <c r="G234" s="3" t="s">
        <v>623</v>
      </c>
      <c r="H234" s="12">
        <v>2009</v>
      </c>
      <c r="I234" s="13" t="s">
        <v>623</v>
      </c>
      <c r="J234" s="10" t="s">
        <v>623</v>
      </c>
      <c r="K234" s="3"/>
      <c r="L234" s="3" t="s">
        <v>1581</v>
      </c>
      <c r="M234" s="3" t="s">
        <v>1582</v>
      </c>
      <c r="N234" s="3" t="s">
        <v>1583</v>
      </c>
      <c r="O234" s="3" t="s">
        <v>1584</v>
      </c>
      <c r="P234" s="3"/>
      <c r="Q234" s="3"/>
      <c r="R234" s="3" t="s">
        <v>1585</v>
      </c>
      <c r="S234" s="3"/>
      <c r="T234" s="3"/>
      <c r="U234" s="3" t="s">
        <v>247</v>
      </c>
      <c r="V234" s="3" t="s">
        <v>1586</v>
      </c>
      <c r="W234" s="10" t="str">
        <f>IF( J234="s.i", "s.i", IF(ISBLANK(J234),"Actualizando información",IFERROR(J234 / VLOOKUP(A234,Deflactor!$G$3:$H$64,2,0),"Revisar error" )))</f>
        <v>s.i</v>
      </c>
      <c r="AR234" s="34"/>
      <c r="AT234" s="46">
        <f>'Notas reunion'!T57</f>
        <v>1443171000</v>
      </c>
      <c r="AU234" s="54">
        <f xml:space="preserve"> IFERROR(ROUND(AT234 / VLOOKUP(A234,Tabla1[#All],2,0),0),"s.i")</f>
        <v>2827659</v>
      </c>
      <c r="AV234" s="33">
        <f xml:space="preserve"> IF(AU234="s.i", "s.i", IF(AND(AU234&gt;=Deflactor!$BQ$298,AU234&lt;Deflactor!$BQ$299), Deflactor!$BP$298, IF(AND(AU234&gt;=Deflactor!$BQ$299,AU234&lt;Deflactor!$BQ$300), Deflactor!$BP$299, IF(AND(AU234&gt;=Deflactor!$BQ$300,AU234&lt;Deflactor!$BQ$301), Deflactor!$BP$300, IF(AND(AU234&gt;=Deflactor!$BQ$301,AU234&lt;Deflactor!$BQ$302), Deflactor!$BP$301, IF(AND(AU234&gt;=Deflactor!$BQ$302,AU234&lt;Deflactor!$BQ$303), Deflactor!$BP$302, IF(AND(AU234&gt;=Deflactor!$BQ$303,AU234&lt;Deflactor!$BQ$304), Deflactor!$BP$303, IF(AND(AU234&gt;=Deflactor!$BQ$304,AU234&lt;Deflactor!$BQ$305), Deflactor!$BP$304, IF(AND(AU234&gt;=Deflactor!$BQ$305,AU234&lt;Deflactor!$BQ$306), Deflactor!$BP$305, IF(AND(AU234&gt;=Deflactor!$BQ$306,AU234&lt;Deflactor!$BQ$307), Deflactor!$BP$306, Deflactor!$BP$307) ) ) ) ) ) ) ) ) )</f>
        <v>2</v>
      </c>
      <c r="AW234" s="57" t="str">
        <f>+IFERROR(VLOOKUP(AV234,Deflactor!$BP$298:$BU$307,6,0),"")</f>
        <v>2 a 5 millones USD</v>
      </c>
    </row>
    <row r="235" spans="1:49" x14ac:dyDescent="0.3">
      <c r="A235" s="3">
        <v>2010</v>
      </c>
      <c r="B235" s="3" t="s">
        <v>307</v>
      </c>
      <c r="C235" s="3" t="s">
        <v>7</v>
      </c>
      <c r="D235" s="3" t="s">
        <v>36</v>
      </c>
      <c r="E235" s="3" t="s">
        <v>37</v>
      </c>
      <c r="F235" s="3" t="s">
        <v>308</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c r="AR235" s="10">
        <f xml:space="preserve"> 1000000 * 1000</f>
        <v>1000000000</v>
      </c>
      <c r="AT235" s="46">
        <f t="shared" si="9"/>
        <v>1000000000</v>
      </c>
      <c r="AU235" s="54">
        <f xml:space="preserve"> IFERROR(ROUND(AT235 / VLOOKUP(A235,Tabla1[#All],2,0),0),"s.i")</f>
        <v>1959337</v>
      </c>
      <c r="AV235" s="33">
        <f xml:space="preserve"> IF(AU235="s.i", "s.i", IF(AND(AU235&gt;=Deflactor!$BQ$298,AU235&lt;Deflactor!$BQ$299), Deflactor!$BP$298, IF(AND(AU235&gt;=Deflactor!$BQ$299,AU235&lt;Deflactor!$BQ$300), Deflactor!$BP$299, IF(AND(AU235&gt;=Deflactor!$BQ$300,AU235&lt;Deflactor!$BQ$301), Deflactor!$BP$300, IF(AND(AU235&gt;=Deflactor!$BQ$301,AU235&lt;Deflactor!$BQ$302), Deflactor!$BP$301, IF(AND(AU235&gt;=Deflactor!$BQ$302,AU235&lt;Deflactor!$BQ$303), Deflactor!$BP$302, IF(AND(AU235&gt;=Deflactor!$BQ$303,AU235&lt;Deflactor!$BQ$304), Deflactor!$BP$303, IF(AND(AU235&gt;=Deflactor!$BQ$304,AU235&lt;Deflactor!$BQ$305), Deflactor!$BP$304, IF(AND(AU235&gt;=Deflactor!$BQ$305,AU235&lt;Deflactor!$BQ$306), Deflactor!$BP$305, IF(AND(AU235&gt;=Deflactor!$BQ$306,AU235&lt;Deflactor!$BQ$307), Deflactor!$BP$306, Deflactor!$BP$307) ) ) ) ) ) ) ) ) )</f>
        <v>1</v>
      </c>
      <c r="AW235" s="57" t="str">
        <f>+IFERROR(VLOOKUP(AV235,Deflactor!$BP$298:$BU$307,6,0),"")</f>
        <v>2 millones USD y menos</v>
      </c>
    </row>
    <row r="236" spans="1:49" x14ac:dyDescent="0.3">
      <c r="A236" s="3">
        <v>2010</v>
      </c>
      <c r="B236" s="3" t="s">
        <v>309</v>
      </c>
      <c r="C236" s="3" t="s">
        <v>7</v>
      </c>
      <c r="D236" s="3" t="s">
        <v>36</v>
      </c>
      <c r="E236" s="3" t="s">
        <v>37</v>
      </c>
      <c r="F236" s="3" t="s">
        <v>310</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c r="AR236" s="10">
        <f xml:space="preserve"> 999572 * 1000</f>
        <v>999572000</v>
      </c>
      <c r="AT236" s="46">
        <f t="shared" si="9"/>
        <v>999572000</v>
      </c>
      <c r="AU236" s="54">
        <f xml:space="preserve"> IFERROR(ROUND(AT236 / VLOOKUP(A236,Tabla1[#All],2,0),0),"s.i")</f>
        <v>1958499</v>
      </c>
      <c r="AV236" s="33">
        <f xml:space="preserve"> IF(AU236="s.i", "s.i", IF(AND(AU236&gt;=Deflactor!$BQ$298,AU236&lt;Deflactor!$BQ$299), Deflactor!$BP$298, IF(AND(AU236&gt;=Deflactor!$BQ$299,AU236&lt;Deflactor!$BQ$300), Deflactor!$BP$299, IF(AND(AU236&gt;=Deflactor!$BQ$300,AU236&lt;Deflactor!$BQ$301), Deflactor!$BP$300, IF(AND(AU236&gt;=Deflactor!$BQ$301,AU236&lt;Deflactor!$BQ$302), Deflactor!$BP$301, IF(AND(AU236&gt;=Deflactor!$BQ$302,AU236&lt;Deflactor!$BQ$303), Deflactor!$BP$302, IF(AND(AU236&gt;=Deflactor!$BQ$303,AU236&lt;Deflactor!$BQ$304), Deflactor!$BP$303, IF(AND(AU236&gt;=Deflactor!$BQ$304,AU236&lt;Deflactor!$BQ$305), Deflactor!$BP$304, IF(AND(AU236&gt;=Deflactor!$BQ$305,AU236&lt;Deflactor!$BQ$306), Deflactor!$BP$305, IF(AND(AU236&gt;=Deflactor!$BQ$306,AU236&lt;Deflactor!$BQ$307), Deflactor!$BP$306, Deflactor!$BP$307) ) ) ) ) ) ) ) ) )</f>
        <v>1</v>
      </c>
      <c r="AW236" s="57" t="str">
        <f>+IFERROR(VLOOKUP(AV236,Deflactor!$BP$298:$BU$307,6,0),"")</f>
        <v>2 millones USD y menos</v>
      </c>
    </row>
    <row r="237" spans="1:49" x14ac:dyDescent="0.3">
      <c r="A237" s="3">
        <v>2010</v>
      </c>
      <c r="B237" s="3" t="s">
        <v>311</v>
      </c>
      <c r="C237" s="3" t="s">
        <v>92</v>
      </c>
      <c r="D237" s="3" t="s">
        <v>36</v>
      </c>
      <c r="E237" s="3" t="s">
        <v>37</v>
      </c>
      <c r="F237" s="3" t="s">
        <v>89</v>
      </c>
      <c r="G237" s="3" t="s">
        <v>723</v>
      </c>
      <c r="H237" s="12">
        <v>2005</v>
      </c>
      <c r="I237" s="13" t="s">
        <v>623</v>
      </c>
      <c r="J237" s="10">
        <f xml:space="preserve"> 141370509 * 1000</f>
        <v>141370509000</v>
      </c>
      <c r="K237" s="3" t="s">
        <v>1666</v>
      </c>
      <c r="L237" s="3" t="s">
        <v>1587</v>
      </c>
      <c r="M237" s="3" t="s">
        <v>1588</v>
      </c>
      <c r="N237" s="3" t="s">
        <v>1589</v>
      </c>
      <c r="O237" s="3"/>
      <c r="P237" s="3"/>
      <c r="Q237" s="3"/>
      <c r="R237" s="3" t="s">
        <v>1590</v>
      </c>
      <c r="S237" s="3" t="s">
        <v>1590</v>
      </c>
      <c r="T237" s="3" t="s">
        <v>1591</v>
      </c>
      <c r="U237" s="3" t="s">
        <v>1592</v>
      </c>
      <c r="V237" s="3"/>
      <c r="W237" s="10">
        <f>IF( J237="s.i", "s.i", IF(ISBLANK(J237),"Actualizando información",IFERROR(J237 / VLOOKUP(A237,Deflactor!$G$3:$H$64,2,0),"Revisar error" )))</f>
        <v>150332635540.5304</v>
      </c>
      <c r="AR237" s="34">
        <f t="shared" ref="AR237:AR241" si="10" xml:space="preserve"> 132129142 * 1000</f>
        <v>132129142000</v>
      </c>
      <c r="AT237" s="46">
        <f t="shared" si="9"/>
        <v>132129142000</v>
      </c>
      <c r="AU237" s="54">
        <f xml:space="preserve"> IFERROR(ROUND(AT237 / VLOOKUP(A237,Tabla1[#All],2,0),0),"s.i")</f>
        <v>258885559</v>
      </c>
      <c r="AV237" s="33">
        <f xml:space="preserve"> IF(AU237="s.i", "s.i", IF(AND(AU237&gt;=Deflactor!$BQ$298,AU237&lt;Deflactor!$BQ$299), Deflactor!$BP$298, IF(AND(AU237&gt;=Deflactor!$BQ$299,AU237&lt;Deflactor!$BQ$300), Deflactor!$BP$299, IF(AND(AU237&gt;=Deflactor!$BQ$300,AU237&lt;Deflactor!$BQ$301), Deflactor!$BP$300, IF(AND(AU237&gt;=Deflactor!$BQ$301,AU237&lt;Deflactor!$BQ$302), Deflactor!$BP$301, IF(AND(AU237&gt;=Deflactor!$BQ$302,AU237&lt;Deflactor!$BQ$303), Deflactor!$BP$302, IF(AND(AU237&gt;=Deflactor!$BQ$303,AU237&lt;Deflactor!$BQ$304), Deflactor!$BP$303, IF(AND(AU237&gt;=Deflactor!$BQ$304,AU237&lt;Deflactor!$BQ$305), Deflactor!$BP$304, IF(AND(AU237&gt;=Deflactor!$BQ$305,AU237&lt;Deflactor!$BQ$306), Deflactor!$BP$305, IF(AND(AU237&gt;=Deflactor!$BQ$306,AU237&lt;Deflactor!$BQ$307), Deflactor!$BP$306, Deflactor!$BP$307) ) ) ) ) ) ) ) ) )</f>
        <v>10</v>
      </c>
      <c r="AW237" s="57" t="str">
        <f>+IFERROR(VLOOKUP(AV237,Deflactor!$BP$298:$BU$307,6,0),"")</f>
        <v>100 millones USD y mas</v>
      </c>
    </row>
    <row r="238" spans="1:49" x14ac:dyDescent="0.3">
      <c r="A238" s="3">
        <v>2010</v>
      </c>
      <c r="B238" s="3" t="s">
        <v>312</v>
      </c>
      <c r="C238" s="3" t="s">
        <v>92</v>
      </c>
      <c r="D238" s="3" t="s">
        <v>36</v>
      </c>
      <c r="E238" s="3" t="s">
        <v>37</v>
      </c>
      <c r="F238" s="3" t="s">
        <v>89</v>
      </c>
      <c r="G238" s="3" t="s">
        <v>723</v>
      </c>
      <c r="H238" s="12">
        <v>2007</v>
      </c>
      <c r="I238" s="13" t="s">
        <v>623</v>
      </c>
      <c r="J238" s="10">
        <f t="shared" ref="J238:J241" si="11" xml:space="preserve"> 141370509 * 1000</f>
        <v>141370509000</v>
      </c>
      <c r="K238" s="3" t="s">
        <v>1666</v>
      </c>
      <c r="L238" s="3" t="s">
        <v>1587</v>
      </c>
      <c r="M238" s="3" t="s">
        <v>1588</v>
      </c>
      <c r="N238" s="3" t="s">
        <v>1593</v>
      </c>
      <c r="O238" s="3"/>
      <c r="P238" s="3"/>
      <c r="Q238" s="3"/>
      <c r="R238" s="3" t="s">
        <v>1590</v>
      </c>
      <c r="S238" s="3" t="s">
        <v>1590</v>
      </c>
      <c r="T238" s="3" t="s">
        <v>1591</v>
      </c>
      <c r="U238" s="3" t="s">
        <v>1592</v>
      </c>
      <c r="V238" s="3"/>
      <c r="W238" s="10">
        <f>IF( J238="s.i", "s.i", IF(ISBLANK(J238),"Actualizando información",IFERROR(J238 / VLOOKUP(A238,Deflactor!$G$3:$H$64,2,0),"Revisar error" )))</f>
        <v>150332635540.5304</v>
      </c>
      <c r="AR238" s="34">
        <f t="shared" si="10"/>
        <v>132129142000</v>
      </c>
      <c r="AT238" s="46">
        <f t="shared" si="9"/>
        <v>132129142000</v>
      </c>
      <c r="AU238" s="54">
        <f xml:space="preserve"> IFERROR(ROUND(AT238 / VLOOKUP(A238,Tabla1[#All],2,0),0),"s.i")</f>
        <v>258885559</v>
      </c>
      <c r="AV238" s="33">
        <f xml:space="preserve"> IF(AU238="s.i", "s.i", IF(AND(AU238&gt;=Deflactor!$BQ$298,AU238&lt;Deflactor!$BQ$299), Deflactor!$BP$298, IF(AND(AU238&gt;=Deflactor!$BQ$299,AU238&lt;Deflactor!$BQ$300), Deflactor!$BP$299, IF(AND(AU238&gt;=Deflactor!$BQ$300,AU238&lt;Deflactor!$BQ$301), Deflactor!$BP$300, IF(AND(AU238&gt;=Deflactor!$BQ$301,AU238&lt;Deflactor!$BQ$302), Deflactor!$BP$301, IF(AND(AU238&gt;=Deflactor!$BQ$302,AU238&lt;Deflactor!$BQ$303), Deflactor!$BP$302, IF(AND(AU238&gt;=Deflactor!$BQ$303,AU238&lt;Deflactor!$BQ$304), Deflactor!$BP$303, IF(AND(AU238&gt;=Deflactor!$BQ$304,AU238&lt;Deflactor!$BQ$305), Deflactor!$BP$304, IF(AND(AU238&gt;=Deflactor!$BQ$305,AU238&lt;Deflactor!$BQ$306), Deflactor!$BP$305, IF(AND(AU238&gt;=Deflactor!$BQ$306,AU238&lt;Deflactor!$BQ$307), Deflactor!$BP$306, Deflactor!$BP$307) ) ) ) ) ) ) ) ) )</f>
        <v>10</v>
      </c>
      <c r="AW238" s="57" t="str">
        <f>+IFERROR(VLOOKUP(AV238,Deflactor!$BP$298:$BU$307,6,0),"")</f>
        <v>100 millones USD y mas</v>
      </c>
    </row>
    <row r="239" spans="1:49" x14ac:dyDescent="0.3">
      <c r="A239" s="3">
        <v>2010</v>
      </c>
      <c r="B239" s="3" t="s">
        <v>313</v>
      </c>
      <c r="C239" s="3" t="s">
        <v>92</v>
      </c>
      <c r="D239" s="3" t="s">
        <v>36</v>
      </c>
      <c r="E239" s="3" t="s">
        <v>37</v>
      </c>
      <c r="F239" s="3" t="s">
        <v>89</v>
      </c>
      <c r="G239" s="3" t="s">
        <v>723</v>
      </c>
      <c r="H239" s="12">
        <v>2001</v>
      </c>
      <c r="I239" s="13" t="s">
        <v>623</v>
      </c>
      <c r="J239" s="10">
        <f t="shared" si="11"/>
        <v>141370509000</v>
      </c>
      <c r="K239" s="3" t="s">
        <v>1666</v>
      </c>
      <c r="L239" s="3" t="s">
        <v>1587</v>
      </c>
      <c r="M239" s="3" t="s">
        <v>1588</v>
      </c>
      <c r="N239" s="3" t="s">
        <v>1594</v>
      </c>
      <c r="O239" s="3"/>
      <c r="P239" s="3"/>
      <c r="Q239" s="3"/>
      <c r="R239" s="3" t="s">
        <v>1590</v>
      </c>
      <c r="S239" s="3" t="s">
        <v>1590</v>
      </c>
      <c r="T239" s="3" t="s">
        <v>1591</v>
      </c>
      <c r="U239" s="3" t="s">
        <v>1592</v>
      </c>
      <c r="V239" s="3"/>
      <c r="W239" s="10">
        <f>IF( J239="s.i", "s.i", IF(ISBLANK(J239),"Actualizando información",IFERROR(J239 / VLOOKUP(A239,Deflactor!$G$3:$H$64,2,0),"Revisar error" )))</f>
        <v>150332635540.5304</v>
      </c>
      <c r="AR239" s="34">
        <f t="shared" si="10"/>
        <v>132129142000</v>
      </c>
      <c r="AT239" s="46">
        <f t="shared" si="9"/>
        <v>132129142000</v>
      </c>
      <c r="AU239" s="54">
        <f xml:space="preserve"> IFERROR(ROUND(AT239 / VLOOKUP(A239,Tabla1[#All],2,0),0),"s.i")</f>
        <v>258885559</v>
      </c>
      <c r="AV239" s="33">
        <f xml:space="preserve"> IF(AU239="s.i", "s.i", IF(AND(AU239&gt;=Deflactor!$BQ$298,AU239&lt;Deflactor!$BQ$299), Deflactor!$BP$298, IF(AND(AU239&gt;=Deflactor!$BQ$299,AU239&lt;Deflactor!$BQ$300), Deflactor!$BP$299, IF(AND(AU239&gt;=Deflactor!$BQ$300,AU239&lt;Deflactor!$BQ$301), Deflactor!$BP$300, IF(AND(AU239&gt;=Deflactor!$BQ$301,AU239&lt;Deflactor!$BQ$302), Deflactor!$BP$301, IF(AND(AU239&gt;=Deflactor!$BQ$302,AU239&lt;Deflactor!$BQ$303), Deflactor!$BP$302, IF(AND(AU239&gt;=Deflactor!$BQ$303,AU239&lt;Deflactor!$BQ$304), Deflactor!$BP$303, IF(AND(AU239&gt;=Deflactor!$BQ$304,AU239&lt;Deflactor!$BQ$305), Deflactor!$BP$304, IF(AND(AU239&gt;=Deflactor!$BQ$305,AU239&lt;Deflactor!$BQ$306), Deflactor!$BP$305, IF(AND(AU239&gt;=Deflactor!$BQ$306,AU239&lt;Deflactor!$BQ$307), Deflactor!$BP$306, Deflactor!$BP$307) ) ) ) ) ) ) ) ) )</f>
        <v>10</v>
      </c>
      <c r="AW239" s="57" t="str">
        <f>+IFERROR(VLOOKUP(AV239,Deflactor!$BP$298:$BU$307,6,0),"")</f>
        <v>100 millones USD y mas</v>
      </c>
    </row>
    <row r="240" spans="1:49" x14ac:dyDescent="0.3">
      <c r="A240" s="3">
        <v>2010</v>
      </c>
      <c r="B240" s="3" t="s">
        <v>314</v>
      </c>
      <c r="C240" s="3" t="s">
        <v>92</v>
      </c>
      <c r="D240" s="3" t="s">
        <v>36</v>
      </c>
      <c r="E240" s="3" t="s">
        <v>37</v>
      </c>
      <c r="F240" s="3" t="s">
        <v>89</v>
      </c>
      <c r="G240" s="3" t="s">
        <v>723</v>
      </c>
      <c r="H240" s="12">
        <v>1998</v>
      </c>
      <c r="I240" s="13" t="s">
        <v>623</v>
      </c>
      <c r="J240" s="10">
        <f t="shared" si="11"/>
        <v>141370509000</v>
      </c>
      <c r="K240" s="3" t="s">
        <v>1666</v>
      </c>
      <c r="L240" s="3" t="s">
        <v>1587</v>
      </c>
      <c r="M240" s="3" t="s">
        <v>1588</v>
      </c>
      <c r="N240" s="3" t="s">
        <v>1595</v>
      </c>
      <c r="O240" s="3"/>
      <c r="P240" s="3"/>
      <c r="Q240" s="3"/>
      <c r="R240" s="3" t="s">
        <v>1590</v>
      </c>
      <c r="S240" s="3" t="s">
        <v>1590</v>
      </c>
      <c r="T240" s="3" t="s">
        <v>1591</v>
      </c>
      <c r="U240" s="3" t="s">
        <v>1592</v>
      </c>
      <c r="V240" s="3"/>
      <c r="W240" s="10">
        <f>IF( J240="s.i", "s.i", IF(ISBLANK(J240),"Actualizando información",IFERROR(J240 / VLOOKUP(A240,Deflactor!$G$3:$H$64,2,0),"Revisar error" )))</f>
        <v>150332635540.5304</v>
      </c>
      <c r="AR240" s="34">
        <f t="shared" si="10"/>
        <v>132129142000</v>
      </c>
      <c r="AT240" s="46">
        <f t="shared" si="9"/>
        <v>132129142000</v>
      </c>
      <c r="AU240" s="54">
        <f xml:space="preserve"> IFERROR(ROUND(AT240 / VLOOKUP(A240,Tabla1[#All],2,0),0),"s.i")</f>
        <v>258885559</v>
      </c>
      <c r="AV240" s="33">
        <f xml:space="preserve"> IF(AU240="s.i", "s.i", IF(AND(AU240&gt;=Deflactor!$BQ$298,AU240&lt;Deflactor!$BQ$299), Deflactor!$BP$298, IF(AND(AU240&gt;=Deflactor!$BQ$299,AU240&lt;Deflactor!$BQ$300), Deflactor!$BP$299, IF(AND(AU240&gt;=Deflactor!$BQ$300,AU240&lt;Deflactor!$BQ$301), Deflactor!$BP$300, IF(AND(AU240&gt;=Deflactor!$BQ$301,AU240&lt;Deflactor!$BQ$302), Deflactor!$BP$301, IF(AND(AU240&gt;=Deflactor!$BQ$302,AU240&lt;Deflactor!$BQ$303), Deflactor!$BP$302, IF(AND(AU240&gt;=Deflactor!$BQ$303,AU240&lt;Deflactor!$BQ$304), Deflactor!$BP$303, IF(AND(AU240&gt;=Deflactor!$BQ$304,AU240&lt;Deflactor!$BQ$305), Deflactor!$BP$304, IF(AND(AU240&gt;=Deflactor!$BQ$305,AU240&lt;Deflactor!$BQ$306), Deflactor!$BP$305, IF(AND(AU240&gt;=Deflactor!$BQ$306,AU240&lt;Deflactor!$BQ$307), Deflactor!$BP$306, Deflactor!$BP$307) ) ) ) ) ) ) ) ) )</f>
        <v>10</v>
      </c>
      <c r="AW240" s="57" t="str">
        <f>+IFERROR(VLOOKUP(AV240,Deflactor!$BP$298:$BU$307,6,0),"")</f>
        <v>100 millones USD y mas</v>
      </c>
    </row>
    <row r="241" spans="1:49" x14ac:dyDescent="0.3">
      <c r="A241" s="3">
        <v>2010</v>
      </c>
      <c r="B241" s="3" t="s">
        <v>315</v>
      </c>
      <c r="C241" s="3" t="s">
        <v>92</v>
      </c>
      <c r="D241" s="3" t="s">
        <v>36</v>
      </c>
      <c r="E241" s="3" t="s">
        <v>37</v>
      </c>
      <c r="F241" s="3" t="s">
        <v>89</v>
      </c>
      <c r="G241" s="3" t="s">
        <v>723</v>
      </c>
      <c r="H241" s="12">
        <v>1991</v>
      </c>
      <c r="I241" s="13" t="s">
        <v>623</v>
      </c>
      <c r="J241" s="10">
        <f t="shared" si="11"/>
        <v>141370509000</v>
      </c>
      <c r="K241" s="3" t="s">
        <v>1666</v>
      </c>
      <c r="L241" s="3" t="s">
        <v>1587</v>
      </c>
      <c r="M241" s="3" t="s">
        <v>1588</v>
      </c>
      <c r="N241" s="3" t="s">
        <v>1596</v>
      </c>
      <c r="O241" s="3"/>
      <c r="P241" s="3"/>
      <c r="Q241" s="3"/>
      <c r="R241" s="3" t="s">
        <v>1590</v>
      </c>
      <c r="S241" s="3" t="s">
        <v>1590</v>
      </c>
      <c r="T241" s="3" t="s">
        <v>1591</v>
      </c>
      <c r="U241" s="3" t="s">
        <v>1592</v>
      </c>
      <c r="V241" s="3"/>
      <c r="W241" s="10">
        <f>IF( J241="s.i", "s.i", IF(ISBLANK(J241),"Actualizando información",IFERROR(J241 / VLOOKUP(A241,Deflactor!$G$3:$H$64,2,0),"Revisar error" )))</f>
        <v>150332635540.5304</v>
      </c>
      <c r="AR241" s="34">
        <f t="shared" si="10"/>
        <v>132129142000</v>
      </c>
      <c r="AT241" s="46">
        <f t="shared" si="9"/>
        <v>132129142000</v>
      </c>
      <c r="AU241" s="54">
        <f xml:space="preserve"> IFERROR(ROUND(AT241 / VLOOKUP(A241,Tabla1[#All],2,0),0),"s.i")</f>
        <v>258885559</v>
      </c>
      <c r="AV241" s="33">
        <f xml:space="preserve"> IF(AU241="s.i", "s.i", IF(AND(AU241&gt;=Deflactor!$BQ$298,AU241&lt;Deflactor!$BQ$299), Deflactor!$BP$298, IF(AND(AU241&gt;=Deflactor!$BQ$299,AU241&lt;Deflactor!$BQ$300), Deflactor!$BP$299, IF(AND(AU241&gt;=Deflactor!$BQ$300,AU241&lt;Deflactor!$BQ$301), Deflactor!$BP$300, IF(AND(AU241&gt;=Deflactor!$BQ$301,AU241&lt;Deflactor!$BQ$302), Deflactor!$BP$301, IF(AND(AU241&gt;=Deflactor!$BQ$302,AU241&lt;Deflactor!$BQ$303), Deflactor!$BP$302, IF(AND(AU241&gt;=Deflactor!$BQ$303,AU241&lt;Deflactor!$BQ$304), Deflactor!$BP$303, IF(AND(AU241&gt;=Deflactor!$BQ$304,AU241&lt;Deflactor!$BQ$305), Deflactor!$BP$304, IF(AND(AU241&gt;=Deflactor!$BQ$305,AU241&lt;Deflactor!$BQ$306), Deflactor!$BP$305, IF(AND(AU241&gt;=Deflactor!$BQ$306,AU241&lt;Deflactor!$BQ$307), Deflactor!$BP$306, Deflactor!$BP$307) ) ) ) ) ) ) ) ) )</f>
        <v>10</v>
      </c>
      <c r="AW241" s="57" t="str">
        <f>+IFERROR(VLOOKUP(AV241,Deflactor!$BP$298:$BU$307,6,0),"")</f>
        <v>100 millones USD y mas</v>
      </c>
    </row>
    <row r="242" spans="1:49" x14ac:dyDescent="0.3">
      <c r="A242" s="3">
        <v>2010</v>
      </c>
      <c r="B242" s="3" t="s">
        <v>316</v>
      </c>
      <c r="C242" s="3" t="s">
        <v>155</v>
      </c>
      <c r="D242" s="3" t="s">
        <v>216</v>
      </c>
      <c r="E242" s="3" t="s">
        <v>316</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c r="AR242" s="10">
        <f xml:space="preserve"> 4948354 * 1000</f>
        <v>4948354000</v>
      </c>
      <c r="AT242" s="46">
        <f t="shared" si="9"/>
        <v>4948354000</v>
      </c>
      <c r="AU242" s="54">
        <f xml:space="preserve"> IFERROR(ROUND(AT242 / VLOOKUP(A242,Tabla1[#All],2,0),0),"s.i")</f>
        <v>9695495</v>
      </c>
      <c r="AV242" s="33">
        <f xml:space="preserve"> IF(AU242="s.i", "s.i", IF(AND(AU242&gt;=Deflactor!$BQ$298,AU242&lt;Deflactor!$BQ$299), Deflactor!$BP$298, IF(AND(AU242&gt;=Deflactor!$BQ$299,AU242&lt;Deflactor!$BQ$300), Deflactor!$BP$299, IF(AND(AU242&gt;=Deflactor!$BQ$300,AU242&lt;Deflactor!$BQ$301), Deflactor!$BP$300, IF(AND(AU242&gt;=Deflactor!$BQ$301,AU242&lt;Deflactor!$BQ$302), Deflactor!$BP$301, IF(AND(AU242&gt;=Deflactor!$BQ$302,AU242&lt;Deflactor!$BQ$303), Deflactor!$BP$302, IF(AND(AU242&gt;=Deflactor!$BQ$303,AU242&lt;Deflactor!$BQ$304), Deflactor!$BP$303, IF(AND(AU242&gt;=Deflactor!$BQ$304,AU242&lt;Deflactor!$BQ$305), Deflactor!$BP$304, IF(AND(AU242&gt;=Deflactor!$BQ$305,AU242&lt;Deflactor!$BQ$306), Deflactor!$BP$305, IF(AND(AU242&gt;=Deflactor!$BQ$306,AU242&lt;Deflactor!$BQ$307), Deflactor!$BP$306, Deflactor!$BP$307) ) ) ) ) ) ) ) ) )</f>
        <v>4</v>
      </c>
      <c r="AW242" s="57" t="str">
        <f>+IFERROR(VLOOKUP(AV242,Deflactor!$BP$298:$BU$307,6,0),"")</f>
        <v>7,5 a 10 millones USD</v>
      </c>
    </row>
    <row r="243" spans="1:49" x14ac:dyDescent="0.3">
      <c r="A243" s="3">
        <v>2010</v>
      </c>
      <c r="B243" s="3" t="s">
        <v>317</v>
      </c>
      <c r="C243" s="3" t="s">
        <v>7</v>
      </c>
      <c r="D243" s="3" t="s">
        <v>12</v>
      </c>
      <c r="E243" s="3" t="s">
        <v>61</v>
      </c>
      <c r="F243" s="3" t="s">
        <v>310</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c r="AR243" s="10">
        <f xml:space="preserve"> 895698 * 1000</f>
        <v>895698000</v>
      </c>
      <c r="AT243" s="46">
        <f t="shared" si="9"/>
        <v>895698000</v>
      </c>
      <c r="AU243" s="54">
        <f xml:space="preserve"> IFERROR(ROUND(AT243 / VLOOKUP(A243,Tabla1[#All],2,0),0),"s.i")</f>
        <v>1754975</v>
      </c>
      <c r="AV243" s="33">
        <f xml:space="preserve"> IF(AU243="s.i", "s.i", IF(AND(AU243&gt;=Deflactor!$BQ$298,AU243&lt;Deflactor!$BQ$299), Deflactor!$BP$298, IF(AND(AU243&gt;=Deflactor!$BQ$299,AU243&lt;Deflactor!$BQ$300), Deflactor!$BP$299, IF(AND(AU243&gt;=Deflactor!$BQ$300,AU243&lt;Deflactor!$BQ$301), Deflactor!$BP$300, IF(AND(AU243&gt;=Deflactor!$BQ$301,AU243&lt;Deflactor!$BQ$302), Deflactor!$BP$301, IF(AND(AU243&gt;=Deflactor!$BQ$302,AU243&lt;Deflactor!$BQ$303), Deflactor!$BP$302, IF(AND(AU243&gt;=Deflactor!$BQ$303,AU243&lt;Deflactor!$BQ$304), Deflactor!$BP$303, IF(AND(AU243&gt;=Deflactor!$BQ$304,AU243&lt;Deflactor!$BQ$305), Deflactor!$BP$304, IF(AND(AU243&gt;=Deflactor!$BQ$305,AU243&lt;Deflactor!$BQ$306), Deflactor!$BP$305, IF(AND(AU243&gt;=Deflactor!$BQ$306,AU243&lt;Deflactor!$BQ$307), Deflactor!$BP$306, Deflactor!$BP$307) ) ) ) ) ) ) ) ) )</f>
        <v>1</v>
      </c>
      <c r="AW243" s="57" t="str">
        <f>+IFERROR(VLOOKUP(AV243,Deflactor!$BP$298:$BU$307,6,0),"")</f>
        <v>2 millones USD y menos</v>
      </c>
    </row>
    <row r="244" spans="1:49" x14ac:dyDescent="0.3">
      <c r="A244" s="3">
        <v>2010</v>
      </c>
      <c r="B244" s="3" t="s">
        <v>318</v>
      </c>
      <c r="C244" s="3" t="s">
        <v>7</v>
      </c>
      <c r="D244" s="3" t="s">
        <v>12</v>
      </c>
      <c r="E244" s="3" t="s">
        <v>61</v>
      </c>
      <c r="F244" s="3" t="s">
        <v>310</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c r="AR244" s="10">
        <f xml:space="preserve"> 112750 * 1000</f>
        <v>112750000</v>
      </c>
      <c r="AT244" s="46">
        <f t="shared" si="9"/>
        <v>112750000</v>
      </c>
      <c r="AU244" s="54">
        <f xml:space="preserve"> IFERROR(ROUND(AT244 / VLOOKUP(A244,Tabla1[#All],2,0),0),"s.i")</f>
        <v>220915</v>
      </c>
      <c r="AV244" s="33">
        <f xml:space="preserve"> IF(AU244="s.i", "s.i", IF(AND(AU244&gt;=Deflactor!$BQ$298,AU244&lt;Deflactor!$BQ$299), Deflactor!$BP$298, IF(AND(AU244&gt;=Deflactor!$BQ$299,AU244&lt;Deflactor!$BQ$300), Deflactor!$BP$299, IF(AND(AU244&gt;=Deflactor!$BQ$300,AU244&lt;Deflactor!$BQ$301), Deflactor!$BP$300, IF(AND(AU244&gt;=Deflactor!$BQ$301,AU244&lt;Deflactor!$BQ$302), Deflactor!$BP$301, IF(AND(AU244&gt;=Deflactor!$BQ$302,AU244&lt;Deflactor!$BQ$303), Deflactor!$BP$302, IF(AND(AU244&gt;=Deflactor!$BQ$303,AU244&lt;Deflactor!$BQ$304), Deflactor!$BP$303, IF(AND(AU244&gt;=Deflactor!$BQ$304,AU244&lt;Deflactor!$BQ$305), Deflactor!$BP$304, IF(AND(AU244&gt;=Deflactor!$BQ$305,AU244&lt;Deflactor!$BQ$306), Deflactor!$BP$305, IF(AND(AU244&gt;=Deflactor!$BQ$306,AU244&lt;Deflactor!$BQ$307), Deflactor!$BP$306, Deflactor!$BP$307) ) ) ) ) ) ) ) ) )</f>
        <v>1</v>
      </c>
      <c r="AW244" s="57" t="str">
        <f>+IFERROR(VLOOKUP(AV244,Deflactor!$BP$298:$BU$307,6,0),"")</f>
        <v>2 millones USD y menos</v>
      </c>
    </row>
    <row r="245" spans="1:49" x14ac:dyDescent="0.3">
      <c r="A245" s="3">
        <v>2010</v>
      </c>
      <c r="B245" s="3" t="s">
        <v>319</v>
      </c>
      <c r="C245" s="3" t="s">
        <v>7</v>
      </c>
      <c r="D245" s="3" t="s">
        <v>12</v>
      </c>
      <c r="E245" s="3" t="s">
        <v>61</v>
      </c>
      <c r="F245" s="3" t="s">
        <v>310</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c r="AR245" s="10">
        <f xml:space="preserve"> 458619 * 1000</f>
        <v>458619000</v>
      </c>
      <c r="AT245" s="46">
        <f t="shared" si="9"/>
        <v>458619000</v>
      </c>
      <c r="AU245" s="54">
        <f xml:space="preserve"> IFERROR(ROUND(AT245 / VLOOKUP(A245,Tabla1[#All],2,0),0),"s.i")</f>
        <v>898589</v>
      </c>
      <c r="AV245" s="33">
        <f xml:space="preserve"> IF(AU245="s.i", "s.i", IF(AND(AU245&gt;=Deflactor!$BQ$298,AU245&lt;Deflactor!$BQ$299), Deflactor!$BP$298, IF(AND(AU245&gt;=Deflactor!$BQ$299,AU245&lt;Deflactor!$BQ$300), Deflactor!$BP$299, IF(AND(AU245&gt;=Deflactor!$BQ$300,AU245&lt;Deflactor!$BQ$301), Deflactor!$BP$300, IF(AND(AU245&gt;=Deflactor!$BQ$301,AU245&lt;Deflactor!$BQ$302), Deflactor!$BP$301, IF(AND(AU245&gt;=Deflactor!$BQ$302,AU245&lt;Deflactor!$BQ$303), Deflactor!$BP$302, IF(AND(AU245&gt;=Deflactor!$BQ$303,AU245&lt;Deflactor!$BQ$304), Deflactor!$BP$303, IF(AND(AU245&gt;=Deflactor!$BQ$304,AU245&lt;Deflactor!$BQ$305), Deflactor!$BP$304, IF(AND(AU245&gt;=Deflactor!$BQ$305,AU245&lt;Deflactor!$BQ$306), Deflactor!$BP$305, IF(AND(AU245&gt;=Deflactor!$BQ$306,AU245&lt;Deflactor!$BQ$307), Deflactor!$BP$306, Deflactor!$BP$307) ) ) ) ) ) ) ) ) )</f>
        <v>1</v>
      </c>
      <c r="AW245" s="57" t="str">
        <f>+IFERROR(VLOOKUP(AV245,Deflactor!$BP$298:$BU$307,6,0),"")</f>
        <v>2 millones USD y menos</v>
      </c>
    </row>
    <row r="246" spans="1:49" x14ac:dyDescent="0.3">
      <c r="A246" s="3">
        <v>2010</v>
      </c>
      <c r="B246" s="3" t="s">
        <v>320</v>
      </c>
      <c r="C246" s="3" t="s">
        <v>7</v>
      </c>
      <c r="D246" s="3" t="s">
        <v>12</v>
      </c>
      <c r="E246" s="3" t="s">
        <v>61</v>
      </c>
      <c r="F246" s="3" t="s">
        <v>310</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c r="AR246" s="10">
        <f xml:space="preserve"> 7013709 * 1000</f>
        <v>7013709000</v>
      </c>
      <c r="AT246" s="46">
        <f t="shared" si="9"/>
        <v>7013709000</v>
      </c>
      <c r="AU246" s="54">
        <f xml:space="preserve"> IFERROR(ROUND(AT246 / VLOOKUP(A246,Tabla1[#All],2,0),0),"s.i")</f>
        <v>13742222</v>
      </c>
      <c r="AV246" s="33">
        <f xml:space="preserve"> IF(AU246="s.i", "s.i", IF(AND(AU246&gt;=Deflactor!$BQ$298,AU246&lt;Deflactor!$BQ$299), Deflactor!$BP$298, IF(AND(AU246&gt;=Deflactor!$BQ$299,AU246&lt;Deflactor!$BQ$300), Deflactor!$BP$299, IF(AND(AU246&gt;=Deflactor!$BQ$300,AU246&lt;Deflactor!$BQ$301), Deflactor!$BP$300, IF(AND(AU246&gt;=Deflactor!$BQ$301,AU246&lt;Deflactor!$BQ$302), Deflactor!$BP$301, IF(AND(AU246&gt;=Deflactor!$BQ$302,AU246&lt;Deflactor!$BQ$303), Deflactor!$BP$302, IF(AND(AU246&gt;=Deflactor!$BQ$303,AU246&lt;Deflactor!$BQ$304), Deflactor!$BP$303, IF(AND(AU246&gt;=Deflactor!$BQ$304,AU246&lt;Deflactor!$BQ$305), Deflactor!$BP$304, IF(AND(AU246&gt;=Deflactor!$BQ$305,AU246&lt;Deflactor!$BQ$306), Deflactor!$BP$305, IF(AND(AU246&gt;=Deflactor!$BQ$306,AU246&lt;Deflactor!$BQ$307), Deflactor!$BP$306, Deflactor!$BP$307) ) ) ) ) ) ) ) ) )</f>
        <v>5</v>
      </c>
      <c r="AW246" s="57" t="str">
        <f>+IFERROR(VLOOKUP(AV246,Deflactor!$BP$298:$BU$307,6,0),"")</f>
        <v>10 a 15 millones USD</v>
      </c>
    </row>
    <row r="247" spans="1:49" x14ac:dyDescent="0.3">
      <c r="A247" s="3">
        <v>2010</v>
      </c>
      <c r="B247" s="3" t="s">
        <v>321</v>
      </c>
      <c r="C247" s="3" t="s">
        <v>7</v>
      </c>
      <c r="D247" s="3" t="s">
        <v>12</v>
      </c>
      <c r="E247" s="3" t="s">
        <v>61</v>
      </c>
      <c r="F247" s="3" t="s">
        <v>310</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c r="AR247" s="10">
        <f xml:space="preserve"> 2212466 * 1000</f>
        <v>2212466000</v>
      </c>
      <c r="AT247" s="46">
        <f t="shared" si="9"/>
        <v>2212466000</v>
      </c>
      <c r="AU247" s="54">
        <f xml:space="preserve"> IFERROR(ROUND(AT247 / VLOOKUP(A247,Tabla1[#All],2,0),0),"s.i")</f>
        <v>4334967</v>
      </c>
      <c r="AV247" s="33">
        <f xml:space="preserve"> IF(AU247="s.i", "s.i", IF(AND(AU247&gt;=Deflactor!$BQ$298,AU247&lt;Deflactor!$BQ$299), Deflactor!$BP$298, IF(AND(AU247&gt;=Deflactor!$BQ$299,AU247&lt;Deflactor!$BQ$300), Deflactor!$BP$299, IF(AND(AU247&gt;=Deflactor!$BQ$300,AU247&lt;Deflactor!$BQ$301), Deflactor!$BP$300, IF(AND(AU247&gt;=Deflactor!$BQ$301,AU247&lt;Deflactor!$BQ$302), Deflactor!$BP$301, IF(AND(AU247&gt;=Deflactor!$BQ$302,AU247&lt;Deflactor!$BQ$303), Deflactor!$BP$302, IF(AND(AU247&gt;=Deflactor!$BQ$303,AU247&lt;Deflactor!$BQ$304), Deflactor!$BP$303, IF(AND(AU247&gt;=Deflactor!$BQ$304,AU247&lt;Deflactor!$BQ$305), Deflactor!$BP$304, IF(AND(AU247&gt;=Deflactor!$BQ$305,AU247&lt;Deflactor!$BQ$306), Deflactor!$BP$305, IF(AND(AU247&gt;=Deflactor!$BQ$306,AU247&lt;Deflactor!$BQ$307), Deflactor!$BP$306, Deflactor!$BP$307) ) ) ) ) ) ) ) ) )</f>
        <v>2</v>
      </c>
      <c r="AW247" s="57" t="str">
        <f>+IFERROR(VLOOKUP(AV247,Deflactor!$BP$298:$BU$307,6,0),"")</f>
        <v>2 a 5 millones USD</v>
      </c>
    </row>
    <row r="248" spans="1:49" x14ac:dyDescent="0.3">
      <c r="A248" s="3">
        <v>2010</v>
      </c>
      <c r="B248" s="3" t="s">
        <v>322</v>
      </c>
      <c r="C248" s="3" t="s">
        <v>7</v>
      </c>
      <c r="D248" s="3" t="s">
        <v>12</v>
      </c>
      <c r="E248" s="3" t="s">
        <v>13</v>
      </c>
      <c r="F248" s="3" t="s">
        <v>310</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c r="AR248" s="10">
        <f xml:space="preserve"> 1431133 * 1000</f>
        <v>1431133000</v>
      </c>
      <c r="AT248" s="46">
        <f t="shared" si="9"/>
        <v>1431133000</v>
      </c>
      <c r="AU248" s="54">
        <f xml:space="preserve"> IFERROR(ROUND(AT248 / VLOOKUP(A248,Tabla1[#All],2,0),0),"s.i")</f>
        <v>2804072</v>
      </c>
      <c r="AV248" s="33">
        <f xml:space="preserve"> IF(AU248="s.i", "s.i", IF(AND(AU248&gt;=Deflactor!$BQ$298,AU248&lt;Deflactor!$BQ$299), Deflactor!$BP$298, IF(AND(AU248&gt;=Deflactor!$BQ$299,AU248&lt;Deflactor!$BQ$300), Deflactor!$BP$299, IF(AND(AU248&gt;=Deflactor!$BQ$300,AU248&lt;Deflactor!$BQ$301), Deflactor!$BP$300, IF(AND(AU248&gt;=Deflactor!$BQ$301,AU248&lt;Deflactor!$BQ$302), Deflactor!$BP$301, IF(AND(AU248&gt;=Deflactor!$BQ$302,AU248&lt;Deflactor!$BQ$303), Deflactor!$BP$302, IF(AND(AU248&gt;=Deflactor!$BQ$303,AU248&lt;Deflactor!$BQ$304), Deflactor!$BP$303, IF(AND(AU248&gt;=Deflactor!$BQ$304,AU248&lt;Deflactor!$BQ$305), Deflactor!$BP$304, IF(AND(AU248&gt;=Deflactor!$BQ$305,AU248&lt;Deflactor!$BQ$306), Deflactor!$BP$305, IF(AND(AU248&gt;=Deflactor!$BQ$306,AU248&lt;Deflactor!$BQ$307), Deflactor!$BP$306, Deflactor!$BP$307) ) ) ) ) ) ) ) ) )</f>
        <v>2</v>
      </c>
      <c r="AW248" s="57" t="str">
        <f>+IFERROR(VLOOKUP(AV248,Deflactor!$BP$298:$BU$307,6,0),"")</f>
        <v>2 a 5 millones USD</v>
      </c>
    </row>
    <row r="249" spans="1:49" x14ac:dyDescent="0.3">
      <c r="A249" s="3">
        <v>2010</v>
      </c>
      <c r="B249" s="3" t="s">
        <v>323</v>
      </c>
      <c r="C249" s="3" t="s">
        <v>92</v>
      </c>
      <c r="D249" s="3" t="s">
        <v>36</v>
      </c>
      <c r="E249" s="3" t="s">
        <v>37</v>
      </c>
      <c r="F249" s="3" t="s">
        <v>89</v>
      </c>
      <c r="G249" s="3" t="s">
        <v>723</v>
      </c>
      <c r="H249" s="12">
        <v>1999</v>
      </c>
      <c r="I249" s="13" t="s">
        <v>623</v>
      </c>
      <c r="J249" s="10">
        <f xml:space="preserve"> 141370509 * 1000</f>
        <v>141370509000</v>
      </c>
      <c r="K249" s="3" t="s">
        <v>1666</v>
      </c>
      <c r="L249" s="3" t="s">
        <v>1587</v>
      </c>
      <c r="M249" s="3" t="s">
        <v>1588</v>
      </c>
      <c r="N249" s="16" t="s">
        <v>1597</v>
      </c>
      <c r="O249" s="3"/>
      <c r="P249" s="3"/>
      <c r="Q249" s="3"/>
      <c r="R249" s="3" t="s">
        <v>1590</v>
      </c>
      <c r="S249" s="3" t="s">
        <v>1590</v>
      </c>
      <c r="T249" s="3" t="s">
        <v>1591</v>
      </c>
      <c r="U249" s="3" t="s">
        <v>1592</v>
      </c>
      <c r="V249" s="3"/>
      <c r="W249" s="10">
        <f>IF( J249="s.i", "s.i", IF(ISBLANK(J249),"Actualizando información",IFERROR(J249 / VLOOKUP(A249,Deflactor!$G$3:$H$64,2,0),"Revisar error" )))</f>
        <v>150332635540.5304</v>
      </c>
      <c r="AR249" s="34">
        <f xml:space="preserve"> 132129142 * 1000</f>
        <v>132129142000</v>
      </c>
      <c r="AT249" s="46">
        <f t="shared" si="9"/>
        <v>132129142000</v>
      </c>
      <c r="AU249" s="54">
        <f xml:space="preserve"> IFERROR(ROUND(AT249 / VLOOKUP(A249,Tabla1[#All],2,0),0),"s.i")</f>
        <v>258885559</v>
      </c>
      <c r="AV249" s="33">
        <f xml:space="preserve"> IF(AU249="s.i", "s.i", IF(AND(AU249&gt;=Deflactor!$BQ$298,AU249&lt;Deflactor!$BQ$299), Deflactor!$BP$298, IF(AND(AU249&gt;=Deflactor!$BQ$299,AU249&lt;Deflactor!$BQ$300), Deflactor!$BP$299, IF(AND(AU249&gt;=Deflactor!$BQ$300,AU249&lt;Deflactor!$BQ$301), Deflactor!$BP$300, IF(AND(AU249&gt;=Deflactor!$BQ$301,AU249&lt;Deflactor!$BQ$302), Deflactor!$BP$301, IF(AND(AU249&gt;=Deflactor!$BQ$302,AU249&lt;Deflactor!$BQ$303), Deflactor!$BP$302, IF(AND(AU249&gt;=Deflactor!$BQ$303,AU249&lt;Deflactor!$BQ$304), Deflactor!$BP$303, IF(AND(AU249&gt;=Deflactor!$BQ$304,AU249&lt;Deflactor!$BQ$305), Deflactor!$BP$304, IF(AND(AU249&gt;=Deflactor!$BQ$305,AU249&lt;Deflactor!$BQ$306), Deflactor!$BP$305, IF(AND(AU249&gt;=Deflactor!$BQ$306,AU249&lt;Deflactor!$BQ$307), Deflactor!$BP$306, Deflactor!$BP$307) ) ) ) ) ) ) ) ) )</f>
        <v>10</v>
      </c>
      <c r="AW249" s="57" t="str">
        <f>+IFERROR(VLOOKUP(AV249,Deflactor!$BP$298:$BU$307,6,0),"")</f>
        <v>100 millones USD y mas</v>
      </c>
    </row>
    <row r="250" spans="1:49" x14ac:dyDescent="0.3">
      <c r="A250" s="3">
        <v>2010</v>
      </c>
      <c r="B250" s="3" t="s">
        <v>324</v>
      </c>
      <c r="C250" s="3" t="s">
        <v>92</v>
      </c>
      <c r="D250" s="3" t="s">
        <v>36</v>
      </c>
      <c r="E250" s="3" t="s">
        <v>37</v>
      </c>
      <c r="F250" s="3" t="s">
        <v>89</v>
      </c>
      <c r="G250" s="3" t="s">
        <v>623</v>
      </c>
      <c r="H250" s="12">
        <v>1990</v>
      </c>
      <c r="I250" s="13" t="s">
        <v>623</v>
      </c>
      <c r="J250" s="10" t="s">
        <v>623</v>
      </c>
      <c r="K250" s="3" t="s">
        <v>1649</v>
      </c>
      <c r="L250" s="3" t="s">
        <v>1598</v>
      </c>
      <c r="M250" s="3" t="s">
        <v>1599</v>
      </c>
      <c r="N250" s="3" t="s">
        <v>1600</v>
      </c>
      <c r="O250" s="3" t="s">
        <v>1601</v>
      </c>
      <c r="P250" s="3" t="s">
        <v>1602</v>
      </c>
      <c r="Q250" s="3"/>
      <c r="R250" s="3" t="s">
        <v>1603</v>
      </c>
      <c r="S250" s="3" t="s">
        <v>1604</v>
      </c>
      <c r="T250" s="3" t="s">
        <v>1605</v>
      </c>
      <c r="U250" s="3" t="s">
        <v>1606</v>
      </c>
      <c r="V250" s="3"/>
      <c r="W250" s="10" t="str">
        <f>IF( J250="s.i", "s.i", IF(ISBLANK(J250),"Actualizando información",IFERROR(J250 / VLOOKUP(A250,Deflactor!$G$3:$H$64,2,0),"Revisar error" )))</f>
        <v>s.i</v>
      </c>
      <c r="AR250" s="34">
        <f xml:space="preserve"> 513259 * 1000</f>
        <v>513259000</v>
      </c>
      <c r="AT250" s="46">
        <f t="shared" si="9"/>
        <v>513259000</v>
      </c>
      <c r="AU250" s="54">
        <f xml:space="preserve"> IFERROR(ROUND(AT250 / VLOOKUP(A250,Tabla1[#All],2,0),0),"s.i")</f>
        <v>1005648</v>
      </c>
      <c r="AV250" s="33">
        <f xml:space="preserve"> IF(AU250="s.i", "s.i", IF(AND(AU250&gt;=Deflactor!$BQ$298,AU250&lt;Deflactor!$BQ$299), Deflactor!$BP$298, IF(AND(AU250&gt;=Deflactor!$BQ$299,AU250&lt;Deflactor!$BQ$300), Deflactor!$BP$299, IF(AND(AU250&gt;=Deflactor!$BQ$300,AU250&lt;Deflactor!$BQ$301), Deflactor!$BP$300, IF(AND(AU250&gt;=Deflactor!$BQ$301,AU250&lt;Deflactor!$BQ$302), Deflactor!$BP$301, IF(AND(AU250&gt;=Deflactor!$BQ$302,AU250&lt;Deflactor!$BQ$303), Deflactor!$BP$302, IF(AND(AU250&gt;=Deflactor!$BQ$303,AU250&lt;Deflactor!$BQ$304), Deflactor!$BP$303, IF(AND(AU250&gt;=Deflactor!$BQ$304,AU250&lt;Deflactor!$BQ$305), Deflactor!$BP$304, IF(AND(AU250&gt;=Deflactor!$BQ$305,AU250&lt;Deflactor!$BQ$306), Deflactor!$BP$305, IF(AND(AU250&gt;=Deflactor!$BQ$306,AU250&lt;Deflactor!$BQ$307), Deflactor!$BP$306, Deflactor!$BP$307) ) ) ) ) ) ) ) ) )</f>
        <v>1</v>
      </c>
      <c r="AW250" s="57" t="str">
        <f>+IFERROR(VLOOKUP(AV250,Deflactor!$BP$298:$BU$307,6,0),"")</f>
        <v>2 millones USD y menos</v>
      </c>
    </row>
    <row r="251" spans="1:49" x14ac:dyDescent="0.3">
      <c r="A251" s="3">
        <v>2010</v>
      </c>
      <c r="B251" s="3" t="s">
        <v>325</v>
      </c>
      <c r="C251" s="3" t="s">
        <v>92</v>
      </c>
      <c r="D251" s="3" t="s">
        <v>36</v>
      </c>
      <c r="E251" s="3" t="s">
        <v>37</v>
      </c>
      <c r="F251" s="3" t="s">
        <v>89</v>
      </c>
      <c r="G251" s="3" t="s">
        <v>623</v>
      </c>
      <c r="H251" s="12">
        <v>1990</v>
      </c>
      <c r="I251" s="13" t="s">
        <v>623</v>
      </c>
      <c r="J251" s="10" t="s">
        <v>623</v>
      </c>
      <c r="K251" s="3" t="s">
        <v>2163</v>
      </c>
      <c r="L251" s="3" t="s">
        <v>1598</v>
      </c>
      <c r="M251" s="3" t="s">
        <v>1599</v>
      </c>
      <c r="N251" s="3" t="s">
        <v>1600</v>
      </c>
      <c r="O251" s="3" t="s">
        <v>1601</v>
      </c>
      <c r="P251" s="3" t="s">
        <v>1602</v>
      </c>
      <c r="Q251" s="3"/>
      <c r="R251" s="3" t="s">
        <v>1603</v>
      </c>
      <c r="S251" s="3" t="s">
        <v>1604</v>
      </c>
      <c r="T251" s="3" t="s">
        <v>1605</v>
      </c>
      <c r="U251" s="3" t="s">
        <v>1606</v>
      </c>
      <c r="V251" s="3"/>
      <c r="W251" s="10" t="str">
        <f>IF( J251="s.i", "s.i", IF(ISBLANK(J251),"Actualizando información",IFERROR(J251 / VLOOKUP(A251,Deflactor!$G$3:$H$64,2,0),"Revisar error" )))</f>
        <v>s.i</v>
      </c>
      <c r="AR251" s="34">
        <f xml:space="preserve"> 264306 * 1000</f>
        <v>264306000</v>
      </c>
      <c r="AT251" s="46">
        <f t="shared" si="9"/>
        <v>264306000</v>
      </c>
      <c r="AU251" s="54">
        <f xml:space="preserve"> IFERROR(ROUND(AT251 / VLOOKUP(A251,Tabla1[#All],2,0),0),"s.i")</f>
        <v>517865</v>
      </c>
      <c r="AV251" s="33">
        <f xml:space="preserve"> IF(AU251="s.i", "s.i", IF(AND(AU251&gt;=Deflactor!$BQ$298,AU251&lt;Deflactor!$BQ$299), Deflactor!$BP$298, IF(AND(AU251&gt;=Deflactor!$BQ$299,AU251&lt;Deflactor!$BQ$300), Deflactor!$BP$299, IF(AND(AU251&gt;=Deflactor!$BQ$300,AU251&lt;Deflactor!$BQ$301), Deflactor!$BP$300, IF(AND(AU251&gt;=Deflactor!$BQ$301,AU251&lt;Deflactor!$BQ$302), Deflactor!$BP$301, IF(AND(AU251&gt;=Deflactor!$BQ$302,AU251&lt;Deflactor!$BQ$303), Deflactor!$BP$302, IF(AND(AU251&gt;=Deflactor!$BQ$303,AU251&lt;Deflactor!$BQ$304), Deflactor!$BP$303, IF(AND(AU251&gt;=Deflactor!$BQ$304,AU251&lt;Deflactor!$BQ$305), Deflactor!$BP$304, IF(AND(AU251&gt;=Deflactor!$BQ$305,AU251&lt;Deflactor!$BQ$306), Deflactor!$BP$305, IF(AND(AU251&gt;=Deflactor!$BQ$306,AU251&lt;Deflactor!$BQ$307), Deflactor!$BP$306, Deflactor!$BP$307) ) ) ) ) ) ) ) ) )</f>
        <v>1</v>
      </c>
      <c r="AW251" s="57" t="str">
        <f>+IFERROR(VLOOKUP(AV251,Deflactor!$BP$298:$BU$307,6,0),"")</f>
        <v>2 millones USD y menos</v>
      </c>
    </row>
    <row r="252" spans="1:49" x14ac:dyDescent="0.3">
      <c r="A252" s="3">
        <v>2010</v>
      </c>
      <c r="B252" s="3" t="s">
        <v>326</v>
      </c>
      <c r="C252" s="3" t="s">
        <v>92</v>
      </c>
      <c r="D252" s="3" t="s">
        <v>36</v>
      </c>
      <c r="E252" s="3" t="s">
        <v>37</v>
      </c>
      <c r="F252" s="3" t="s">
        <v>89</v>
      </c>
      <c r="G252" s="3" t="s">
        <v>623</v>
      </c>
      <c r="H252" s="12">
        <v>1990</v>
      </c>
      <c r="I252" s="13" t="s">
        <v>623</v>
      </c>
      <c r="J252" s="10" t="s">
        <v>623</v>
      </c>
      <c r="K252" s="3" t="s">
        <v>1649</v>
      </c>
      <c r="L252" s="3" t="s">
        <v>1598</v>
      </c>
      <c r="M252" s="3" t="s">
        <v>1599</v>
      </c>
      <c r="N252" s="3" t="s">
        <v>1600</v>
      </c>
      <c r="O252" s="3" t="s">
        <v>1601</v>
      </c>
      <c r="P252" s="3" t="s">
        <v>1602</v>
      </c>
      <c r="Q252" s="3"/>
      <c r="R252" s="3" t="s">
        <v>1603</v>
      </c>
      <c r="S252" s="3" t="s">
        <v>1604</v>
      </c>
      <c r="T252" s="3" t="s">
        <v>1605</v>
      </c>
      <c r="U252" s="3" t="s">
        <v>1606</v>
      </c>
      <c r="V252" s="3"/>
      <c r="W252" s="10" t="str">
        <f>IF( J252="s.i", "s.i", IF(ISBLANK(J252),"Actualizando información",IFERROR(J252 / VLOOKUP(A252,Deflactor!$G$3:$H$64,2,0),"Revisar error" )))</f>
        <v>s.i</v>
      </c>
      <c r="AR252" s="34">
        <f xml:space="preserve"> (8981205 + 40600000) * 1000</f>
        <v>49581205000</v>
      </c>
      <c r="AT252" s="46">
        <f t="shared" si="9"/>
        <v>49581205000</v>
      </c>
      <c r="AU252" s="54">
        <f xml:space="preserve"> IFERROR(ROUND(AT252 / VLOOKUP(A252,Tabla1[#All],2,0),0),"s.i")</f>
        <v>97146306</v>
      </c>
      <c r="AV252" s="33">
        <f xml:space="preserve"> IF(AU252="s.i", "s.i", IF(AND(AU252&gt;=Deflactor!$BQ$298,AU252&lt;Deflactor!$BQ$299), Deflactor!$BP$298, IF(AND(AU252&gt;=Deflactor!$BQ$299,AU252&lt;Deflactor!$BQ$300), Deflactor!$BP$299, IF(AND(AU252&gt;=Deflactor!$BQ$300,AU252&lt;Deflactor!$BQ$301), Deflactor!$BP$300, IF(AND(AU252&gt;=Deflactor!$BQ$301,AU252&lt;Deflactor!$BQ$302), Deflactor!$BP$301, IF(AND(AU252&gt;=Deflactor!$BQ$302,AU252&lt;Deflactor!$BQ$303), Deflactor!$BP$302, IF(AND(AU252&gt;=Deflactor!$BQ$303,AU252&lt;Deflactor!$BQ$304), Deflactor!$BP$303, IF(AND(AU252&gt;=Deflactor!$BQ$304,AU252&lt;Deflactor!$BQ$305), Deflactor!$BP$304, IF(AND(AU252&gt;=Deflactor!$BQ$305,AU252&lt;Deflactor!$BQ$306), Deflactor!$BP$305, IF(AND(AU252&gt;=Deflactor!$BQ$306,AU252&lt;Deflactor!$BQ$307), Deflactor!$BP$306, Deflactor!$BP$307) ) ) ) ) ) ) ) ) )</f>
        <v>9</v>
      </c>
      <c r="AW252" s="57" t="str">
        <f>+IFERROR(VLOOKUP(AV252,Deflactor!$BP$298:$BU$307,6,0),"")</f>
        <v>50 a 100 millones USD</v>
      </c>
    </row>
    <row r="253" spans="1:49" x14ac:dyDescent="0.3">
      <c r="A253" s="3">
        <v>2010</v>
      </c>
      <c r="B253" s="3" t="s">
        <v>327</v>
      </c>
      <c r="C253" s="3" t="s">
        <v>92</v>
      </c>
      <c r="D253" s="3" t="s">
        <v>36</v>
      </c>
      <c r="E253" s="3" t="s">
        <v>37</v>
      </c>
      <c r="F253" s="3" t="s">
        <v>89</v>
      </c>
      <c r="G253" s="3" t="s">
        <v>623</v>
      </c>
      <c r="H253" s="12">
        <v>1990</v>
      </c>
      <c r="I253" s="13" t="s">
        <v>623</v>
      </c>
      <c r="J253" s="10" t="s">
        <v>623</v>
      </c>
      <c r="K253" s="3" t="s">
        <v>1649</v>
      </c>
      <c r="L253" s="3" t="s">
        <v>1598</v>
      </c>
      <c r="M253" s="3" t="s">
        <v>1599</v>
      </c>
      <c r="N253" s="3" t="s">
        <v>1600</v>
      </c>
      <c r="O253" s="3" t="s">
        <v>1601</v>
      </c>
      <c r="P253" s="3" t="s">
        <v>1602</v>
      </c>
      <c r="Q253" s="3"/>
      <c r="R253" s="3" t="s">
        <v>1603</v>
      </c>
      <c r="S253" s="3" t="s">
        <v>1604</v>
      </c>
      <c r="T253" s="3" t="s">
        <v>1605</v>
      </c>
      <c r="U253" s="3" t="s">
        <v>1606</v>
      </c>
      <c r="V253" s="3"/>
      <c r="W253" s="10" t="str">
        <f>IF( J253="s.i", "s.i", IF(ISBLANK(J253),"Actualizando información",IFERROR(J253 / VLOOKUP(A253,Deflactor!$G$3:$H$64,2,0),"Revisar error" )))</f>
        <v>s.i</v>
      </c>
      <c r="AR253" s="34"/>
      <c r="AT253" s="46"/>
      <c r="AU253" s="54"/>
      <c r="AV253" s="33">
        <f xml:space="preserve"> IF(AU253="s.i", "s.i", IF(AND(AU253&gt;=Deflactor!$BQ$298,AU253&lt;Deflactor!$BQ$299), Deflactor!$BP$298, IF(AND(AU253&gt;=Deflactor!$BQ$299,AU253&lt;Deflactor!$BQ$300), Deflactor!$BP$299, IF(AND(AU253&gt;=Deflactor!$BQ$300,AU253&lt;Deflactor!$BQ$301), Deflactor!$BP$300, IF(AND(AU253&gt;=Deflactor!$BQ$301,AU253&lt;Deflactor!$BQ$302), Deflactor!$BP$301, IF(AND(AU253&gt;=Deflactor!$BQ$302,AU253&lt;Deflactor!$BQ$303), Deflactor!$BP$302, IF(AND(AU253&gt;=Deflactor!$BQ$303,AU253&lt;Deflactor!$BQ$304), Deflactor!$BP$303, IF(AND(AU253&gt;=Deflactor!$BQ$304,AU253&lt;Deflactor!$BQ$305), Deflactor!$BP$304, IF(AND(AU253&gt;=Deflactor!$BQ$305,AU253&lt;Deflactor!$BQ$306), Deflactor!$BP$305, IF(AND(AU253&gt;=Deflactor!$BQ$306,AU253&lt;Deflactor!$BQ$307), Deflactor!$BP$306, Deflactor!$BP$307) ) ) ) ) ) ) ) ) )</f>
        <v>10</v>
      </c>
      <c r="AW253" s="57" t="str">
        <f>+IFERROR(VLOOKUP(AV253,Deflactor!$BP$298:$BU$307,6,0),"")</f>
        <v>100 millones USD y mas</v>
      </c>
    </row>
    <row r="254" spans="1:49" x14ac:dyDescent="0.3">
      <c r="A254" s="3">
        <v>2010</v>
      </c>
      <c r="B254" s="3" t="s">
        <v>328</v>
      </c>
      <c r="C254" s="3" t="s">
        <v>7</v>
      </c>
      <c r="D254" s="3" t="s">
        <v>36</v>
      </c>
      <c r="E254" s="3" t="s">
        <v>94</v>
      </c>
      <c r="F254" s="3" t="s">
        <v>329</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c r="AR254" s="10">
        <f xml:space="preserve"> 27706466 * 1000</f>
        <v>27706466000</v>
      </c>
      <c r="AT254" s="46">
        <f t="shared" si="9"/>
        <v>27706466000</v>
      </c>
      <c r="AU254" s="54">
        <f xml:space="preserve"> IFERROR(ROUND(AT254 / VLOOKUP(A254,Tabla1[#All],2,0),0),"s.i")</f>
        <v>54286313</v>
      </c>
      <c r="AV254" s="33">
        <f xml:space="preserve"> IF(AU254="s.i", "s.i", IF(AND(AU254&gt;=Deflactor!$BQ$298,AU254&lt;Deflactor!$BQ$299), Deflactor!$BP$298, IF(AND(AU254&gt;=Deflactor!$BQ$299,AU254&lt;Deflactor!$BQ$300), Deflactor!$BP$299, IF(AND(AU254&gt;=Deflactor!$BQ$300,AU254&lt;Deflactor!$BQ$301), Deflactor!$BP$300, IF(AND(AU254&gt;=Deflactor!$BQ$301,AU254&lt;Deflactor!$BQ$302), Deflactor!$BP$301, IF(AND(AU254&gt;=Deflactor!$BQ$302,AU254&lt;Deflactor!$BQ$303), Deflactor!$BP$302, IF(AND(AU254&gt;=Deflactor!$BQ$303,AU254&lt;Deflactor!$BQ$304), Deflactor!$BP$303, IF(AND(AU254&gt;=Deflactor!$BQ$304,AU254&lt;Deflactor!$BQ$305), Deflactor!$BP$304, IF(AND(AU254&gt;=Deflactor!$BQ$305,AU254&lt;Deflactor!$BQ$306), Deflactor!$BP$305, IF(AND(AU254&gt;=Deflactor!$BQ$306,AU254&lt;Deflactor!$BQ$307), Deflactor!$BP$306, Deflactor!$BP$307) ) ) ) ) ) ) ) ) )</f>
        <v>9</v>
      </c>
      <c r="AW254" s="57" t="str">
        <f>+IFERROR(VLOOKUP(AV254,Deflactor!$BP$298:$BU$307,6,0),"")</f>
        <v>50 a 100 millones USD</v>
      </c>
    </row>
    <row r="255" spans="1:49" x14ac:dyDescent="0.3">
      <c r="A255" s="3">
        <v>2010</v>
      </c>
      <c r="B255" s="3" t="s">
        <v>330</v>
      </c>
      <c r="C255" s="3" t="s">
        <v>7</v>
      </c>
      <c r="D255" s="3" t="s">
        <v>36</v>
      </c>
      <c r="E255" s="3" t="s">
        <v>94</v>
      </c>
      <c r="F255" s="3" t="s">
        <v>329</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c r="AR255" s="10">
        <f xml:space="preserve"> 27706466 * 1000</f>
        <v>27706466000</v>
      </c>
      <c r="AT255" s="46">
        <f t="shared" si="9"/>
        <v>27706466000</v>
      </c>
      <c r="AU255" s="54">
        <f xml:space="preserve"> IFERROR(ROUND(AT255 / VLOOKUP(A255,Tabla1[#All],2,0),0),"s.i")</f>
        <v>54286313</v>
      </c>
      <c r="AV255" s="33">
        <f xml:space="preserve"> IF(AU255="s.i", "s.i", IF(AND(AU255&gt;=Deflactor!$BQ$298,AU255&lt;Deflactor!$BQ$299), Deflactor!$BP$298, IF(AND(AU255&gt;=Deflactor!$BQ$299,AU255&lt;Deflactor!$BQ$300), Deflactor!$BP$299, IF(AND(AU255&gt;=Deflactor!$BQ$300,AU255&lt;Deflactor!$BQ$301), Deflactor!$BP$300, IF(AND(AU255&gt;=Deflactor!$BQ$301,AU255&lt;Deflactor!$BQ$302), Deflactor!$BP$301, IF(AND(AU255&gt;=Deflactor!$BQ$302,AU255&lt;Deflactor!$BQ$303), Deflactor!$BP$302, IF(AND(AU255&gt;=Deflactor!$BQ$303,AU255&lt;Deflactor!$BQ$304), Deflactor!$BP$303, IF(AND(AU255&gt;=Deflactor!$BQ$304,AU255&lt;Deflactor!$BQ$305), Deflactor!$BP$304, IF(AND(AU255&gt;=Deflactor!$BQ$305,AU255&lt;Deflactor!$BQ$306), Deflactor!$BP$305, IF(AND(AU255&gt;=Deflactor!$BQ$306,AU255&lt;Deflactor!$BQ$307), Deflactor!$BP$306, Deflactor!$BP$307) ) ) ) ) ) ) ) ) )</f>
        <v>9</v>
      </c>
      <c r="AW255" s="57" t="str">
        <f>+IFERROR(VLOOKUP(AV255,Deflactor!$BP$298:$BU$307,6,0),"")</f>
        <v>50 a 100 millones USD</v>
      </c>
    </row>
    <row r="256" spans="1:49" x14ac:dyDescent="0.3">
      <c r="A256" s="3">
        <v>2010</v>
      </c>
      <c r="B256" s="3" t="s">
        <v>331</v>
      </c>
      <c r="C256" s="3" t="s">
        <v>7</v>
      </c>
      <c r="D256" s="3" t="s">
        <v>36</v>
      </c>
      <c r="E256" s="3" t="s">
        <v>94</v>
      </c>
      <c r="F256" s="3" t="s">
        <v>329</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c r="AR256" s="10">
        <f xml:space="preserve"> 27706466 * 1000</f>
        <v>27706466000</v>
      </c>
      <c r="AT256" s="46">
        <f t="shared" si="9"/>
        <v>27706466000</v>
      </c>
      <c r="AU256" s="54">
        <f xml:space="preserve"> IFERROR(ROUND(AT256 / VLOOKUP(A256,Tabla1[#All],2,0),0),"s.i")</f>
        <v>54286313</v>
      </c>
      <c r="AV256" s="33">
        <f xml:space="preserve"> IF(AU256="s.i", "s.i", IF(AND(AU256&gt;=Deflactor!$BQ$298,AU256&lt;Deflactor!$BQ$299), Deflactor!$BP$298, IF(AND(AU256&gt;=Deflactor!$BQ$299,AU256&lt;Deflactor!$BQ$300), Deflactor!$BP$299, IF(AND(AU256&gt;=Deflactor!$BQ$300,AU256&lt;Deflactor!$BQ$301), Deflactor!$BP$300, IF(AND(AU256&gt;=Deflactor!$BQ$301,AU256&lt;Deflactor!$BQ$302), Deflactor!$BP$301, IF(AND(AU256&gt;=Deflactor!$BQ$302,AU256&lt;Deflactor!$BQ$303), Deflactor!$BP$302, IF(AND(AU256&gt;=Deflactor!$BQ$303,AU256&lt;Deflactor!$BQ$304), Deflactor!$BP$303, IF(AND(AU256&gt;=Deflactor!$BQ$304,AU256&lt;Deflactor!$BQ$305), Deflactor!$BP$304, IF(AND(AU256&gt;=Deflactor!$BQ$305,AU256&lt;Deflactor!$BQ$306), Deflactor!$BP$305, IF(AND(AU256&gt;=Deflactor!$BQ$306,AU256&lt;Deflactor!$BQ$307), Deflactor!$BP$306, Deflactor!$BP$307) ) ) ) ) ) ) ) ) )</f>
        <v>9</v>
      </c>
      <c r="AW256" s="57" t="str">
        <f>+IFERROR(VLOOKUP(AV256,Deflactor!$BP$298:$BU$307,6,0),"")</f>
        <v>50 a 100 millones USD</v>
      </c>
    </row>
    <row r="257" spans="1:49" x14ac:dyDescent="0.3">
      <c r="A257" s="3">
        <v>2010</v>
      </c>
      <c r="B257" s="3" t="s">
        <v>332</v>
      </c>
      <c r="C257" s="3" t="s">
        <v>92</v>
      </c>
      <c r="D257" s="3" t="s">
        <v>36</v>
      </c>
      <c r="E257" s="3" t="s">
        <v>81</v>
      </c>
      <c r="F257" s="3" t="s">
        <v>95</v>
      </c>
      <c r="G257" s="3" t="s">
        <v>623</v>
      </c>
      <c r="H257" s="12">
        <v>1990</v>
      </c>
      <c r="I257" s="13" t="s">
        <v>623</v>
      </c>
      <c r="J257" s="10" t="s">
        <v>623</v>
      </c>
      <c r="K257" s="3" t="s">
        <v>1649</v>
      </c>
      <c r="L257" s="3" t="s">
        <v>1598</v>
      </c>
      <c r="M257" s="3" t="s">
        <v>1599</v>
      </c>
      <c r="N257" s="3" t="s">
        <v>1600</v>
      </c>
      <c r="O257" s="3" t="s">
        <v>1601</v>
      </c>
      <c r="P257" s="3" t="s">
        <v>1602</v>
      </c>
      <c r="Q257" s="3"/>
      <c r="R257" s="3" t="s">
        <v>1603</v>
      </c>
      <c r="S257" s="3" t="s">
        <v>1604</v>
      </c>
      <c r="T257" s="3" t="s">
        <v>1605</v>
      </c>
      <c r="U257" s="3" t="s">
        <v>1606</v>
      </c>
      <c r="V257" s="3"/>
      <c r="W257" s="10" t="str">
        <f>IF( J257="s.i", "s.i", IF(ISBLANK(J257),"Actualizando información",IFERROR(J257 / VLOOKUP(A257,Deflactor!$G$3:$H$64,2,0),"Revisar error" )))</f>
        <v>s.i</v>
      </c>
      <c r="AR257" s="34">
        <f xml:space="preserve"> 18270000 * 1000</f>
        <v>18270000000</v>
      </c>
      <c r="AT257" s="46">
        <f t="shared" si="9"/>
        <v>18270000000</v>
      </c>
      <c r="AU257" s="54">
        <f xml:space="preserve"> IFERROR(ROUND(AT257 / VLOOKUP(A257,Tabla1[#All],2,0),0),"s.i")</f>
        <v>35797093</v>
      </c>
      <c r="AV257" s="33">
        <f xml:space="preserve"> IF(AU257="s.i", "s.i", IF(AND(AU257&gt;=Deflactor!$BQ$298,AU257&lt;Deflactor!$BQ$299), Deflactor!$BP$298, IF(AND(AU257&gt;=Deflactor!$BQ$299,AU257&lt;Deflactor!$BQ$300), Deflactor!$BP$299, IF(AND(AU257&gt;=Deflactor!$BQ$300,AU257&lt;Deflactor!$BQ$301), Deflactor!$BP$300, IF(AND(AU257&gt;=Deflactor!$BQ$301,AU257&lt;Deflactor!$BQ$302), Deflactor!$BP$301, IF(AND(AU257&gt;=Deflactor!$BQ$302,AU257&lt;Deflactor!$BQ$303), Deflactor!$BP$302, IF(AND(AU257&gt;=Deflactor!$BQ$303,AU257&lt;Deflactor!$BQ$304), Deflactor!$BP$303, IF(AND(AU257&gt;=Deflactor!$BQ$304,AU257&lt;Deflactor!$BQ$305), Deflactor!$BP$304, IF(AND(AU257&gt;=Deflactor!$BQ$305,AU257&lt;Deflactor!$BQ$306), Deflactor!$BP$305, IF(AND(AU257&gt;=Deflactor!$BQ$306,AU257&lt;Deflactor!$BQ$307), Deflactor!$BP$306, Deflactor!$BP$307) ) ) ) ) ) ) ) ) )</f>
        <v>8</v>
      </c>
      <c r="AW257" s="57" t="str">
        <f>+IFERROR(VLOOKUP(AV257,Deflactor!$BP$298:$BU$307,6,0),"")</f>
        <v>30 a 50 millones USD</v>
      </c>
    </row>
    <row r="258" spans="1:49" x14ac:dyDescent="0.3">
      <c r="A258" s="3">
        <v>2010</v>
      </c>
      <c r="B258" s="3" t="s">
        <v>333</v>
      </c>
      <c r="C258" s="3" t="s">
        <v>7</v>
      </c>
      <c r="D258" s="3" t="s">
        <v>71</v>
      </c>
      <c r="E258" s="3" t="s">
        <v>167</v>
      </c>
      <c r="F258" s="3" t="s">
        <v>329</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c r="AR258" s="34"/>
      <c r="AT258" s="46"/>
      <c r="AU258" s="54"/>
      <c r="AV258" s="33">
        <f xml:space="preserve"> IF(AU258="s.i", "s.i", IF(AND(AU258&gt;=Deflactor!$BQ$298,AU258&lt;Deflactor!$BQ$299), Deflactor!$BP$298, IF(AND(AU258&gt;=Deflactor!$BQ$299,AU258&lt;Deflactor!$BQ$300), Deflactor!$BP$299, IF(AND(AU258&gt;=Deflactor!$BQ$300,AU258&lt;Deflactor!$BQ$301), Deflactor!$BP$300, IF(AND(AU258&gt;=Deflactor!$BQ$301,AU258&lt;Deflactor!$BQ$302), Deflactor!$BP$301, IF(AND(AU258&gt;=Deflactor!$BQ$302,AU258&lt;Deflactor!$BQ$303), Deflactor!$BP$302, IF(AND(AU258&gt;=Deflactor!$BQ$303,AU258&lt;Deflactor!$BQ$304), Deflactor!$BP$303, IF(AND(AU258&gt;=Deflactor!$BQ$304,AU258&lt;Deflactor!$BQ$305), Deflactor!$BP$304, IF(AND(AU258&gt;=Deflactor!$BQ$305,AU258&lt;Deflactor!$BQ$306), Deflactor!$BP$305, IF(AND(AU258&gt;=Deflactor!$BQ$306,AU258&lt;Deflactor!$BQ$307), Deflactor!$BP$306, Deflactor!$BP$307) ) ) ) ) ) ) ) ) )</f>
        <v>10</v>
      </c>
      <c r="AW258" s="57" t="str">
        <f>+IFERROR(VLOOKUP(AV258,Deflactor!$BP$298:$BU$307,6,0),"")</f>
        <v>100 millones USD y mas</v>
      </c>
    </row>
    <row r="259" spans="1:49" x14ac:dyDescent="0.3">
      <c r="A259" s="3">
        <v>2010</v>
      </c>
      <c r="B259" s="3" t="s">
        <v>334</v>
      </c>
      <c r="C259" s="3" t="s">
        <v>155</v>
      </c>
      <c r="D259" s="3" t="s">
        <v>54</v>
      </c>
      <c r="E259" s="3" t="s">
        <v>335</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c r="AR259" s="34"/>
      <c r="AT259" s="46">
        <f>'Notas reunion'!T60</f>
        <v>6210093000</v>
      </c>
      <c r="AU259" s="54">
        <f xml:space="preserve"> IFERROR(ROUND(AT259 / VLOOKUP(A259,Tabla1[#All],2,0),0),"s.i")</f>
        <v>12167667</v>
      </c>
      <c r="AV259" s="33">
        <f xml:space="preserve"> IF(AU259="s.i", "s.i", IF(AND(AU259&gt;=Deflactor!$BQ$298,AU259&lt;Deflactor!$BQ$299), Deflactor!$BP$298, IF(AND(AU259&gt;=Deflactor!$BQ$299,AU259&lt;Deflactor!$BQ$300), Deflactor!$BP$299, IF(AND(AU259&gt;=Deflactor!$BQ$300,AU259&lt;Deflactor!$BQ$301), Deflactor!$BP$300, IF(AND(AU259&gt;=Deflactor!$BQ$301,AU259&lt;Deflactor!$BQ$302), Deflactor!$BP$301, IF(AND(AU259&gt;=Deflactor!$BQ$302,AU259&lt;Deflactor!$BQ$303), Deflactor!$BP$302, IF(AND(AU259&gt;=Deflactor!$BQ$303,AU259&lt;Deflactor!$BQ$304), Deflactor!$BP$303, IF(AND(AU259&gt;=Deflactor!$BQ$304,AU259&lt;Deflactor!$BQ$305), Deflactor!$BP$304, IF(AND(AU259&gt;=Deflactor!$BQ$305,AU259&lt;Deflactor!$BQ$306), Deflactor!$BP$305, IF(AND(AU259&gt;=Deflactor!$BQ$306,AU259&lt;Deflactor!$BQ$307), Deflactor!$BP$306, Deflactor!$BP$307) ) ) ) ) ) ) ) ) )</f>
        <v>5</v>
      </c>
      <c r="AW259" s="57" t="str">
        <f>+IFERROR(VLOOKUP(AV259,Deflactor!$BP$298:$BU$307,6,0),"")</f>
        <v>10 a 15 millones USD</v>
      </c>
    </row>
    <row r="260" spans="1:49" x14ac:dyDescent="0.3">
      <c r="A260" s="3">
        <v>2010</v>
      </c>
      <c r="B260" s="3" t="s">
        <v>336</v>
      </c>
      <c r="C260" s="3" t="s">
        <v>7</v>
      </c>
      <c r="D260" s="3" t="s">
        <v>54</v>
      </c>
      <c r="E260" s="3" t="s">
        <v>236</v>
      </c>
      <c r="F260" s="3" t="s">
        <v>329</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c r="AR260" s="34"/>
      <c r="AT260" s="46"/>
      <c r="AU260" s="54"/>
      <c r="AV260" s="33">
        <f xml:space="preserve"> IF(AU260="s.i", "s.i", IF(AND(AU260&gt;=Deflactor!$BQ$298,AU260&lt;Deflactor!$BQ$299), Deflactor!$BP$298, IF(AND(AU260&gt;=Deflactor!$BQ$299,AU260&lt;Deflactor!$BQ$300), Deflactor!$BP$299, IF(AND(AU260&gt;=Deflactor!$BQ$300,AU260&lt;Deflactor!$BQ$301), Deflactor!$BP$300, IF(AND(AU260&gt;=Deflactor!$BQ$301,AU260&lt;Deflactor!$BQ$302), Deflactor!$BP$301, IF(AND(AU260&gt;=Deflactor!$BQ$302,AU260&lt;Deflactor!$BQ$303), Deflactor!$BP$302, IF(AND(AU260&gt;=Deflactor!$BQ$303,AU260&lt;Deflactor!$BQ$304), Deflactor!$BP$303, IF(AND(AU260&gt;=Deflactor!$BQ$304,AU260&lt;Deflactor!$BQ$305), Deflactor!$BP$304, IF(AND(AU260&gt;=Deflactor!$BQ$305,AU260&lt;Deflactor!$BQ$306), Deflactor!$BP$305, IF(AND(AU260&gt;=Deflactor!$BQ$306,AU260&lt;Deflactor!$BQ$307), Deflactor!$BP$306, Deflactor!$BP$307) ) ) ) ) ) ) ) ) )</f>
        <v>10</v>
      </c>
      <c r="AW260" s="57" t="str">
        <f>+IFERROR(VLOOKUP(AV260,Deflactor!$BP$298:$BU$307,6,0),"")</f>
        <v>100 millones USD y mas</v>
      </c>
    </row>
    <row r="261" spans="1:49" x14ac:dyDescent="0.3">
      <c r="A261" s="3">
        <v>2010</v>
      </c>
      <c r="B261" s="3" t="s">
        <v>337</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c r="AR261" s="10">
        <f xml:space="preserve"> (1379528 + 2224947) * 1000</f>
        <v>3604475000</v>
      </c>
      <c r="AT261" s="46">
        <f t="shared" ref="AT261:AT309" si="12">AR261</f>
        <v>3604475000</v>
      </c>
      <c r="AU261" s="54">
        <f xml:space="preserve"> IFERROR(ROUND(AT261 / VLOOKUP(A261,Tabla1[#All],2,0),0),"s.i")</f>
        <v>7062382</v>
      </c>
      <c r="AV261" s="33">
        <f xml:space="preserve"> IF(AU261="s.i", "s.i", IF(AND(AU261&gt;=Deflactor!$BQ$298,AU261&lt;Deflactor!$BQ$299), Deflactor!$BP$298, IF(AND(AU261&gt;=Deflactor!$BQ$299,AU261&lt;Deflactor!$BQ$300), Deflactor!$BP$299, IF(AND(AU261&gt;=Deflactor!$BQ$300,AU261&lt;Deflactor!$BQ$301), Deflactor!$BP$300, IF(AND(AU261&gt;=Deflactor!$BQ$301,AU261&lt;Deflactor!$BQ$302), Deflactor!$BP$301, IF(AND(AU261&gt;=Deflactor!$BQ$302,AU261&lt;Deflactor!$BQ$303), Deflactor!$BP$302, IF(AND(AU261&gt;=Deflactor!$BQ$303,AU261&lt;Deflactor!$BQ$304), Deflactor!$BP$303, IF(AND(AU261&gt;=Deflactor!$BQ$304,AU261&lt;Deflactor!$BQ$305), Deflactor!$BP$304, IF(AND(AU261&gt;=Deflactor!$BQ$305,AU261&lt;Deflactor!$BQ$306), Deflactor!$BP$305, IF(AND(AU261&gt;=Deflactor!$BQ$306,AU261&lt;Deflactor!$BQ$307), Deflactor!$BP$306, Deflactor!$BP$307) ) ) ) ) ) ) ) ) )</f>
        <v>3</v>
      </c>
      <c r="AW261" s="57" t="str">
        <f>+IFERROR(VLOOKUP(AV261,Deflactor!$BP$298:$BU$307,6,0),"")</f>
        <v>5 a 7,5 millones USD</v>
      </c>
    </row>
    <row r="262" spans="1:49" x14ac:dyDescent="0.3">
      <c r="A262" s="3">
        <v>2010</v>
      </c>
      <c r="B262" s="3" t="s">
        <v>338</v>
      </c>
      <c r="C262" s="3" t="s">
        <v>7</v>
      </c>
      <c r="D262" s="3" t="s">
        <v>32</v>
      </c>
      <c r="E262" s="3" t="s">
        <v>33</v>
      </c>
      <c r="F262" s="3" t="s">
        <v>329</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c r="AR262" s="10">
        <f xml:space="preserve"> 25374999 * 1000</f>
        <v>25374999000</v>
      </c>
      <c r="AT262" s="46">
        <f t="shared" si="12"/>
        <v>25374999000</v>
      </c>
      <c r="AU262" s="54">
        <f xml:space="preserve"> IFERROR(ROUND(AT262 / VLOOKUP(A262,Tabla1[#All],2,0),0),"s.i")</f>
        <v>49718183</v>
      </c>
      <c r="AV262" s="33">
        <f xml:space="preserve"> IF(AU262="s.i", "s.i", IF(AND(AU262&gt;=Deflactor!$BQ$298,AU262&lt;Deflactor!$BQ$299), Deflactor!$BP$298, IF(AND(AU262&gt;=Deflactor!$BQ$299,AU262&lt;Deflactor!$BQ$300), Deflactor!$BP$299, IF(AND(AU262&gt;=Deflactor!$BQ$300,AU262&lt;Deflactor!$BQ$301), Deflactor!$BP$300, IF(AND(AU262&gt;=Deflactor!$BQ$301,AU262&lt;Deflactor!$BQ$302), Deflactor!$BP$301, IF(AND(AU262&gt;=Deflactor!$BQ$302,AU262&lt;Deflactor!$BQ$303), Deflactor!$BP$302, IF(AND(AU262&gt;=Deflactor!$BQ$303,AU262&lt;Deflactor!$BQ$304), Deflactor!$BP$303, IF(AND(AU262&gt;=Deflactor!$BQ$304,AU262&lt;Deflactor!$BQ$305), Deflactor!$BP$304, IF(AND(AU262&gt;=Deflactor!$BQ$305,AU262&lt;Deflactor!$BQ$306), Deflactor!$BP$305, IF(AND(AU262&gt;=Deflactor!$BQ$306,AU262&lt;Deflactor!$BQ$307), Deflactor!$BP$306, Deflactor!$BP$307) ) ) ) ) ) ) ) ) )</f>
        <v>8</v>
      </c>
      <c r="AW262" s="57" t="str">
        <f>+IFERROR(VLOOKUP(AV262,Deflactor!$BP$298:$BU$307,6,0),"")</f>
        <v>30 a 50 millones USD</v>
      </c>
    </row>
    <row r="263" spans="1:49" x14ac:dyDescent="0.3">
      <c r="A263" s="3">
        <v>2010</v>
      </c>
      <c r="B263" s="3" t="s">
        <v>339</v>
      </c>
      <c r="C263" s="3" t="s">
        <v>7</v>
      </c>
      <c r="D263" s="3" t="s">
        <v>32</v>
      </c>
      <c r="E263" s="3" t="s">
        <v>33</v>
      </c>
      <c r="F263" s="3" t="s">
        <v>310</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c r="AR263" s="34"/>
      <c r="AT263" s="46"/>
      <c r="AU263" s="54"/>
      <c r="AV263" s="33">
        <f xml:space="preserve"> IF(AU263="s.i", "s.i", IF(AND(AU263&gt;=Deflactor!$BQ$298,AU263&lt;Deflactor!$BQ$299), Deflactor!$BP$298, IF(AND(AU263&gt;=Deflactor!$BQ$299,AU263&lt;Deflactor!$BQ$300), Deflactor!$BP$299, IF(AND(AU263&gt;=Deflactor!$BQ$300,AU263&lt;Deflactor!$BQ$301), Deflactor!$BP$300, IF(AND(AU263&gt;=Deflactor!$BQ$301,AU263&lt;Deflactor!$BQ$302), Deflactor!$BP$301, IF(AND(AU263&gt;=Deflactor!$BQ$302,AU263&lt;Deflactor!$BQ$303), Deflactor!$BP$302, IF(AND(AU263&gt;=Deflactor!$BQ$303,AU263&lt;Deflactor!$BQ$304), Deflactor!$BP$303, IF(AND(AU263&gt;=Deflactor!$BQ$304,AU263&lt;Deflactor!$BQ$305), Deflactor!$BP$304, IF(AND(AU263&gt;=Deflactor!$BQ$305,AU263&lt;Deflactor!$BQ$306), Deflactor!$BP$305, IF(AND(AU263&gt;=Deflactor!$BQ$306,AU263&lt;Deflactor!$BQ$307), Deflactor!$BP$306, Deflactor!$BP$307) ) ) ) ) ) ) ) ) )</f>
        <v>10</v>
      </c>
      <c r="AW263" s="57" t="str">
        <f>+IFERROR(VLOOKUP(AV263,Deflactor!$BP$298:$BU$307,6,0),"")</f>
        <v>100 millones USD y mas</v>
      </c>
    </row>
    <row r="264" spans="1:49" x14ac:dyDescent="0.3">
      <c r="A264" s="3">
        <v>2010</v>
      </c>
      <c r="B264" s="3" t="s">
        <v>340</v>
      </c>
      <c r="C264" s="3" t="s">
        <v>7</v>
      </c>
      <c r="D264" s="3" t="s">
        <v>290</v>
      </c>
      <c r="E264" s="3" t="s">
        <v>21</v>
      </c>
      <c r="F264" s="3" t="s">
        <v>308</v>
      </c>
      <c r="G264" s="3" t="s">
        <v>903</v>
      </c>
      <c r="H264" s="12">
        <v>2007</v>
      </c>
      <c r="I264" s="13">
        <v>2011</v>
      </c>
      <c r="J264" s="10">
        <f xml:space="preserve"> 13905 * 1000000</f>
        <v>13905000000</v>
      </c>
      <c r="K264" s="3" t="s">
        <v>861</v>
      </c>
      <c r="L264" s="3" t="s">
        <v>904</v>
      </c>
      <c r="M264" s="3" t="s">
        <v>905</v>
      </c>
      <c r="N264" s="3" t="s">
        <v>906</v>
      </c>
      <c r="O264" s="3" t="s">
        <v>907</v>
      </c>
      <c r="P264" s="3" t="s">
        <v>908</v>
      </c>
      <c r="Q264" s="3" t="s">
        <v>894</v>
      </c>
      <c r="R264" s="11" t="s">
        <v>909</v>
      </c>
      <c r="S264" s="11" t="s">
        <v>910</v>
      </c>
      <c r="T264" s="11" t="s">
        <v>911</v>
      </c>
      <c r="U264" s="3" t="s">
        <v>1142</v>
      </c>
      <c r="V264" s="3"/>
      <c r="W264" s="10">
        <f>IF( J264="s.i", "s.i", IF(ISBLANK(J264),"Actualizando información",IFERROR(J264 / VLOOKUP(A264,Deflactor!$G$3:$H$64,2,0),"Revisar error" )))</f>
        <v>14786501880.608461</v>
      </c>
      <c r="AR264" s="34">
        <f xml:space="preserve"> (7807594 + 5375466) * 1000</f>
        <v>13183060000</v>
      </c>
      <c r="AT264" s="46">
        <f t="shared" si="12"/>
        <v>13183060000</v>
      </c>
      <c r="AU264" s="54">
        <f xml:space="preserve"> IFERROR(ROUND(AT264 / VLOOKUP(A264,Tabla1[#All],2,0),0),"s.i")</f>
        <v>25830062</v>
      </c>
      <c r="AV264" s="33">
        <f xml:space="preserve"> IF(AU264="s.i", "s.i", IF(AND(AU264&gt;=Deflactor!$BQ$298,AU264&lt;Deflactor!$BQ$299), Deflactor!$BP$298, IF(AND(AU264&gt;=Deflactor!$BQ$299,AU264&lt;Deflactor!$BQ$300), Deflactor!$BP$299, IF(AND(AU264&gt;=Deflactor!$BQ$300,AU264&lt;Deflactor!$BQ$301), Deflactor!$BP$300, IF(AND(AU264&gt;=Deflactor!$BQ$301,AU264&lt;Deflactor!$BQ$302), Deflactor!$BP$301, IF(AND(AU264&gt;=Deflactor!$BQ$302,AU264&lt;Deflactor!$BQ$303), Deflactor!$BP$302, IF(AND(AU264&gt;=Deflactor!$BQ$303,AU264&lt;Deflactor!$BQ$304), Deflactor!$BP$303, IF(AND(AU264&gt;=Deflactor!$BQ$304,AU264&lt;Deflactor!$BQ$305), Deflactor!$BP$304, IF(AND(AU264&gt;=Deflactor!$BQ$305,AU264&lt;Deflactor!$BQ$306), Deflactor!$BP$305, IF(AND(AU264&gt;=Deflactor!$BQ$306,AU264&lt;Deflactor!$BQ$307), Deflactor!$BP$306, Deflactor!$BP$307) ) ) ) ) ) ) ) ) )</f>
        <v>7</v>
      </c>
      <c r="AW264" s="57" t="str">
        <f>+IFERROR(VLOOKUP(AV264,Deflactor!$BP$298:$BU$307,6,0),"")</f>
        <v>20 a 30 millones USD</v>
      </c>
    </row>
    <row r="265" spans="1:49" x14ac:dyDescent="0.3">
      <c r="A265" s="3">
        <v>2010</v>
      </c>
      <c r="B265" s="3" t="s">
        <v>341</v>
      </c>
      <c r="C265" s="3" t="s">
        <v>92</v>
      </c>
      <c r="D265" s="3" t="s">
        <v>36</v>
      </c>
      <c r="E265" s="3" t="s">
        <v>37</v>
      </c>
      <c r="F265" s="3" t="s">
        <v>89</v>
      </c>
      <c r="G265" s="3" t="s">
        <v>723</v>
      </c>
      <c r="H265" s="12">
        <v>1998</v>
      </c>
      <c r="I265" s="13" t="s">
        <v>623</v>
      </c>
      <c r="J265" s="10">
        <f xml:space="preserve"> 141370509 * 1000</f>
        <v>141370509000</v>
      </c>
      <c r="K265" s="3" t="s">
        <v>1666</v>
      </c>
      <c r="L265" s="3" t="s">
        <v>1587</v>
      </c>
      <c r="M265" s="3" t="s">
        <v>1588</v>
      </c>
      <c r="N265" s="3" t="s">
        <v>1607</v>
      </c>
      <c r="O265" s="3"/>
      <c r="P265" s="3"/>
      <c r="Q265" s="3"/>
      <c r="R265" s="3" t="s">
        <v>1590</v>
      </c>
      <c r="S265" s="3" t="s">
        <v>1590</v>
      </c>
      <c r="T265" s="3" t="s">
        <v>1591</v>
      </c>
      <c r="U265" s="3" t="s">
        <v>1608</v>
      </c>
      <c r="V265" s="3"/>
      <c r="W265" s="10">
        <f>IF( J265="s.i", "s.i", IF(ISBLANK(J265),"Actualizando información",IFERROR(J265 / VLOOKUP(A265,Deflactor!$G$3:$H$64,2,0),"Revisar error" )))</f>
        <v>150332635540.5304</v>
      </c>
      <c r="AR265" s="34">
        <f xml:space="preserve"> 132129142 * 1000</f>
        <v>132129142000</v>
      </c>
      <c r="AT265" s="46">
        <f t="shared" si="12"/>
        <v>132129142000</v>
      </c>
      <c r="AU265" s="54">
        <f xml:space="preserve"> IFERROR(ROUND(AT265 / VLOOKUP(A265,Tabla1[#All],2,0),0),"s.i")</f>
        <v>258885559</v>
      </c>
      <c r="AV265" s="33">
        <f xml:space="preserve"> IF(AU265="s.i", "s.i", IF(AND(AU265&gt;=Deflactor!$BQ$298,AU265&lt;Deflactor!$BQ$299), Deflactor!$BP$298, IF(AND(AU265&gt;=Deflactor!$BQ$299,AU265&lt;Deflactor!$BQ$300), Deflactor!$BP$299, IF(AND(AU265&gt;=Deflactor!$BQ$300,AU265&lt;Deflactor!$BQ$301), Deflactor!$BP$300, IF(AND(AU265&gt;=Deflactor!$BQ$301,AU265&lt;Deflactor!$BQ$302), Deflactor!$BP$301, IF(AND(AU265&gt;=Deflactor!$BQ$302,AU265&lt;Deflactor!$BQ$303), Deflactor!$BP$302, IF(AND(AU265&gt;=Deflactor!$BQ$303,AU265&lt;Deflactor!$BQ$304), Deflactor!$BP$303, IF(AND(AU265&gt;=Deflactor!$BQ$304,AU265&lt;Deflactor!$BQ$305), Deflactor!$BP$304, IF(AND(AU265&gt;=Deflactor!$BQ$305,AU265&lt;Deflactor!$BQ$306), Deflactor!$BP$305, IF(AND(AU265&gt;=Deflactor!$BQ$306,AU265&lt;Deflactor!$BQ$307), Deflactor!$BP$306, Deflactor!$BP$307) ) ) ) ) ) ) ) ) )</f>
        <v>10</v>
      </c>
      <c r="AW265" s="57" t="str">
        <f>+IFERROR(VLOOKUP(AV265,Deflactor!$BP$298:$BU$307,6,0),"")</f>
        <v>100 millones USD y mas</v>
      </c>
    </row>
    <row r="266" spans="1:49" x14ac:dyDescent="0.3">
      <c r="A266" s="3">
        <v>2010</v>
      </c>
      <c r="B266" s="3" t="s">
        <v>342</v>
      </c>
      <c r="C266" s="3" t="s">
        <v>7</v>
      </c>
      <c r="D266" s="3" t="s">
        <v>290</v>
      </c>
      <c r="E266" s="3" t="s">
        <v>291</v>
      </c>
      <c r="F266" s="3" t="s">
        <v>310</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c r="AR266" s="10">
        <f xml:space="preserve"> 11728561 * 1000</f>
        <v>11728561000</v>
      </c>
      <c r="AT266" s="46">
        <f t="shared" si="12"/>
        <v>11728561000</v>
      </c>
      <c r="AU266" s="54">
        <f xml:space="preserve"> IFERROR(ROUND(AT266 / VLOOKUP(A266,Tabla1[#All],2,0),0),"s.i")</f>
        <v>22980207</v>
      </c>
      <c r="AV266" s="33">
        <f xml:space="preserve"> IF(AU266="s.i", "s.i", IF(AND(AU266&gt;=Deflactor!$BQ$298,AU266&lt;Deflactor!$BQ$299), Deflactor!$BP$298, IF(AND(AU266&gt;=Deflactor!$BQ$299,AU266&lt;Deflactor!$BQ$300), Deflactor!$BP$299, IF(AND(AU266&gt;=Deflactor!$BQ$300,AU266&lt;Deflactor!$BQ$301), Deflactor!$BP$300, IF(AND(AU266&gt;=Deflactor!$BQ$301,AU266&lt;Deflactor!$BQ$302), Deflactor!$BP$301, IF(AND(AU266&gt;=Deflactor!$BQ$302,AU266&lt;Deflactor!$BQ$303), Deflactor!$BP$302, IF(AND(AU266&gt;=Deflactor!$BQ$303,AU266&lt;Deflactor!$BQ$304), Deflactor!$BP$303, IF(AND(AU266&gt;=Deflactor!$BQ$304,AU266&lt;Deflactor!$BQ$305), Deflactor!$BP$304, IF(AND(AU266&gt;=Deflactor!$BQ$305,AU266&lt;Deflactor!$BQ$306), Deflactor!$BP$305, IF(AND(AU266&gt;=Deflactor!$BQ$306,AU266&lt;Deflactor!$BQ$307), Deflactor!$BP$306, Deflactor!$BP$307) ) ) ) ) ) ) ) ) )</f>
        <v>7</v>
      </c>
      <c r="AW266" s="57" t="str">
        <f>+IFERROR(VLOOKUP(AV266,Deflactor!$BP$298:$BU$307,6,0),"")</f>
        <v>20 a 30 millones USD</v>
      </c>
    </row>
    <row r="267" spans="1:49" x14ac:dyDescent="0.3">
      <c r="A267" s="3">
        <v>2010</v>
      </c>
      <c r="B267" s="3" t="s">
        <v>343</v>
      </c>
      <c r="C267" s="3" t="s">
        <v>7</v>
      </c>
      <c r="D267" s="3" t="s">
        <v>233</v>
      </c>
      <c r="E267" s="3" t="s">
        <v>344</v>
      </c>
      <c r="F267" s="3" t="s">
        <v>310</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c r="AR267" s="10">
        <f xml:space="preserve"> 8881250 * 1000</f>
        <v>8881250000</v>
      </c>
      <c r="AT267" s="46">
        <f t="shared" si="12"/>
        <v>8881250000</v>
      </c>
      <c r="AU267" s="54">
        <f xml:space="preserve"> IFERROR(ROUND(AT267 / VLOOKUP(A267,Tabla1[#All],2,0),0),"s.i")</f>
        <v>17401365</v>
      </c>
      <c r="AV267" s="33">
        <f xml:space="preserve"> IF(AU267="s.i", "s.i", IF(AND(AU267&gt;=Deflactor!$BQ$298,AU267&lt;Deflactor!$BQ$299), Deflactor!$BP$298, IF(AND(AU267&gt;=Deflactor!$BQ$299,AU267&lt;Deflactor!$BQ$300), Deflactor!$BP$299, IF(AND(AU267&gt;=Deflactor!$BQ$300,AU267&lt;Deflactor!$BQ$301), Deflactor!$BP$300, IF(AND(AU267&gt;=Deflactor!$BQ$301,AU267&lt;Deflactor!$BQ$302), Deflactor!$BP$301, IF(AND(AU267&gt;=Deflactor!$BQ$302,AU267&lt;Deflactor!$BQ$303), Deflactor!$BP$302, IF(AND(AU267&gt;=Deflactor!$BQ$303,AU267&lt;Deflactor!$BQ$304), Deflactor!$BP$303, IF(AND(AU267&gt;=Deflactor!$BQ$304,AU267&lt;Deflactor!$BQ$305), Deflactor!$BP$304, IF(AND(AU267&gt;=Deflactor!$BQ$305,AU267&lt;Deflactor!$BQ$306), Deflactor!$BP$305, IF(AND(AU267&gt;=Deflactor!$BQ$306,AU267&lt;Deflactor!$BQ$307), Deflactor!$BP$306, Deflactor!$BP$307) ) ) ) ) ) ) ) ) )</f>
        <v>6</v>
      </c>
      <c r="AW267" s="57" t="str">
        <f>+IFERROR(VLOOKUP(AV267,Deflactor!$BP$298:$BU$307,6,0),"")</f>
        <v>15 a 20 millones USD</v>
      </c>
    </row>
    <row r="268" spans="1:49" x14ac:dyDescent="0.3">
      <c r="A268" s="3">
        <v>2010</v>
      </c>
      <c r="B268" s="3" t="s">
        <v>345</v>
      </c>
      <c r="C268" s="3" t="s">
        <v>92</v>
      </c>
      <c r="D268" s="3" t="s">
        <v>32</v>
      </c>
      <c r="E268" s="3" t="s">
        <v>33</v>
      </c>
      <c r="F268" s="3" t="s">
        <v>89</v>
      </c>
      <c r="G268" s="3"/>
      <c r="H268" s="12"/>
      <c r="I268" s="13"/>
      <c r="J268" s="10"/>
      <c r="K268" s="3"/>
      <c r="L268" s="3"/>
      <c r="M268" s="3"/>
      <c r="N268" s="3"/>
      <c r="O268" s="3"/>
      <c r="P268" s="3"/>
      <c r="Q268" s="3"/>
      <c r="R268" s="3"/>
      <c r="S268" s="3"/>
      <c r="T268" s="3"/>
      <c r="U268" s="3" t="s">
        <v>1327</v>
      </c>
      <c r="V268" s="3"/>
      <c r="W268" s="10" t="str">
        <f>IF( J268="s.i", "s.i", IF(ISBLANK(J268),"Actualizando información",IFERROR(J268 / VLOOKUP(A268,Deflactor!$G$3:$H$64,2,0),"Revisar error" )))</f>
        <v>Actualizando información</v>
      </c>
      <c r="AR268" s="10">
        <f xml:space="preserve"> 4685491 * 1000</f>
        <v>4685491000</v>
      </c>
      <c r="AT268" s="46">
        <f t="shared" si="12"/>
        <v>4685491000</v>
      </c>
      <c r="AU268" s="54">
        <f xml:space="preserve"> IFERROR(ROUND(AT268 / VLOOKUP(A268,Tabla1[#All],2,0),0),"s.i")</f>
        <v>9180457</v>
      </c>
      <c r="AV268" s="33">
        <f xml:space="preserve"> IF(AU268="s.i", "s.i", IF(AND(AU268&gt;=Deflactor!$BQ$298,AU268&lt;Deflactor!$BQ$299), Deflactor!$BP$298, IF(AND(AU268&gt;=Deflactor!$BQ$299,AU268&lt;Deflactor!$BQ$300), Deflactor!$BP$299, IF(AND(AU268&gt;=Deflactor!$BQ$300,AU268&lt;Deflactor!$BQ$301), Deflactor!$BP$300, IF(AND(AU268&gt;=Deflactor!$BQ$301,AU268&lt;Deflactor!$BQ$302), Deflactor!$BP$301, IF(AND(AU268&gt;=Deflactor!$BQ$302,AU268&lt;Deflactor!$BQ$303), Deflactor!$BP$302, IF(AND(AU268&gt;=Deflactor!$BQ$303,AU268&lt;Deflactor!$BQ$304), Deflactor!$BP$303, IF(AND(AU268&gt;=Deflactor!$BQ$304,AU268&lt;Deflactor!$BQ$305), Deflactor!$BP$304, IF(AND(AU268&gt;=Deflactor!$BQ$305,AU268&lt;Deflactor!$BQ$306), Deflactor!$BP$305, IF(AND(AU268&gt;=Deflactor!$BQ$306,AU268&lt;Deflactor!$BQ$307), Deflactor!$BP$306, Deflactor!$BP$307) ) ) ) ) ) ) ) ) )</f>
        <v>4</v>
      </c>
      <c r="AW268" s="57" t="str">
        <f>+IFERROR(VLOOKUP(AV268,Deflactor!$BP$298:$BU$307,6,0),"")</f>
        <v>7,5 a 10 millones USD</v>
      </c>
    </row>
    <row r="269" spans="1:49" x14ac:dyDescent="0.3">
      <c r="A269" s="3">
        <v>2010</v>
      </c>
      <c r="B269" s="3" t="s">
        <v>346</v>
      </c>
      <c r="C269" s="3" t="s">
        <v>92</v>
      </c>
      <c r="D269" s="3" t="s">
        <v>32</v>
      </c>
      <c r="E269" s="3" t="s">
        <v>33</v>
      </c>
      <c r="F269" s="3" t="s">
        <v>89</v>
      </c>
      <c r="G269" s="3"/>
      <c r="H269" s="12"/>
      <c r="I269" s="13"/>
      <c r="J269" s="10"/>
      <c r="K269" s="3"/>
      <c r="L269" s="3"/>
      <c r="M269" s="3"/>
      <c r="N269" s="3"/>
      <c r="O269" s="3"/>
      <c r="P269" s="3"/>
      <c r="Q269" s="3"/>
      <c r="R269" s="3"/>
      <c r="S269" s="3"/>
      <c r="T269" s="3"/>
      <c r="U269" s="3" t="s">
        <v>1327</v>
      </c>
      <c r="V269" s="3"/>
      <c r="W269" s="10" t="str">
        <f>IF( J269="s.i", "s.i", IF(ISBLANK(J269),"Actualizando información",IFERROR(J269 / VLOOKUP(A269,Deflactor!$G$3:$H$64,2,0),"Revisar error" )))</f>
        <v>Actualizando información</v>
      </c>
      <c r="AR269" s="10">
        <f xml:space="preserve"> 4685491 * 1000</f>
        <v>4685491000</v>
      </c>
      <c r="AT269" s="46">
        <f t="shared" si="12"/>
        <v>4685491000</v>
      </c>
      <c r="AU269" s="54">
        <f xml:space="preserve"> IFERROR(ROUND(AT269 / VLOOKUP(A269,Tabla1[#All],2,0),0),"s.i")</f>
        <v>9180457</v>
      </c>
      <c r="AV269" s="33">
        <f xml:space="preserve"> IF(AU269="s.i", "s.i", IF(AND(AU269&gt;=Deflactor!$BQ$298,AU269&lt;Deflactor!$BQ$299), Deflactor!$BP$298, IF(AND(AU269&gt;=Deflactor!$BQ$299,AU269&lt;Deflactor!$BQ$300), Deflactor!$BP$299, IF(AND(AU269&gt;=Deflactor!$BQ$300,AU269&lt;Deflactor!$BQ$301), Deflactor!$BP$300, IF(AND(AU269&gt;=Deflactor!$BQ$301,AU269&lt;Deflactor!$BQ$302), Deflactor!$BP$301, IF(AND(AU269&gt;=Deflactor!$BQ$302,AU269&lt;Deflactor!$BQ$303), Deflactor!$BP$302, IF(AND(AU269&gt;=Deflactor!$BQ$303,AU269&lt;Deflactor!$BQ$304), Deflactor!$BP$303, IF(AND(AU269&gt;=Deflactor!$BQ$304,AU269&lt;Deflactor!$BQ$305), Deflactor!$BP$304, IF(AND(AU269&gt;=Deflactor!$BQ$305,AU269&lt;Deflactor!$BQ$306), Deflactor!$BP$305, IF(AND(AU269&gt;=Deflactor!$BQ$306,AU269&lt;Deflactor!$BQ$307), Deflactor!$BP$306, Deflactor!$BP$307) ) ) ) ) ) ) ) ) )</f>
        <v>4</v>
      </c>
      <c r="AW269" s="57" t="str">
        <f>+IFERROR(VLOOKUP(AV269,Deflactor!$BP$298:$BU$307,6,0),"")</f>
        <v>7,5 a 10 millones USD</v>
      </c>
    </row>
    <row r="270" spans="1:49" x14ac:dyDescent="0.3">
      <c r="A270" s="3">
        <v>2010</v>
      </c>
      <c r="B270" s="3" t="s">
        <v>347</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c r="AR270" s="10">
        <f xml:space="preserve"> (5182717 + 15340680) * 1000</f>
        <v>20523397000</v>
      </c>
      <c r="AT270" s="46">
        <f t="shared" si="12"/>
        <v>20523397000</v>
      </c>
      <c r="AU270" s="54">
        <f xml:space="preserve"> IFERROR(ROUND(AT270 / VLOOKUP(A270,Tabla1[#All],2,0),0),"s.i")</f>
        <v>40212258</v>
      </c>
      <c r="AV270" s="33">
        <f xml:space="preserve"> IF(AU270="s.i", "s.i", IF(AND(AU270&gt;=Deflactor!$BQ$298,AU270&lt;Deflactor!$BQ$299), Deflactor!$BP$298, IF(AND(AU270&gt;=Deflactor!$BQ$299,AU270&lt;Deflactor!$BQ$300), Deflactor!$BP$299, IF(AND(AU270&gt;=Deflactor!$BQ$300,AU270&lt;Deflactor!$BQ$301), Deflactor!$BP$300, IF(AND(AU270&gt;=Deflactor!$BQ$301,AU270&lt;Deflactor!$BQ$302), Deflactor!$BP$301, IF(AND(AU270&gt;=Deflactor!$BQ$302,AU270&lt;Deflactor!$BQ$303), Deflactor!$BP$302, IF(AND(AU270&gt;=Deflactor!$BQ$303,AU270&lt;Deflactor!$BQ$304), Deflactor!$BP$303, IF(AND(AU270&gt;=Deflactor!$BQ$304,AU270&lt;Deflactor!$BQ$305), Deflactor!$BP$304, IF(AND(AU270&gt;=Deflactor!$BQ$305,AU270&lt;Deflactor!$BQ$306), Deflactor!$BP$305, IF(AND(AU270&gt;=Deflactor!$BQ$306,AU270&lt;Deflactor!$BQ$307), Deflactor!$BP$306, Deflactor!$BP$307) ) ) ) ) ) ) ) ) )</f>
        <v>8</v>
      </c>
      <c r="AW270" s="57" t="str">
        <f>+IFERROR(VLOOKUP(AV270,Deflactor!$BP$298:$BU$307,6,0),"")</f>
        <v>30 a 50 millones USD</v>
      </c>
    </row>
    <row r="271" spans="1:49" x14ac:dyDescent="0.3">
      <c r="A271" s="3">
        <v>2010</v>
      </c>
      <c r="B271" s="3" t="s">
        <v>348</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c r="AR271" s="10">
        <f xml:space="preserve"> (3583453 + 2040487) * 1000</f>
        <v>5623940000</v>
      </c>
      <c r="AT271" s="46">
        <f t="shared" si="12"/>
        <v>5623940000</v>
      </c>
      <c r="AU271" s="54">
        <f xml:space="preserve"> IFERROR(ROUND(AT271 / VLOOKUP(A271,Tabla1[#All],2,0),0),"s.i")</f>
        <v>11019196</v>
      </c>
      <c r="AV271" s="33">
        <f xml:space="preserve"> IF(AU271="s.i", "s.i", IF(AND(AU271&gt;=Deflactor!$BQ$298,AU271&lt;Deflactor!$BQ$299), Deflactor!$BP$298, IF(AND(AU271&gt;=Deflactor!$BQ$299,AU271&lt;Deflactor!$BQ$300), Deflactor!$BP$299, IF(AND(AU271&gt;=Deflactor!$BQ$300,AU271&lt;Deflactor!$BQ$301), Deflactor!$BP$300, IF(AND(AU271&gt;=Deflactor!$BQ$301,AU271&lt;Deflactor!$BQ$302), Deflactor!$BP$301, IF(AND(AU271&gt;=Deflactor!$BQ$302,AU271&lt;Deflactor!$BQ$303), Deflactor!$BP$302, IF(AND(AU271&gt;=Deflactor!$BQ$303,AU271&lt;Deflactor!$BQ$304), Deflactor!$BP$303, IF(AND(AU271&gt;=Deflactor!$BQ$304,AU271&lt;Deflactor!$BQ$305), Deflactor!$BP$304, IF(AND(AU271&gt;=Deflactor!$BQ$305,AU271&lt;Deflactor!$BQ$306), Deflactor!$BP$305, IF(AND(AU271&gt;=Deflactor!$BQ$306,AU271&lt;Deflactor!$BQ$307), Deflactor!$BP$306, Deflactor!$BP$307) ) ) ) ) ) ) ) ) )</f>
        <v>5</v>
      </c>
      <c r="AW271" s="57" t="str">
        <f>+IFERROR(VLOOKUP(AV271,Deflactor!$BP$298:$BU$307,6,0),"")</f>
        <v>10 a 15 millones USD</v>
      </c>
    </row>
    <row r="272" spans="1:49" x14ac:dyDescent="0.3">
      <c r="A272" s="3">
        <v>2009</v>
      </c>
      <c r="B272" s="3" t="s">
        <v>349</v>
      </c>
      <c r="C272" s="3" t="s">
        <v>7</v>
      </c>
      <c r="D272" s="3" t="s">
        <v>12</v>
      </c>
      <c r="E272" s="3" t="s">
        <v>13</v>
      </c>
      <c r="F272" s="3" t="s">
        <v>329</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c r="AR272" s="10">
        <f xml:space="preserve"> 7557784 * 1000</f>
        <v>7557784000</v>
      </c>
      <c r="AT272" s="46">
        <f t="shared" si="12"/>
        <v>7557784000</v>
      </c>
      <c r="AU272" s="54">
        <f xml:space="preserve"> IFERROR(ROUND(AT272 / VLOOKUP(A272,Tabla1[#All],2,0),0),"s.i")</f>
        <v>13504065</v>
      </c>
      <c r="AV272" s="33">
        <f xml:space="preserve"> IF(AU272="s.i", "s.i", IF(AND(AU272&gt;=Deflactor!$BQ$298,AU272&lt;Deflactor!$BQ$299), Deflactor!$BP$298, IF(AND(AU272&gt;=Deflactor!$BQ$299,AU272&lt;Deflactor!$BQ$300), Deflactor!$BP$299, IF(AND(AU272&gt;=Deflactor!$BQ$300,AU272&lt;Deflactor!$BQ$301), Deflactor!$BP$300, IF(AND(AU272&gt;=Deflactor!$BQ$301,AU272&lt;Deflactor!$BQ$302), Deflactor!$BP$301, IF(AND(AU272&gt;=Deflactor!$BQ$302,AU272&lt;Deflactor!$BQ$303), Deflactor!$BP$302, IF(AND(AU272&gt;=Deflactor!$BQ$303,AU272&lt;Deflactor!$BQ$304), Deflactor!$BP$303, IF(AND(AU272&gt;=Deflactor!$BQ$304,AU272&lt;Deflactor!$BQ$305), Deflactor!$BP$304, IF(AND(AU272&gt;=Deflactor!$BQ$305,AU272&lt;Deflactor!$BQ$306), Deflactor!$BP$305, IF(AND(AU272&gt;=Deflactor!$BQ$306,AU272&lt;Deflactor!$BQ$307), Deflactor!$BP$306, Deflactor!$BP$307) ) ) ) ) ) ) ) ) )</f>
        <v>5</v>
      </c>
      <c r="AW272" s="57" t="str">
        <f>+IFERROR(VLOOKUP(AV272,Deflactor!$BP$298:$BU$307,6,0),"")</f>
        <v>10 a 15 millones USD</v>
      </c>
    </row>
    <row r="273" spans="1:49" x14ac:dyDescent="0.3">
      <c r="A273" s="3">
        <v>2009</v>
      </c>
      <c r="B273" s="3" t="s">
        <v>350</v>
      </c>
      <c r="C273" s="3" t="s">
        <v>7</v>
      </c>
      <c r="D273" s="3" t="s">
        <v>12</v>
      </c>
      <c r="E273" s="3" t="s">
        <v>58</v>
      </c>
      <c r="F273" s="3" t="s">
        <v>351</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c r="AR273" s="10">
        <f xml:space="preserve"> (868185 + 3415241) * 1000</f>
        <v>4283426000</v>
      </c>
      <c r="AT273" s="46">
        <f t="shared" si="12"/>
        <v>4283426000</v>
      </c>
      <c r="AU273" s="54">
        <f xml:space="preserve"> IFERROR(ROUND(AT273 / VLOOKUP(A273,Tabla1[#All],2,0),0),"s.i")</f>
        <v>7653522</v>
      </c>
      <c r="AV273" s="33">
        <f xml:space="preserve"> IF(AU273="s.i", "s.i", IF(AND(AU273&gt;=Deflactor!$BQ$298,AU273&lt;Deflactor!$BQ$299), Deflactor!$BP$298, IF(AND(AU273&gt;=Deflactor!$BQ$299,AU273&lt;Deflactor!$BQ$300), Deflactor!$BP$299, IF(AND(AU273&gt;=Deflactor!$BQ$300,AU273&lt;Deflactor!$BQ$301), Deflactor!$BP$300, IF(AND(AU273&gt;=Deflactor!$BQ$301,AU273&lt;Deflactor!$BQ$302), Deflactor!$BP$301, IF(AND(AU273&gt;=Deflactor!$BQ$302,AU273&lt;Deflactor!$BQ$303), Deflactor!$BP$302, IF(AND(AU273&gt;=Deflactor!$BQ$303,AU273&lt;Deflactor!$BQ$304), Deflactor!$BP$303, IF(AND(AU273&gt;=Deflactor!$BQ$304,AU273&lt;Deflactor!$BQ$305), Deflactor!$BP$304, IF(AND(AU273&gt;=Deflactor!$BQ$305,AU273&lt;Deflactor!$BQ$306), Deflactor!$BP$305, IF(AND(AU273&gt;=Deflactor!$BQ$306,AU273&lt;Deflactor!$BQ$307), Deflactor!$BP$306, Deflactor!$BP$307) ) ) ) ) ) ) ) ) )</f>
        <v>4</v>
      </c>
      <c r="AW273" s="57" t="str">
        <f>+IFERROR(VLOOKUP(AV273,Deflactor!$BP$298:$BU$307,6,0),"")</f>
        <v>7,5 a 10 millones USD</v>
      </c>
    </row>
    <row r="274" spans="1:49" x14ac:dyDescent="0.3">
      <c r="A274" s="3">
        <v>2009</v>
      </c>
      <c r="B274" s="3" t="s">
        <v>352</v>
      </c>
      <c r="C274" s="3" t="s">
        <v>7</v>
      </c>
      <c r="D274" s="3" t="s">
        <v>12</v>
      </c>
      <c r="E274" s="3" t="s">
        <v>58</v>
      </c>
      <c r="F274" s="3" t="s">
        <v>329</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c r="AR274" s="10">
        <f xml:space="preserve"> 15272054 * 1000</f>
        <v>15272054000</v>
      </c>
      <c r="AT274" s="46">
        <f t="shared" si="12"/>
        <v>15272054000</v>
      </c>
      <c r="AU274" s="54">
        <f xml:space="preserve"> IFERROR(ROUND(AT274 / VLOOKUP(A274,Tabla1[#All],2,0),0),"s.i")</f>
        <v>27287736</v>
      </c>
      <c r="AV274" s="33">
        <f xml:space="preserve"> IF(AU274="s.i", "s.i", IF(AND(AU274&gt;=Deflactor!$BQ$298,AU274&lt;Deflactor!$BQ$299), Deflactor!$BP$298, IF(AND(AU274&gt;=Deflactor!$BQ$299,AU274&lt;Deflactor!$BQ$300), Deflactor!$BP$299, IF(AND(AU274&gt;=Deflactor!$BQ$300,AU274&lt;Deflactor!$BQ$301), Deflactor!$BP$300, IF(AND(AU274&gt;=Deflactor!$BQ$301,AU274&lt;Deflactor!$BQ$302), Deflactor!$BP$301, IF(AND(AU274&gt;=Deflactor!$BQ$302,AU274&lt;Deflactor!$BQ$303), Deflactor!$BP$302, IF(AND(AU274&gt;=Deflactor!$BQ$303,AU274&lt;Deflactor!$BQ$304), Deflactor!$BP$303, IF(AND(AU274&gt;=Deflactor!$BQ$304,AU274&lt;Deflactor!$BQ$305), Deflactor!$BP$304, IF(AND(AU274&gt;=Deflactor!$BQ$305,AU274&lt;Deflactor!$BQ$306), Deflactor!$BP$305, IF(AND(AU274&gt;=Deflactor!$BQ$306,AU274&lt;Deflactor!$BQ$307), Deflactor!$BP$306, Deflactor!$BP$307) ) ) ) ) ) ) ) ) )</f>
        <v>7</v>
      </c>
      <c r="AW274" s="57" t="str">
        <f>+IFERROR(VLOOKUP(AV274,Deflactor!$BP$298:$BU$307,6,0),"")</f>
        <v>20 a 30 millones USD</v>
      </c>
    </row>
    <row r="275" spans="1:49" x14ac:dyDescent="0.3">
      <c r="A275" s="3">
        <v>2009</v>
      </c>
      <c r="B275" s="3" t="s">
        <v>353</v>
      </c>
      <c r="C275" s="3" t="s">
        <v>7</v>
      </c>
      <c r="D275" s="3" t="s">
        <v>45</v>
      </c>
      <c r="E275" s="3" t="s">
        <v>184</v>
      </c>
      <c r="F275" s="3" t="s">
        <v>329</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c r="AR275" s="10">
        <f xml:space="preserve"> 1064320 * 1000</f>
        <v>1064320000</v>
      </c>
      <c r="AS275" s="55">
        <f xml:space="preserve"> 4933 * 1000</f>
        <v>4933000</v>
      </c>
      <c r="AT275" s="56">
        <f>AR275 + ROUND(AS275*Deflactor!BJ14,0)</f>
        <v>3825158890</v>
      </c>
      <c r="AU275" s="54">
        <f xml:space="preserve"> IFERROR(ROUND(AT275 / VLOOKUP(A275,Tabla1[#All],2,0),0),"s.i")</f>
        <v>6834701</v>
      </c>
      <c r="AV275" s="33">
        <f xml:space="preserve"> IF(AU275="s.i", "s.i", IF(AND(AU275&gt;=Deflactor!$BQ$298,AU275&lt;Deflactor!$BQ$299), Deflactor!$BP$298, IF(AND(AU275&gt;=Deflactor!$BQ$299,AU275&lt;Deflactor!$BQ$300), Deflactor!$BP$299, IF(AND(AU275&gt;=Deflactor!$BQ$300,AU275&lt;Deflactor!$BQ$301), Deflactor!$BP$300, IF(AND(AU275&gt;=Deflactor!$BQ$301,AU275&lt;Deflactor!$BQ$302), Deflactor!$BP$301, IF(AND(AU275&gt;=Deflactor!$BQ$302,AU275&lt;Deflactor!$BQ$303), Deflactor!$BP$302, IF(AND(AU275&gt;=Deflactor!$BQ$303,AU275&lt;Deflactor!$BQ$304), Deflactor!$BP$303, IF(AND(AU275&gt;=Deflactor!$BQ$304,AU275&lt;Deflactor!$BQ$305), Deflactor!$BP$304, IF(AND(AU275&gt;=Deflactor!$BQ$305,AU275&lt;Deflactor!$BQ$306), Deflactor!$BP$305, IF(AND(AU275&gt;=Deflactor!$BQ$306,AU275&lt;Deflactor!$BQ$307), Deflactor!$BP$306, Deflactor!$BP$307) ) ) ) ) ) ) ) ) )</f>
        <v>3</v>
      </c>
      <c r="AW275" s="57" t="str">
        <f>+IFERROR(VLOOKUP(AV275,Deflactor!$BP$298:$BU$307,6,0),"")</f>
        <v>5 a 7,5 millones USD</v>
      </c>
    </row>
    <row r="276" spans="1:49" x14ac:dyDescent="0.3">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c r="AR276" s="10">
        <f xml:space="preserve"> 18823388 * 1000</f>
        <v>18823388000</v>
      </c>
      <c r="AT276" s="46">
        <f t="shared" si="12"/>
        <v>18823388000</v>
      </c>
      <c r="AU276" s="54">
        <f xml:space="preserve"> IFERROR(ROUND(AT276 / VLOOKUP(A276,Tabla1[#All],2,0),0),"s.i")</f>
        <v>33633173</v>
      </c>
      <c r="AV276" s="33">
        <f xml:space="preserve"> IF(AU276="s.i", "s.i", IF(AND(AU276&gt;=Deflactor!$BQ$298,AU276&lt;Deflactor!$BQ$299), Deflactor!$BP$298, IF(AND(AU276&gt;=Deflactor!$BQ$299,AU276&lt;Deflactor!$BQ$300), Deflactor!$BP$299, IF(AND(AU276&gt;=Deflactor!$BQ$300,AU276&lt;Deflactor!$BQ$301), Deflactor!$BP$300, IF(AND(AU276&gt;=Deflactor!$BQ$301,AU276&lt;Deflactor!$BQ$302), Deflactor!$BP$301, IF(AND(AU276&gt;=Deflactor!$BQ$302,AU276&lt;Deflactor!$BQ$303), Deflactor!$BP$302, IF(AND(AU276&gt;=Deflactor!$BQ$303,AU276&lt;Deflactor!$BQ$304), Deflactor!$BP$303, IF(AND(AU276&gt;=Deflactor!$BQ$304,AU276&lt;Deflactor!$BQ$305), Deflactor!$BP$304, IF(AND(AU276&gt;=Deflactor!$BQ$305,AU276&lt;Deflactor!$BQ$306), Deflactor!$BP$305, IF(AND(AU276&gt;=Deflactor!$BQ$306,AU276&lt;Deflactor!$BQ$307), Deflactor!$BP$306, Deflactor!$BP$307) ) ) ) ) ) ) ) ) )</f>
        <v>8</v>
      </c>
      <c r="AW276" s="57" t="str">
        <f>+IFERROR(VLOOKUP(AV276,Deflactor!$BP$298:$BU$307,6,0),"")</f>
        <v>30 a 50 millones USD</v>
      </c>
    </row>
    <row r="277" spans="1:49" x14ac:dyDescent="0.3">
      <c r="A277" s="3">
        <v>2009</v>
      </c>
      <c r="B277" s="3" t="s">
        <v>354</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c r="AR277" s="10">
        <f t="shared" ref="AR277:AR279" si="13" xml:space="preserve"> 17991107 * 1000</f>
        <v>17991107000</v>
      </c>
      <c r="AT277" s="46">
        <f t="shared" si="12"/>
        <v>17991107000</v>
      </c>
      <c r="AU277" s="54">
        <f xml:space="preserve"> IFERROR(ROUND(AT277 / VLOOKUP(A277,Tabla1[#All],2,0),0),"s.i")</f>
        <v>32146074</v>
      </c>
      <c r="AV277" s="33">
        <f xml:space="preserve"> IF(AU277="s.i", "s.i", IF(AND(AU277&gt;=Deflactor!$BQ$298,AU277&lt;Deflactor!$BQ$299), Deflactor!$BP$298, IF(AND(AU277&gt;=Deflactor!$BQ$299,AU277&lt;Deflactor!$BQ$300), Deflactor!$BP$299, IF(AND(AU277&gt;=Deflactor!$BQ$300,AU277&lt;Deflactor!$BQ$301), Deflactor!$BP$300, IF(AND(AU277&gt;=Deflactor!$BQ$301,AU277&lt;Deflactor!$BQ$302), Deflactor!$BP$301, IF(AND(AU277&gt;=Deflactor!$BQ$302,AU277&lt;Deflactor!$BQ$303), Deflactor!$BP$302, IF(AND(AU277&gt;=Deflactor!$BQ$303,AU277&lt;Deflactor!$BQ$304), Deflactor!$BP$303, IF(AND(AU277&gt;=Deflactor!$BQ$304,AU277&lt;Deflactor!$BQ$305), Deflactor!$BP$304, IF(AND(AU277&gt;=Deflactor!$BQ$305,AU277&lt;Deflactor!$BQ$306), Deflactor!$BP$305, IF(AND(AU277&gt;=Deflactor!$BQ$306,AU277&lt;Deflactor!$BQ$307), Deflactor!$BP$306, Deflactor!$BP$307) ) ) ) ) ) ) ) ) )</f>
        <v>8</v>
      </c>
      <c r="AW277" s="57" t="str">
        <f>+IFERROR(VLOOKUP(AV277,Deflactor!$BP$298:$BU$307,6,0),"")</f>
        <v>30 a 50 millones USD</v>
      </c>
    </row>
    <row r="278" spans="1:49" x14ac:dyDescent="0.3">
      <c r="A278" s="3">
        <v>2009</v>
      </c>
      <c r="B278" s="3" t="s">
        <v>355</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c r="AR278" s="10">
        <f t="shared" si="13"/>
        <v>17991107000</v>
      </c>
      <c r="AT278" s="46">
        <f t="shared" si="12"/>
        <v>17991107000</v>
      </c>
      <c r="AU278" s="54">
        <f xml:space="preserve"> IFERROR(ROUND(AT278 / VLOOKUP(A278,Tabla1[#All],2,0),0),"s.i")</f>
        <v>32146074</v>
      </c>
      <c r="AV278" s="33">
        <f xml:space="preserve"> IF(AU278="s.i", "s.i", IF(AND(AU278&gt;=Deflactor!$BQ$298,AU278&lt;Deflactor!$BQ$299), Deflactor!$BP$298, IF(AND(AU278&gt;=Deflactor!$BQ$299,AU278&lt;Deflactor!$BQ$300), Deflactor!$BP$299, IF(AND(AU278&gt;=Deflactor!$BQ$300,AU278&lt;Deflactor!$BQ$301), Deflactor!$BP$300, IF(AND(AU278&gt;=Deflactor!$BQ$301,AU278&lt;Deflactor!$BQ$302), Deflactor!$BP$301, IF(AND(AU278&gt;=Deflactor!$BQ$302,AU278&lt;Deflactor!$BQ$303), Deflactor!$BP$302, IF(AND(AU278&gt;=Deflactor!$BQ$303,AU278&lt;Deflactor!$BQ$304), Deflactor!$BP$303, IF(AND(AU278&gt;=Deflactor!$BQ$304,AU278&lt;Deflactor!$BQ$305), Deflactor!$BP$304, IF(AND(AU278&gt;=Deflactor!$BQ$305,AU278&lt;Deflactor!$BQ$306), Deflactor!$BP$305, IF(AND(AU278&gt;=Deflactor!$BQ$306,AU278&lt;Deflactor!$BQ$307), Deflactor!$BP$306, Deflactor!$BP$307) ) ) ) ) ) ) ) ) )</f>
        <v>8</v>
      </c>
      <c r="AW278" s="57" t="str">
        <f>+IFERROR(VLOOKUP(AV278,Deflactor!$BP$298:$BU$307,6,0),"")</f>
        <v>30 a 50 millones USD</v>
      </c>
    </row>
    <row r="279" spans="1:49" x14ac:dyDescent="0.3">
      <c r="A279" s="3">
        <v>2009</v>
      </c>
      <c r="B279" s="3" t="s">
        <v>356</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c r="AR279" s="10">
        <f t="shared" si="13"/>
        <v>17991107000</v>
      </c>
      <c r="AT279" s="46">
        <f t="shared" si="12"/>
        <v>17991107000</v>
      </c>
      <c r="AU279" s="54">
        <f xml:space="preserve"> IFERROR(ROUND(AT279 / VLOOKUP(A279,Tabla1[#All],2,0),0),"s.i")</f>
        <v>32146074</v>
      </c>
      <c r="AV279" s="33">
        <f xml:space="preserve"> IF(AU279="s.i", "s.i", IF(AND(AU279&gt;=Deflactor!$BQ$298,AU279&lt;Deflactor!$BQ$299), Deflactor!$BP$298, IF(AND(AU279&gt;=Deflactor!$BQ$299,AU279&lt;Deflactor!$BQ$300), Deflactor!$BP$299, IF(AND(AU279&gt;=Deflactor!$BQ$300,AU279&lt;Deflactor!$BQ$301), Deflactor!$BP$300, IF(AND(AU279&gt;=Deflactor!$BQ$301,AU279&lt;Deflactor!$BQ$302), Deflactor!$BP$301, IF(AND(AU279&gt;=Deflactor!$BQ$302,AU279&lt;Deflactor!$BQ$303), Deflactor!$BP$302, IF(AND(AU279&gt;=Deflactor!$BQ$303,AU279&lt;Deflactor!$BQ$304), Deflactor!$BP$303, IF(AND(AU279&gt;=Deflactor!$BQ$304,AU279&lt;Deflactor!$BQ$305), Deflactor!$BP$304, IF(AND(AU279&gt;=Deflactor!$BQ$305,AU279&lt;Deflactor!$BQ$306), Deflactor!$BP$305, IF(AND(AU279&gt;=Deflactor!$BQ$306,AU279&lt;Deflactor!$BQ$307), Deflactor!$BP$306, Deflactor!$BP$307) ) ) ) ) ) ) ) ) )</f>
        <v>8</v>
      </c>
      <c r="AW279" s="57" t="str">
        <f>+IFERROR(VLOOKUP(AV279,Deflactor!$BP$298:$BU$307,6,0),"")</f>
        <v>30 a 50 millones USD</v>
      </c>
    </row>
    <row r="280" spans="1:49" x14ac:dyDescent="0.3">
      <c r="A280" s="3">
        <v>2009</v>
      </c>
      <c r="B280" s="3" t="s">
        <v>357</v>
      </c>
      <c r="C280" s="3" t="s">
        <v>283</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c r="AR280" s="34">
        <f xml:space="preserve"> 4680068 * 1000</f>
        <v>4680068000</v>
      </c>
      <c r="AT280" s="46">
        <f t="shared" si="12"/>
        <v>4680068000</v>
      </c>
      <c r="AU280" s="54">
        <f xml:space="preserve"> IFERROR(ROUND(AT280 / VLOOKUP(A280,Tabla1[#All],2,0),0),"s.i")</f>
        <v>8362232</v>
      </c>
      <c r="AV280" s="33">
        <f xml:space="preserve"> IF(AU280="s.i", "s.i", IF(AND(AU280&gt;=Deflactor!$BQ$298,AU280&lt;Deflactor!$BQ$299), Deflactor!$BP$298, IF(AND(AU280&gt;=Deflactor!$BQ$299,AU280&lt;Deflactor!$BQ$300), Deflactor!$BP$299, IF(AND(AU280&gt;=Deflactor!$BQ$300,AU280&lt;Deflactor!$BQ$301), Deflactor!$BP$300, IF(AND(AU280&gt;=Deflactor!$BQ$301,AU280&lt;Deflactor!$BQ$302), Deflactor!$BP$301, IF(AND(AU280&gt;=Deflactor!$BQ$302,AU280&lt;Deflactor!$BQ$303), Deflactor!$BP$302, IF(AND(AU280&gt;=Deflactor!$BQ$303,AU280&lt;Deflactor!$BQ$304), Deflactor!$BP$303, IF(AND(AU280&gt;=Deflactor!$BQ$304,AU280&lt;Deflactor!$BQ$305), Deflactor!$BP$304, IF(AND(AU280&gt;=Deflactor!$BQ$305,AU280&lt;Deflactor!$BQ$306), Deflactor!$BP$305, IF(AND(AU280&gt;=Deflactor!$BQ$306,AU280&lt;Deflactor!$BQ$307), Deflactor!$BP$306, Deflactor!$BP$307) ) ) ) ) ) ) ) ) )</f>
        <v>4</v>
      </c>
      <c r="AW280" s="57" t="str">
        <f>+IFERROR(VLOOKUP(AV280,Deflactor!$BP$298:$BU$307,6,0),"")</f>
        <v>7,5 a 10 millones USD</v>
      </c>
    </row>
    <row r="281" spans="1:49" x14ac:dyDescent="0.3">
      <c r="A281" s="3">
        <v>2009</v>
      </c>
      <c r="B281" s="3" t="s">
        <v>358</v>
      </c>
      <c r="C281" s="3" t="s">
        <v>7</v>
      </c>
      <c r="D281" s="3" t="s">
        <v>36</v>
      </c>
      <c r="E281" s="3" t="s">
        <v>37</v>
      </c>
      <c r="F281" s="3" t="s">
        <v>329</v>
      </c>
      <c r="G281" s="3" t="s">
        <v>723</v>
      </c>
      <c r="H281" s="13">
        <v>1994</v>
      </c>
      <c r="I281" s="13"/>
      <c r="J281" s="10">
        <f xml:space="preserve"> 6230 * 1000000</f>
        <v>6230000000</v>
      </c>
      <c r="K281" s="3" t="s">
        <v>2294</v>
      </c>
      <c r="L281" s="3" t="s">
        <v>956</v>
      </c>
      <c r="M281" s="3" t="s">
        <v>957</v>
      </c>
      <c r="N281" s="3" t="s">
        <v>958</v>
      </c>
      <c r="O281" s="3" t="s">
        <v>959</v>
      </c>
      <c r="P281" s="3" t="s">
        <v>961</v>
      </c>
      <c r="Q281" s="3"/>
      <c r="R281" s="11" t="s">
        <v>953</v>
      </c>
      <c r="S281" s="11" t="s">
        <v>954</v>
      </c>
      <c r="T281" s="11" t="s">
        <v>955</v>
      </c>
      <c r="U281" s="3" t="s">
        <v>1145</v>
      </c>
      <c r="V281" s="3"/>
      <c r="W281" s="10">
        <f>IF( J281="s.i", "s.i", IF(ISBLANK(J281),"Actualizando información",IFERROR(J281 / VLOOKUP(A281,Deflactor!$G$3:$H$64,2,0),"Revisar error" )))</f>
        <v>7218695674.6454353</v>
      </c>
      <c r="AR281" s="10">
        <f xml:space="preserve"> 6112095 * 1000</f>
        <v>6112095000</v>
      </c>
      <c r="AT281" s="46">
        <f t="shared" si="12"/>
        <v>6112095000</v>
      </c>
      <c r="AU281" s="54">
        <f xml:space="preserve"> IFERROR(ROUND(AT281 / VLOOKUP(A281,Tabla1[#All],2,0),0),"s.i")</f>
        <v>10920943</v>
      </c>
      <c r="AV281" s="33">
        <f xml:space="preserve"> IF(AU281="s.i", "s.i", IF(AND(AU281&gt;=Deflactor!$BQ$298,AU281&lt;Deflactor!$BQ$299), Deflactor!$BP$298, IF(AND(AU281&gt;=Deflactor!$BQ$299,AU281&lt;Deflactor!$BQ$300), Deflactor!$BP$299, IF(AND(AU281&gt;=Deflactor!$BQ$300,AU281&lt;Deflactor!$BQ$301), Deflactor!$BP$300, IF(AND(AU281&gt;=Deflactor!$BQ$301,AU281&lt;Deflactor!$BQ$302), Deflactor!$BP$301, IF(AND(AU281&gt;=Deflactor!$BQ$302,AU281&lt;Deflactor!$BQ$303), Deflactor!$BP$302, IF(AND(AU281&gt;=Deflactor!$BQ$303,AU281&lt;Deflactor!$BQ$304), Deflactor!$BP$303, IF(AND(AU281&gt;=Deflactor!$BQ$304,AU281&lt;Deflactor!$BQ$305), Deflactor!$BP$304, IF(AND(AU281&gt;=Deflactor!$BQ$305,AU281&lt;Deflactor!$BQ$306), Deflactor!$BP$305, IF(AND(AU281&gt;=Deflactor!$BQ$306,AU281&lt;Deflactor!$BQ$307), Deflactor!$BP$306, Deflactor!$BP$307) ) ) ) ) ) ) ) ) )</f>
        <v>5</v>
      </c>
      <c r="AW281" s="57" t="str">
        <f>+IFERROR(VLOOKUP(AV281,Deflactor!$BP$298:$BU$307,6,0),"")</f>
        <v>10 a 15 millones USD</v>
      </c>
    </row>
    <row r="282" spans="1:49" x14ac:dyDescent="0.3">
      <c r="A282" s="3">
        <v>2009</v>
      </c>
      <c r="B282" s="3" t="s">
        <v>359</v>
      </c>
      <c r="C282" s="3" t="s">
        <v>7</v>
      </c>
      <c r="D282" s="3" t="s">
        <v>36</v>
      </c>
      <c r="E282" s="3" t="s">
        <v>37</v>
      </c>
      <c r="F282" s="3" t="s">
        <v>308</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c r="AR282" s="10">
        <f xml:space="preserve"> 2906387 * 1000</f>
        <v>2906387000</v>
      </c>
      <c r="AT282" s="46">
        <f t="shared" si="12"/>
        <v>2906387000</v>
      </c>
      <c r="AU282" s="54">
        <f xml:space="preserve"> IFERROR(ROUND(AT282 / VLOOKUP(A282,Tabla1[#All],2,0),0),"s.i")</f>
        <v>5193062</v>
      </c>
      <c r="AV282" s="33">
        <f xml:space="preserve"> IF(AU282="s.i", "s.i", IF(AND(AU282&gt;=Deflactor!$BQ$298,AU282&lt;Deflactor!$BQ$299), Deflactor!$BP$298, IF(AND(AU282&gt;=Deflactor!$BQ$299,AU282&lt;Deflactor!$BQ$300), Deflactor!$BP$299, IF(AND(AU282&gt;=Deflactor!$BQ$300,AU282&lt;Deflactor!$BQ$301), Deflactor!$BP$300, IF(AND(AU282&gt;=Deflactor!$BQ$301,AU282&lt;Deflactor!$BQ$302), Deflactor!$BP$301, IF(AND(AU282&gt;=Deflactor!$BQ$302,AU282&lt;Deflactor!$BQ$303), Deflactor!$BP$302, IF(AND(AU282&gt;=Deflactor!$BQ$303,AU282&lt;Deflactor!$BQ$304), Deflactor!$BP$303, IF(AND(AU282&gt;=Deflactor!$BQ$304,AU282&lt;Deflactor!$BQ$305), Deflactor!$BP$304, IF(AND(AU282&gt;=Deflactor!$BQ$305,AU282&lt;Deflactor!$BQ$306), Deflactor!$BP$305, IF(AND(AU282&gt;=Deflactor!$BQ$306,AU282&lt;Deflactor!$BQ$307), Deflactor!$BP$306, Deflactor!$BP$307) ) ) ) ) ) ) ) ) )</f>
        <v>3</v>
      </c>
      <c r="AW282" s="57" t="str">
        <f>+IFERROR(VLOOKUP(AV282,Deflactor!$BP$298:$BU$307,6,0),"")</f>
        <v>5 a 7,5 millones USD</v>
      </c>
    </row>
    <row r="283" spans="1:49" x14ac:dyDescent="0.3">
      <c r="A283" s="3">
        <v>2009</v>
      </c>
      <c r="B283" s="3" t="s">
        <v>360</v>
      </c>
      <c r="C283" s="3" t="s">
        <v>283</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c r="AR283" s="10">
        <f xml:space="preserve"> 111196196 * 1000</f>
        <v>111196196000</v>
      </c>
      <c r="AT283" s="46">
        <f t="shared" si="12"/>
        <v>111196196000</v>
      </c>
      <c r="AU283" s="54">
        <f xml:space="preserve"> IFERROR(ROUND(AT283 / VLOOKUP(A283,Tabla1[#All],2,0),0),"s.i")</f>
        <v>198682667</v>
      </c>
      <c r="AV283" s="33">
        <f xml:space="preserve"> IF(AU283="s.i", "s.i", IF(AND(AU283&gt;=Deflactor!$BQ$298,AU283&lt;Deflactor!$BQ$299), Deflactor!$BP$298, IF(AND(AU283&gt;=Deflactor!$BQ$299,AU283&lt;Deflactor!$BQ$300), Deflactor!$BP$299, IF(AND(AU283&gt;=Deflactor!$BQ$300,AU283&lt;Deflactor!$BQ$301), Deflactor!$BP$300, IF(AND(AU283&gt;=Deflactor!$BQ$301,AU283&lt;Deflactor!$BQ$302), Deflactor!$BP$301, IF(AND(AU283&gt;=Deflactor!$BQ$302,AU283&lt;Deflactor!$BQ$303), Deflactor!$BP$302, IF(AND(AU283&gt;=Deflactor!$BQ$303,AU283&lt;Deflactor!$BQ$304), Deflactor!$BP$303, IF(AND(AU283&gt;=Deflactor!$BQ$304,AU283&lt;Deflactor!$BQ$305), Deflactor!$BP$304, IF(AND(AU283&gt;=Deflactor!$BQ$305,AU283&lt;Deflactor!$BQ$306), Deflactor!$BP$305, IF(AND(AU283&gt;=Deflactor!$BQ$306,AU283&lt;Deflactor!$BQ$307), Deflactor!$BP$306, Deflactor!$BP$307) ) ) ) ) ) ) ) ) )</f>
        <v>10</v>
      </c>
      <c r="AW283" s="57" t="str">
        <f>+IFERROR(VLOOKUP(AV283,Deflactor!$BP$298:$BU$307,6,0),"")</f>
        <v>100 millones USD y mas</v>
      </c>
    </row>
    <row r="284" spans="1:49" x14ac:dyDescent="0.3">
      <c r="A284" s="3">
        <v>2009</v>
      </c>
      <c r="B284" s="3" t="s">
        <v>361</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c r="AR284" s="10">
        <f xml:space="preserve"> 632007 * 1000</f>
        <v>632007000</v>
      </c>
      <c r="AT284" s="46">
        <f t="shared" si="12"/>
        <v>632007000</v>
      </c>
      <c r="AU284" s="54">
        <f xml:space="preserve"> IFERROR(ROUND(AT284 / VLOOKUP(A284,Tabla1[#All],2,0),0),"s.i")</f>
        <v>1129255</v>
      </c>
      <c r="AV284" s="33">
        <f xml:space="preserve"> IF(AU284="s.i", "s.i", IF(AND(AU284&gt;=Deflactor!$BQ$298,AU284&lt;Deflactor!$BQ$299), Deflactor!$BP$298, IF(AND(AU284&gt;=Deflactor!$BQ$299,AU284&lt;Deflactor!$BQ$300), Deflactor!$BP$299, IF(AND(AU284&gt;=Deflactor!$BQ$300,AU284&lt;Deflactor!$BQ$301), Deflactor!$BP$300, IF(AND(AU284&gt;=Deflactor!$BQ$301,AU284&lt;Deflactor!$BQ$302), Deflactor!$BP$301, IF(AND(AU284&gt;=Deflactor!$BQ$302,AU284&lt;Deflactor!$BQ$303), Deflactor!$BP$302, IF(AND(AU284&gt;=Deflactor!$BQ$303,AU284&lt;Deflactor!$BQ$304), Deflactor!$BP$303, IF(AND(AU284&gt;=Deflactor!$BQ$304,AU284&lt;Deflactor!$BQ$305), Deflactor!$BP$304, IF(AND(AU284&gt;=Deflactor!$BQ$305,AU284&lt;Deflactor!$BQ$306), Deflactor!$BP$305, IF(AND(AU284&gt;=Deflactor!$BQ$306,AU284&lt;Deflactor!$BQ$307), Deflactor!$BP$306, Deflactor!$BP$307) ) ) ) ) ) ) ) ) )</f>
        <v>1</v>
      </c>
      <c r="AW284" s="57" t="str">
        <f>+IFERROR(VLOOKUP(AV284,Deflactor!$BP$298:$BU$307,6,0),"")</f>
        <v>2 millones USD y menos</v>
      </c>
    </row>
    <row r="285" spans="1:49" x14ac:dyDescent="0.3">
      <c r="A285" s="3">
        <v>2009</v>
      </c>
      <c r="B285" s="3" t="s">
        <v>362</v>
      </c>
      <c r="C285" s="3" t="s">
        <v>7</v>
      </c>
      <c r="D285" s="3" t="s">
        <v>71</v>
      </c>
      <c r="E285" s="3" t="s">
        <v>167</v>
      </c>
      <c r="F285" s="3" t="s">
        <v>329</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c r="AR285" s="34"/>
      <c r="AT285" s="46"/>
      <c r="AU285" s="54"/>
      <c r="AV285" s="33">
        <f xml:space="preserve"> IF(AU285="s.i", "s.i", IF(AND(AU285&gt;=Deflactor!$BQ$298,AU285&lt;Deflactor!$BQ$299), Deflactor!$BP$298, IF(AND(AU285&gt;=Deflactor!$BQ$299,AU285&lt;Deflactor!$BQ$300), Deflactor!$BP$299, IF(AND(AU285&gt;=Deflactor!$BQ$300,AU285&lt;Deflactor!$BQ$301), Deflactor!$BP$300, IF(AND(AU285&gt;=Deflactor!$BQ$301,AU285&lt;Deflactor!$BQ$302), Deflactor!$BP$301, IF(AND(AU285&gt;=Deflactor!$BQ$302,AU285&lt;Deflactor!$BQ$303), Deflactor!$BP$302, IF(AND(AU285&gt;=Deflactor!$BQ$303,AU285&lt;Deflactor!$BQ$304), Deflactor!$BP$303, IF(AND(AU285&gt;=Deflactor!$BQ$304,AU285&lt;Deflactor!$BQ$305), Deflactor!$BP$304, IF(AND(AU285&gt;=Deflactor!$BQ$305,AU285&lt;Deflactor!$BQ$306), Deflactor!$BP$305, IF(AND(AU285&gt;=Deflactor!$BQ$306,AU285&lt;Deflactor!$BQ$307), Deflactor!$BP$306, Deflactor!$BP$307) ) ) ) ) ) ) ) ) )</f>
        <v>10</v>
      </c>
      <c r="AW285" s="57" t="str">
        <f>+IFERROR(VLOOKUP(AV285,Deflactor!$BP$298:$BU$307,6,0),"")</f>
        <v>100 millones USD y mas</v>
      </c>
    </row>
    <row r="286" spans="1:49" x14ac:dyDescent="0.3">
      <c r="A286" s="3">
        <v>2009</v>
      </c>
      <c r="B286" s="3" t="s">
        <v>363</v>
      </c>
      <c r="C286" s="3" t="s">
        <v>7</v>
      </c>
      <c r="D286" s="3" t="s">
        <v>8</v>
      </c>
      <c r="E286" s="3" t="s">
        <v>264</v>
      </c>
      <c r="F286" s="3" t="s">
        <v>351</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c r="AR286" s="10">
        <f xml:space="preserve"> 9337673 * 1000</f>
        <v>9337673000</v>
      </c>
      <c r="AT286" s="46">
        <f t="shared" si="12"/>
        <v>9337673000</v>
      </c>
      <c r="AU286" s="54">
        <f xml:space="preserve"> IFERROR(ROUND(AT286 / VLOOKUP(A286,Tabla1[#All],2,0),0),"s.i")</f>
        <v>16684328</v>
      </c>
      <c r="AV286" s="33">
        <f xml:space="preserve"> IF(AU286="s.i", "s.i", IF(AND(AU286&gt;=Deflactor!$BQ$298,AU286&lt;Deflactor!$BQ$299), Deflactor!$BP$298, IF(AND(AU286&gt;=Deflactor!$BQ$299,AU286&lt;Deflactor!$BQ$300), Deflactor!$BP$299, IF(AND(AU286&gt;=Deflactor!$BQ$300,AU286&lt;Deflactor!$BQ$301), Deflactor!$BP$300, IF(AND(AU286&gt;=Deflactor!$BQ$301,AU286&lt;Deflactor!$BQ$302), Deflactor!$BP$301, IF(AND(AU286&gt;=Deflactor!$BQ$302,AU286&lt;Deflactor!$BQ$303), Deflactor!$BP$302, IF(AND(AU286&gt;=Deflactor!$BQ$303,AU286&lt;Deflactor!$BQ$304), Deflactor!$BP$303, IF(AND(AU286&gt;=Deflactor!$BQ$304,AU286&lt;Deflactor!$BQ$305), Deflactor!$BP$304, IF(AND(AU286&gt;=Deflactor!$BQ$305,AU286&lt;Deflactor!$BQ$306), Deflactor!$BP$305, IF(AND(AU286&gt;=Deflactor!$BQ$306,AU286&lt;Deflactor!$BQ$307), Deflactor!$BP$306, Deflactor!$BP$307) ) ) ) ) ) ) ) ) )</f>
        <v>6</v>
      </c>
      <c r="AW286" s="57" t="str">
        <f>+IFERROR(VLOOKUP(AV286,Deflactor!$BP$298:$BU$307,6,0),"")</f>
        <v>15 a 20 millones USD</v>
      </c>
    </row>
    <row r="287" spans="1:49" x14ac:dyDescent="0.3">
      <c r="A287" s="3">
        <v>2009</v>
      </c>
      <c r="B287" s="3" t="s">
        <v>364</v>
      </c>
      <c r="C287" s="3" t="s">
        <v>7</v>
      </c>
      <c r="D287" s="3" t="s">
        <v>8</v>
      </c>
      <c r="E287" s="3" t="s">
        <v>51</v>
      </c>
      <c r="F287" s="3" t="s">
        <v>310</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c r="AR287" s="10">
        <f xml:space="preserve"> 10547807 * 1000</f>
        <v>10547807000</v>
      </c>
      <c r="AT287" s="46">
        <f t="shared" si="12"/>
        <v>10547807000</v>
      </c>
      <c r="AU287" s="54">
        <f xml:space="preserve"> IFERROR(ROUND(AT287 / VLOOKUP(A287,Tabla1[#All],2,0),0),"s.i")</f>
        <v>18846566</v>
      </c>
      <c r="AV287" s="33">
        <f xml:space="preserve"> IF(AU287="s.i", "s.i", IF(AND(AU287&gt;=Deflactor!$BQ$298,AU287&lt;Deflactor!$BQ$299), Deflactor!$BP$298, IF(AND(AU287&gt;=Deflactor!$BQ$299,AU287&lt;Deflactor!$BQ$300), Deflactor!$BP$299, IF(AND(AU287&gt;=Deflactor!$BQ$300,AU287&lt;Deflactor!$BQ$301), Deflactor!$BP$300, IF(AND(AU287&gt;=Deflactor!$BQ$301,AU287&lt;Deflactor!$BQ$302), Deflactor!$BP$301, IF(AND(AU287&gt;=Deflactor!$BQ$302,AU287&lt;Deflactor!$BQ$303), Deflactor!$BP$302, IF(AND(AU287&gt;=Deflactor!$BQ$303,AU287&lt;Deflactor!$BQ$304), Deflactor!$BP$303, IF(AND(AU287&gt;=Deflactor!$BQ$304,AU287&lt;Deflactor!$BQ$305), Deflactor!$BP$304, IF(AND(AU287&gt;=Deflactor!$BQ$305,AU287&lt;Deflactor!$BQ$306), Deflactor!$BP$305, IF(AND(AU287&gt;=Deflactor!$BQ$306,AU287&lt;Deflactor!$BQ$307), Deflactor!$BP$306, Deflactor!$BP$307) ) ) ) ) ) ) ) ) )</f>
        <v>6</v>
      </c>
      <c r="AW287" s="57" t="str">
        <f>+IFERROR(VLOOKUP(AV287,Deflactor!$BP$298:$BU$307,6,0),"")</f>
        <v>15 a 20 millones USD</v>
      </c>
    </row>
    <row r="288" spans="1:49" x14ac:dyDescent="0.3">
      <c r="A288" s="3">
        <v>2009</v>
      </c>
      <c r="B288" s="3" t="s">
        <v>365</v>
      </c>
      <c r="C288" s="3" t="s">
        <v>7</v>
      </c>
      <c r="D288" s="3" t="s">
        <v>164</v>
      </c>
      <c r="E288" s="3" t="s">
        <v>165</v>
      </c>
      <c r="F288" s="3" t="s">
        <v>329</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c r="AR288" s="34"/>
      <c r="AT288" s="46"/>
      <c r="AU288" s="54"/>
      <c r="AV288" s="33">
        <f xml:space="preserve"> IF(AU288="s.i", "s.i", IF(AND(AU288&gt;=Deflactor!$BQ$298,AU288&lt;Deflactor!$BQ$299), Deflactor!$BP$298, IF(AND(AU288&gt;=Deflactor!$BQ$299,AU288&lt;Deflactor!$BQ$300), Deflactor!$BP$299, IF(AND(AU288&gt;=Deflactor!$BQ$300,AU288&lt;Deflactor!$BQ$301), Deflactor!$BP$300, IF(AND(AU288&gt;=Deflactor!$BQ$301,AU288&lt;Deflactor!$BQ$302), Deflactor!$BP$301, IF(AND(AU288&gt;=Deflactor!$BQ$302,AU288&lt;Deflactor!$BQ$303), Deflactor!$BP$302, IF(AND(AU288&gt;=Deflactor!$BQ$303,AU288&lt;Deflactor!$BQ$304), Deflactor!$BP$303, IF(AND(AU288&gt;=Deflactor!$BQ$304,AU288&lt;Deflactor!$BQ$305), Deflactor!$BP$304, IF(AND(AU288&gt;=Deflactor!$BQ$305,AU288&lt;Deflactor!$BQ$306), Deflactor!$BP$305, IF(AND(AU288&gt;=Deflactor!$BQ$306,AU288&lt;Deflactor!$BQ$307), Deflactor!$BP$306, Deflactor!$BP$307) ) ) ) ) ) ) ) ) )</f>
        <v>10</v>
      </c>
      <c r="AW288" s="57" t="str">
        <f>+IFERROR(VLOOKUP(AV288,Deflactor!$BP$298:$BU$307,6,0),"")</f>
        <v>100 millones USD y mas</v>
      </c>
    </row>
    <row r="289" spans="1:49" x14ac:dyDescent="0.3">
      <c r="A289" s="3">
        <v>2009</v>
      </c>
      <c r="B289" s="3" t="s">
        <v>366</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c r="AR289" s="34">
        <f xml:space="preserve"> 3343822 * 1000</f>
        <v>3343822000</v>
      </c>
      <c r="AT289" s="46">
        <f t="shared" si="12"/>
        <v>3343822000</v>
      </c>
      <c r="AU289" s="54">
        <f xml:space="preserve"> IFERROR(ROUND(AT289 / VLOOKUP(A289,Tabla1[#All],2,0),0),"s.i")</f>
        <v>5974660</v>
      </c>
      <c r="AV289" s="33">
        <f xml:space="preserve"> IF(AU289="s.i", "s.i", IF(AND(AU289&gt;=Deflactor!$BQ$298,AU289&lt;Deflactor!$BQ$299), Deflactor!$BP$298, IF(AND(AU289&gt;=Deflactor!$BQ$299,AU289&lt;Deflactor!$BQ$300), Deflactor!$BP$299, IF(AND(AU289&gt;=Deflactor!$BQ$300,AU289&lt;Deflactor!$BQ$301), Deflactor!$BP$300, IF(AND(AU289&gt;=Deflactor!$BQ$301,AU289&lt;Deflactor!$BQ$302), Deflactor!$BP$301, IF(AND(AU289&gt;=Deflactor!$BQ$302,AU289&lt;Deflactor!$BQ$303), Deflactor!$BP$302, IF(AND(AU289&gt;=Deflactor!$BQ$303,AU289&lt;Deflactor!$BQ$304), Deflactor!$BP$303, IF(AND(AU289&gt;=Deflactor!$BQ$304,AU289&lt;Deflactor!$BQ$305), Deflactor!$BP$304, IF(AND(AU289&gt;=Deflactor!$BQ$305,AU289&lt;Deflactor!$BQ$306), Deflactor!$BP$305, IF(AND(AU289&gt;=Deflactor!$BQ$306,AU289&lt;Deflactor!$BQ$307), Deflactor!$BP$306, Deflactor!$BP$307) ) ) ) ) ) ) ) ) )</f>
        <v>3</v>
      </c>
      <c r="AW289" s="57" t="str">
        <f>+IFERROR(VLOOKUP(AV289,Deflactor!$BP$298:$BU$307,6,0),"")</f>
        <v>5 a 7,5 millones USD</v>
      </c>
    </row>
    <row r="290" spans="1:49" x14ac:dyDescent="0.3">
      <c r="A290" s="3">
        <v>2009</v>
      </c>
      <c r="B290" s="3" t="s">
        <v>367</v>
      </c>
      <c r="C290" s="3" t="s">
        <v>155</v>
      </c>
      <c r="D290" s="3" t="s">
        <v>159</v>
      </c>
      <c r="E290" s="3" t="s">
        <v>368</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c r="AR290" s="10">
        <f xml:space="preserve"> 3070179 * 1000</f>
        <v>3070179000</v>
      </c>
      <c r="AT290" s="46">
        <f t="shared" si="12"/>
        <v>3070179000</v>
      </c>
      <c r="AU290" s="54">
        <f xml:space="preserve"> IFERROR(ROUND(AT290 / VLOOKUP(A290,Tabla1[#All],2,0),0),"s.i")</f>
        <v>5485721</v>
      </c>
      <c r="AV290" s="33">
        <f xml:space="preserve"> IF(AU290="s.i", "s.i", IF(AND(AU290&gt;=Deflactor!$BQ$298,AU290&lt;Deflactor!$BQ$299), Deflactor!$BP$298, IF(AND(AU290&gt;=Deflactor!$BQ$299,AU290&lt;Deflactor!$BQ$300), Deflactor!$BP$299, IF(AND(AU290&gt;=Deflactor!$BQ$300,AU290&lt;Deflactor!$BQ$301), Deflactor!$BP$300, IF(AND(AU290&gt;=Deflactor!$BQ$301,AU290&lt;Deflactor!$BQ$302), Deflactor!$BP$301, IF(AND(AU290&gt;=Deflactor!$BQ$302,AU290&lt;Deflactor!$BQ$303), Deflactor!$BP$302, IF(AND(AU290&gt;=Deflactor!$BQ$303,AU290&lt;Deflactor!$BQ$304), Deflactor!$BP$303, IF(AND(AU290&gt;=Deflactor!$BQ$304,AU290&lt;Deflactor!$BQ$305), Deflactor!$BP$304, IF(AND(AU290&gt;=Deflactor!$BQ$305,AU290&lt;Deflactor!$BQ$306), Deflactor!$BP$305, IF(AND(AU290&gt;=Deflactor!$BQ$306,AU290&lt;Deflactor!$BQ$307), Deflactor!$BP$306, Deflactor!$BP$307) ) ) ) ) ) ) ) ) )</f>
        <v>3</v>
      </c>
      <c r="AW290" s="57" t="str">
        <f>+IFERROR(VLOOKUP(AV290,Deflactor!$BP$298:$BU$307,6,0),"")</f>
        <v>5 a 7,5 millones USD</v>
      </c>
    </row>
    <row r="291" spans="1:49" x14ac:dyDescent="0.3">
      <c r="A291" s="3">
        <v>2009</v>
      </c>
      <c r="B291" s="3" t="s">
        <v>369</v>
      </c>
      <c r="C291" s="3" t="s">
        <v>155</v>
      </c>
      <c r="D291" s="3" t="s">
        <v>159</v>
      </c>
      <c r="E291" s="3" t="s">
        <v>370</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c r="AR291" s="10">
        <f xml:space="preserve"> 9957711 * 1000</f>
        <v>9957711000</v>
      </c>
      <c r="AT291" s="46">
        <f t="shared" si="12"/>
        <v>9957711000</v>
      </c>
      <c r="AU291" s="54">
        <f xml:space="preserve"> IFERROR(ROUND(AT291 / VLOOKUP(A291,Tabla1[#All],2,0),0),"s.i")</f>
        <v>17792197</v>
      </c>
      <c r="AV291" s="33">
        <f xml:space="preserve"> IF(AU291="s.i", "s.i", IF(AND(AU291&gt;=Deflactor!$BQ$298,AU291&lt;Deflactor!$BQ$299), Deflactor!$BP$298, IF(AND(AU291&gt;=Deflactor!$BQ$299,AU291&lt;Deflactor!$BQ$300), Deflactor!$BP$299, IF(AND(AU291&gt;=Deflactor!$BQ$300,AU291&lt;Deflactor!$BQ$301), Deflactor!$BP$300, IF(AND(AU291&gt;=Deflactor!$BQ$301,AU291&lt;Deflactor!$BQ$302), Deflactor!$BP$301, IF(AND(AU291&gt;=Deflactor!$BQ$302,AU291&lt;Deflactor!$BQ$303), Deflactor!$BP$302, IF(AND(AU291&gt;=Deflactor!$BQ$303,AU291&lt;Deflactor!$BQ$304), Deflactor!$BP$303, IF(AND(AU291&gt;=Deflactor!$BQ$304,AU291&lt;Deflactor!$BQ$305), Deflactor!$BP$304, IF(AND(AU291&gt;=Deflactor!$BQ$305,AU291&lt;Deflactor!$BQ$306), Deflactor!$BP$305, IF(AND(AU291&gt;=Deflactor!$BQ$306,AU291&lt;Deflactor!$BQ$307), Deflactor!$BP$306, Deflactor!$BP$307) ) ) ) ) ) ) ) ) )</f>
        <v>6</v>
      </c>
      <c r="AW291" s="57" t="str">
        <f>+IFERROR(VLOOKUP(AV291,Deflactor!$BP$298:$BU$307,6,0),"")</f>
        <v>15 a 20 millones USD</v>
      </c>
    </row>
    <row r="292" spans="1:49" x14ac:dyDescent="0.3">
      <c r="A292" s="3">
        <v>2009</v>
      </c>
      <c r="B292" s="3" t="s">
        <v>371</v>
      </c>
      <c r="C292" s="3" t="s">
        <v>7</v>
      </c>
      <c r="D292" s="3" t="s">
        <v>290</v>
      </c>
      <c r="E292" s="3" t="s">
        <v>291</v>
      </c>
      <c r="F292" s="3" t="s">
        <v>329</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c r="AR292" s="10">
        <f xml:space="preserve"> 318600 * 1000</f>
        <v>318600000</v>
      </c>
      <c r="AT292" s="46">
        <f t="shared" si="12"/>
        <v>318600000</v>
      </c>
      <c r="AU292" s="54">
        <f xml:space="preserve"> IFERROR(ROUND(AT292 / VLOOKUP(A292,Tabla1[#All],2,0),0),"s.i")</f>
        <v>569267</v>
      </c>
      <c r="AV292" s="33">
        <f xml:space="preserve"> IF(AU292="s.i", "s.i", IF(AND(AU292&gt;=Deflactor!$BQ$298,AU292&lt;Deflactor!$BQ$299), Deflactor!$BP$298, IF(AND(AU292&gt;=Deflactor!$BQ$299,AU292&lt;Deflactor!$BQ$300), Deflactor!$BP$299, IF(AND(AU292&gt;=Deflactor!$BQ$300,AU292&lt;Deflactor!$BQ$301), Deflactor!$BP$300, IF(AND(AU292&gt;=Deflactor!$BQ$301,AU292&lt;Deflactor!$BQ$302), Deflactor!$BP$301, IF(AND(AU292&gt;=Deflactor!$BQ$302,AU292&lt;Deflactor!$BQ$303), Deflactor!$BP$302, IF(AND(AU292&gt;=Deflactor!$BQ$303,AU292&lt;Deflactor!$BQ$304), Deflactor!$BP$303, IF(AND(AU292&gt;=Deflactor!$BQ$304,AU292&lt;Deflactor!$BQ$305), Deflactor!$BP$304, IF(AND(AU292&gt;=Deflactor!$BQ$305,AU292&lt;Deflactor!$BQ$306), Deflactor!$BP$305, IF(AND(AU292&gt;=Deflactor!$BQ$306,AU292&lt;Deflactor!$BQ$307), Deflactor!$BP$306, Deflactor!$BP$307) ) ) ) ) ) ) ) ) )</f>
        <v>1</v>
      </c>
      <c r="AW292" s="57" t="str">
        <f>+IFERROR(VLOOKUP(AV292,Deflactor!$BP$298:$BU$307,6,0),"")</f>
        <v>2 millones USD y menos</v>
      </c>
    </row>
    <row r="293" spans="1:49" x14ac:dyDescent="0.3">
      <c r="A293" s="3">
        <v>2009</v>
      </c>
      <c r="B293" s="3" t="s">
        <v>372</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c r="AR293" s="10">
        <f xml:space="preserve"> 33984 * 1000</f>
        <v>33984000</v>
      </c>
      <c r="AT293" s="46">
        <f t="shared" si="12"/>
        <v>33984000</v>
      </c>
      <c r="AU293" s="54">
        <f xml:space="preserve"> IFERROR(ROUND(AT293 / VLOOKUP(A293,Tabla1[#All],2,0),0),"s.i")</f>
        <v>60722</v>
      </c>
      <c r="AV293" s="33">
        <f xml:space="preserve"> IF(AU293="s.i", "s.i", IF(AND(AU293&gt;=Deflactor!$BQ$298,AU293&lt;Deflactor!$BQ$299), Deflactor!$BP$298, IF(AND(AU293&gt;=Deflactor!$BQ$299,AU293&lt;Deflactor!$BQ$300), Deflactor!$BP$299, IF(AND(AU293&gt;=Deflactor!$BQ$300,AU293&lt;Deflactor!$BQ$301), Deflactor!$BP$300, IF(AND(AU293&gt;=Deflactor!$BQ$301,AU293&lt;Deflactor!$BQ$302), Deflactor!$BP$301, IF(AND(AU293&gt;=Deflactor!$BQ$302,AU293&lt;Deflactor!$BQ$303), Deflactor!$BP$302, IF(AND(AU293&gt;=Deflactor!$BQ$303,AU293&lt;Deflactor!$BQ$304), Deflactor!$BP$303, IF(AND(AU293&gt;=Deflactor!$BQ$304,AU293&lt;Deflactor!$BQ$305), Deflactor!$BP$304, IF(AND(AU293&gt;=Deflactor!$BQ$305,AU293&lt;Deflactor!$BQ$306), Deflactor!$BP$305, IF(AND(AU293&gt;=Deflactor!$BQ$306,AU293&lt;Deflactor!$BQ$307), Deflactor!$BP$306, Deflactor!$BP$307) ) ) ) ) ) ) ) ) )</f>
        <v>1</v>
      </c>
      <c r="AW293" s="57" t="str">
        <f>+IFERROR(VLOOKUP(AV293,Deflactor!$BP$298:$BU$307,6,0),"")</f>
        <v>2 millones USD y menos</v>
      </c>
    </row>
    <row r="294" spans="1:49" x14ac:dyDescent="0.3">
      <c r="A294" s="3">
        <v>2009</v>
      </c>
      <c r="B294" s="3" t="s">
        <v>373</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c r="AR294" s="10">
        <f t="shared" ref="AR294:AR295" si="14" xml:space="preserve"> 17991107 * 1000</f>
        <v>17991107000</v>
      </c>
      <c r="AT294" s="46">
        <f t="shared" si="12"/>
        <v>17991107000</v>
      </c>
      <c r="AU294" s="54">
        <f xml:space="preserve"> IFERROR(ROUND(AT294 / VLOOKUP(A294,Tabla1[#All],2,0),0),"s.i")</f>
        <v>32146074</v>
      </c>
      <c r="AV294" s="33">
        <f xml:space="preserve"> IF(AU294="s.i", "s.i", IF(AND(AU294&gt;=Deflactor!$BQ$298,AU294&lt;Deflactor!$BQ$299), Deflactor!$BP$298, IF(AND(AU294&gt;=Deflactor!$BQ$299,AU294&lt;Deflactor!$BQ$300), Deflactor!$BP$299, IF(AND(AU294&gt;=Deflactor!$BQ$300,AU294&lt;Deflactor!$BQ$301), Deflactor!$BP$300, IF(AND(AU294&gt;=Deflactor!$BQ$301,AU294&lt;Deflactor!$BQ$302), Deflactor!$BP$301, IF(AND(AU294&gt;=Deflactor!$BQ$302,AU294&lt;Deflactor!$BQ$303), Deflactor!$BP$302, IF(AND(AU294&gt;=Deflactor!$BQ$303,AU294&lt;Deflactor!$BQ$304), Deflactor!$BP$303, IF(AND(AU294&gt;=Deflactor!$BQ$304,AU294&lt;Deflactor!$BQ$305), Deflactor!$BP$304, IF(AND(AU294&gt;=Deflactor!$BQ$305,AU294&lt;Deflactor!$BQ$306), Deflactor!$BP$305, IF(AND(AU294&gt;=Deflactor!$BQ$306,AU294&lt;Deflactor!$BQ$307), Deflactor!$BP$306, Deflactor!$BP$307) ) ) ) ) ) ) ) ) )</f>
        <v>8</v>
      </c>
      <c r="AW294" s="57" t="str">
        <f>+IFERROR(VLOOKUP(AV294,Deflactor!$BP$298:$BU$307,6,0),"")</f>
        <v>30 a 50 millones USD</v>
      </c>
    </row>
    <row r="295" spans="1:49" x14ac:dyDescent="0.3">
      <c r="A295" s="3">
        <v>2009</v>
      </c>
      <c r="B295" s="3" t="s">
        <v>374</v>
      </c>
      <c r="C295" s="3" t="s">
        <v>92</v>
      </c>
      <c r="D295" s="3" t="s">
        <v>25</v>
      </c>
      <c r="E295" s="3" t="s">
        <v>26</v>
      </c>
      <c r="F295" s="3" t="s">
        <v>194</v>
      </c>
      <c r="G295" s="3"/>
      <c r="H295" s="12"/>
      <c r="I295" s="13"/>
      <c r="J295" s="10"/>
      <c r="K295" s="3" t="s">
        <v>2191</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c r="AR295" s="10">
        <f t="shared" si="14"/>
        <v>17991107000</v>
      </c>
      <c r="AT295" s="46">
        <f t="shared" si="12"/>
        <v>17991107000</v>
      </c>
      <c r="AU295" s="54">
        <f xml:space="preserve"> IFERROR(ROUND(AT295 / VLOOKUP(A295,Tabla1[#All],2,0),0),"s.i")</f>
        <v>32146074</v>
      </c>
      <c r="AV295" s="33">
        <f xml:space="preserve"> IF(AU295="s.i", "s.i", IF(AND(AU295&gt;=Deflactor!$BQ$298,AU295&lt;Deflactor!$BQ$299), Deflactor!$BP$298, IF(AND(AU295&gt;=Deflactor!$BQ$299,AU295&lt;Deflactor!$BQ$300), Deflactor!$BP$299, IF(AND(AU295&gt;=Deflactor!$BQ$300,AU295&lt;Deflactor!$BQ$301), Deflactor!$BP$300, IF(AND(AU295&gt;=Deflactor!$BQ$301,AU295&lt;Deflactor!$BQ$302), Deflactor!$BP$301, IF(AND(AU295&gt;=Deflactor!$BQ$302,AU295&lt;Deflactor!$BQ$303), Deflactor!$BP$302, IF(AND(AU295&gt;=Deflactor!$BQ$303,AU295&lt;Deflactor!$BQ$304), Deflactor!$BP$303, IF(AND(AU295&gt;=Deflactor!$BQ$304,AU295&lt;Deflactor!$BQ$305), Deflactor!$BP$304, IF(AND(AU295&gt;=Deflactor!$BQ$305,AU295&lt;Deflactor!$BQ$306), Deflactor!$BP$305, IF(AND(AU295&gt;=Deflactor!$BQ$306,AU295&lt;Deflactor!$BQ$307), Deflactor!$BP$306, Deflactor!$BP$307) ) ) ) ) ) ) ) ) )</f>
        <v>8</v>
      </c>
      <c r="AW295" s="57" t="str">
        <f>+IFERROR(VLOOKUP(AV295,Deflactor!$BP$298:$BU$307,6,0),"")</f>
        <v>30 a 50 millones USD</v>
      </c>
    </row>
    <row r="296" spans="1:49" x14ac:dyDescent="0.3">
      <c r="A296" s="3">
        <v>2009</v>
      </c>
      <c r="B296" s="3" t="s">
        <v>375</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c r="AR296" s="10">
        <f xml:space="preserve"> 17991107 * 1000</f>
        <v>17991107000</v>
      </c>
      <c r="AT296" s="46">
        <f t="shared" si="12"/>
        <v>17991107000</v>
      </c>
      <c r="AU296" s="54">
        <f xml:space="preserve"> IFERROR(ROUND(AT296 / VLOOKUP(A296,Tabla1[#All],2,0),0),"s.i")</f>
        <v>32146074</v>
      </c>
      <c r="AV296" s="33">
        <f xml:space="preserve"> IF(AU296="s.i", "s.i", IF(AND(AU296&gt;=Deflactor!$BQ$298,AU296&lt;Deflactor!$BQ$299), Deflactor!$BP$298, IF(AND(AU296&gt;=Deflactor!$BQ$299,AU296&lt;Deflactor!$BQ$300), Deflactor!$BP$299, IF(AND(AU296&gt;=Deflactor!$BQ$300,AU296&lt;Deflactor!$BQ$301), Deflactor!$BP$300, IF(AND(AU296&gt;=Deflactor!$BQ$301,AU296&lt;Deflactor!$BQ$302), Deflactor!$BP$301, IF(AND(AU296&gt;=Deflactor!$BQ$302,AU296&lt;Deflactor!$BQ$303), Deflactor!$BP$302, IF(AND(AU296&gt;=Deflactor!$BQ$303,AU296&lt;Deflactor!$BQ$304), Deflactor!$BP$303, IF(AND(AU296&gt;=Deflactor!$BQ$304,AU296&lt;Deflactor!$BQ$305), Deflactor!$BP$304, IF(AND(AU296&gt;=Deflactor!$BQ$305,AU296&lt;Deflactor!$BQ$306), Deflactor!$BP$305, IF(AND(AU296&gt;=Deflactor!$BQ$306,AU296&lt;Deflactor!$BQ$307), Deflactor!$BP$306, Deflactor!$BP$307) ) ) ) ) ) ) ) ) )</f>
        <v>8</v>
      </c>
      <c r="AW296" s="57" t="str">
        <f>+IFERROR(VLOOKUP(AV296,Deflactor!$BP$298:$BU$307,6,0),"")</f>
        <v>30 a 50 millones USD</v>
      </c>
    </row>
    <row r="297" spans="1:49" x14ac:dyDescent="0.3">
      <c r="A297" s="3">
        <v>2009</v>
      </c>
      <c r="B297" s="3" t="s">
        <v>376</v>
      </c>
      <c r="C297" s="3" t="s">
        <v>283</v>
      </c>
      <c r="D297" s="3" t="s">
        <v>64</v>
      </c>
      <c r="E297" s="3" t="s">
        <v>262</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c r="AR297" s="34"/>
      <c r="AT297" s="46"/>
      <c r="AU297" s="54"/>
      <c r="AV297" s="33">
        <f xml:space="preserve"> IF(AU297="s.i", "s.i", IF(AND(AU297&gt;=Deflactor!$BQ$298,AU297&lt;Deflactor!$BQ$299), Deflactor!$BP$298, IF(AND(AU297&gt;=Deflactor!$BQ$299,AU297&lt;Deflactor!$BQ$300), Deflactor!$BP$299, IF(AND(AU297&gt;=Deflactor!$BQ$300,AU297&lt;Deflactor!$BQ$301), Deflactor!$BP$300, IF(AND(AU297&gt;=Deflactor!$BQ$301,AU297&lt;Deflactor!$BQ$302), Deflactor!$BP$301, IF(AND(AU297&gt;=Deflactor!$BQ$302,AU297&lt;Deflactor!$BQ$303), Deflactor!$BP$302, IF(AND(AU297&gt;=Deflactor!$BQ$303,AU297&lt;Deflactor!$BQ$304), Deflactor!$BP$303, IF(AND(AU297&gt;=Deflactor!$BQ$304,AU297&lt;Deflactor!$BQ$305), Deflactor!$BP$304, IF(AND(AU297&gt;=Deflactor!$BQ$305,AU297&lt;Deflactor!$BQ$306), Deflactor!$BP$305, IF(AND(AU297&gt;=Deflactor!$BQ$306,AU297&lt;Deflactor!$BQ$307), Deflactor!$BP$306, Deflactor!$BP$307) ) ) ) ) ) ) ) ) )</f>
        <v>10</v>
      </c>
      <c r="AW297" s="57" t="str">
        <f>+IFERROR(VLOOKUP(AV297,Deflactor!$BP$298:$BU$307,6,0),"")</f>
        <v>100 millones USD y mas</v>
      </c>
    </row>
    <row r="298" spans="1:49" x14ac:dyDescent="0.3">
      <c r="A298" s="3">
        <v>2009</v>
      </c>
      <c r="B298" s="3" t="s">
        <v>377</v>
      </c>
      <c r="C298" s="3" t="s">
        <v>283</v>
      </c>
      <c r="D298" s="3" t="s">
        <v>64</v>
      </c>
      <c r="E298" s="3" t="s">
        <v>262</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c r="AR298" s="34"/>
      <c r="AT298" s="46"/>
      <c r="AU298" s="54"/>
      <c r="AV298" s="33">
        <f xml:space="preserve"> IF(AU298="s.i", "s.i", IF(AND(AU298&gt;=Deflactor!$BQ$298,AU298&lt;Deflactor!$BQ$299), Deflactor!$BP$298, IF(AND(AU298&gt;=Deflactor!$BQ$299,AU298&lt;Deflactor!$BQ$300), Deflactor!$BP$299, IF(AND(AU298&gt;=Deflactor!$BQ$300,AU298&lt;Deflactor!$BQ$301), Deflactor!$BP$300, IF(AND(AU298&gt;=Deflactor!$BQ$301,AU298&lt;Deflactor!$BQ$302), Deflactor!$BP$301, IF(AND(AU298&gt;=Deflactor!$BQ$302,AU298&lt;Deflactor!$BQ$303), Deflactor!$BP$302, IF(AND(AU298&gt;=Deflactor!$BQ$303,AU298&lt;Deflactor!$BQ$304), Deflactor!$BP$303, IF(AND(AU298&gt;=Deflactor!$BQ$304,AU298&lt;Deflactor!$BQ$305), Deflactor!$BP$304, IF(AND(AU298&gt;=Deflactor!$BQ$305,AU298&lt;Deflactor!$BQ$306), Deflactor!$BP$305, IF(AND(AU298&gt;=Deflactor!$BQ$306,AU298&lt;Deflactor!$BQ$307), Deflactor!$BP$306, Deflactor!$BP$307) ) ) ) ) ) ) ) ) )</f>
        <v>10</v>
      </c>
      <c r="AW298" s="57" t="str">
        <f>+IFERROR(VLOOKUP(AV298,Deflactor!$BP$298:$BU$307,6,0),"")</f>
        <v>100 millones USD y mas</v>
      </c>
    </row>
    <row r="299" spans="1:49" x14ac:dyDescent="0.3">
      <c r="A299" s="3">
        <v>2009</v>
      </c>
      <c r="B299" s="3" t="s">
        <v>378</v>
      </c>
      <c r="C299" s="3" t="s">
        <v>283</v>
      </c>
      <c r="D299" s="3" t="s">
        <v>64</v>
      </c>
      <c r="E299" s="3" t="s">
        <v>65</v>
      </c>
      <c r="F299" s="3" t="s">
        <v>30</v>
      </c>
      <c r="G299" s="3"/>
      <c r="H299" s="12"/>
      <c r="I299" s="13"/>
      <c r="J299" s="10"/>
      <c r="K299" s="3"/>
      <c r="L299" s="3"/>
      <c r="M299" s="3"/>
      <c r="N299" s="3"/>
      <c r="O299" s="3"/>
      <c r="P299" s="3"/>
      <c r="Q299" s="3"/>
      <c r="R299" s="3"/>
      <c r="S299" s="3"/>
      <c r="T299" s="3"/>
      <c r="U299" s="3" t="s">
        <v>378</v>
      </c>
      <c r="V299" s="3"/>
      <c r="W299" s="10" t="str">
        <f>IF( J299="s.i", "s.i", IF(ISBLANK(J299),"Actualizando información",IFERROR(J299 / VLOOKUP(A299,Deflactor!$G$3:$H$64,2,0),"Revisar error" )))</f>
        <v>Actualizando información</v>
      </c>
      <c r="AR299" s="10">
        <f xml:space="preserve"> 15930000 * 1000</f>
        <v>15930000000</v>
      </c>
      <c r="AT299" s="46">
        <f t="shared" si="12"/>
        <v>15930000000</v>
      </c>
      <c r="AU299" s="54">
        <f xml:space="preserve"> IFERROR(ROUND(AT299 / VLOOKUP(A299,Tabla1[#All],2,0),0),"s.i")</f>
        <v>28463338</v>
      </c>
      <c r="AV299" s="33">
        <f xml:space="preserve"> IF(AU299="s.i", "s.i", IF(AND(AU299&gt;=Deflactor!$BQ$298,AU299&lt;Deflactor!$BQ$299), Deflactor!$BP$298, IF(AND(AU299&gt;=Deflactor!$BQ$299,AU299&lt;Deflactor!$BQ$300), Deflactor!$BP$299, IF(AND(AU299&gt;=Deflactor!$BQ$300,AU299&lt;Deflactor!$BQ$301), Deflactor!$BP$300, IF(AND(AU299&gt;=Deflactor!$BQ$301,AU299&lt;Deflactor!$BQ$302), Deflactor!$BP$301, IF(AND(AU299&gt;=Deflactor!$BQ$302,AU299&lt;Deflactor!$BQ$303), Deflactor!$BP$302, IF(AND(AU299&gt;=Deflactor!$BQ$303,AU299&lt;Deflactor!$BQ$304), Deflactor!$BP$303, IF(AND(AU299&gt;=Deflactor!$BQ$304,AU299&lt;Deflactor!$BQ$305), Deflactor!$BP$304, IF(AND(AU299&gt;=Deflactor!$BQ$305,AU299&lt;Deflactor!$BQ$306), Deflactor!$BP$305, IF(AND(AU299&gt;=Deflactor!$BQ$306,AU299&lt;Deflactor!$BQ$307), Deflactor!$BP$306, Deflactor!$BP$307) ) ) ) ) ) ) ) ) )</f>
        <v>7</v>
      </c>
      <c r="AW299" s="57" t="str">
        <f>+IFERROR(VLOOKUP(AV299,Deflactor!$BP$298:$BU$307,6,0),"")</f>
        <v>20 a 30 millones USD</v>
      </c>
    </row>
    <row r="300" spans="1:49" x14ac:dyDescent="0.3">
      <c r="A300" s="3">
        <v>2009</v>
      </c>
      <c r="B300" s="3" t="s">
        <v>379</v>
      </c>
      <c r="C300" s="3" t="s">
        <v>7</v>
      </c>
      <c r="D300" s="3" t="s">
        <v>32</v>
      </c>
      <c r="E300" s="3" t="s">
        <v>33</v>
      </c>
      <c r="F300" s="3" t="s">
        <v>351</v>
      </c>
      <c r="G300" s="3"/>
      <c r="H300" s="12"/>
      <c r="I300" s="13"/>
      <c r="J300" s="10"/>
      <c r="K300" s="3" t="s">
        <v>1653</v>
      </c>
      <c r="L300" s="3"/>
      <c r="M300" s="3"/>
      <c r="N300" s="3"/>
      <c r="O300" s="3"/>
      <c r="P300" s="3"/>
      <c r="Q300" s="3"/>
      <c r="R300" s="3"/>
      <c r="S300" s="3"/>
      <c r="T300" s="3"/>
      <c r="U300" s="3" t="s">
        <v>1311</v>
      </c>
      <c r="V300" s="3"/>
      <c r="W300" s="10" t="str">
        <f>IF( J300="s.i", "s.i", IF(ISBLANK(J300),"Actualizando información",IFERROR(J300 / VLOOKUP(A300,Deflactor!$G$3:$H$64,2,0),"Revisar error" )))</f>
        <v>Actualizando información</v>
      </c>
      <c r="AR300" s="34">
        <f xml:space="preserve"> 1065468 * 1000</f>
        <v>1065468000</v>
      </c>
      <c r="AT300" s="46">
        <f t="shared" si="12"/>
        <v>1065468000</v>
      </c>
      <c r="AU300" s="54">
        <f xml:space="preserve"> IFERROR(ROUND(AT300 / VLOOKUP(A300,Tabla1[#All],2,0),0),"s.i")</f>
        <v>1903752</v>
      </c>
      <c r="AV300" s="33">
        <f xml:space="preserve"> IF(AU300="s.i", "s.i", IF(AND(AU300&gt;=Deflactor!$BQ$298,AU300&lt;Deflactor!$BQ$299), Deflactor!$BP$298, IF(AND(AU300&gt;=Deflactor!$BQ$299,AU300&lt;Deflactor!$BQ$300), Deflactor!$BP$299, IF(AND(AU300&gt;=Deflactor!$BQ$300,AU300&lt;Deflactor!$BQ$301), Deflactor!$BP$300, IF(AND(AU300&gt;=Deflactor!$BQ$301,AU300&lt;Deflactor!$BQ$302), Deflactor!$BP$301, IF(AND(AU300&gt;=Deflactor!$BQ$302,AU300&lt;Deflactor!$BQ$303), Deflactor!$BP$302, IF(AND(AU300&gt;=Deflactor!$BQ$303,AU300&lt;Deflactor!$BQ$304), Deflactor!$BP$303, IF(AND(AU300&gt;=Deflactor!$BQ$304,AU300&lt;Deflactor!$BQ$305), Deflactor!$BP$304, IF(AND(AU300&gt;=Deflactor!$BQ$305,AU300&lt;Deflactor!$BQ$306), Deflactor!$BP$305, IF(AND(AU300&gt;=Deflactor!$BQ$306,AU300&lt;Deflactor!$BQ$307), Deflactor!$BP$306, Deflactor!$BP$307) ) ) ) ) ) ) ) ) )</f>
        <v>1</v>
      </c>
      <c r="AW300" s="57" t="str">
        <f>+IFERROR(VLOOKUP(AV300,Deflactor!$BP$298:$BU$307,6,0),"")</f>
        <v>2 millones USD y menos</v>
      </c>
    </row>
    <row r="301" spans="1:49" x14ac:dyDescent="0.3">
      <c r="A301" s="3">
        <v>2009</v>
      </c>
      <c r="B301" s="3" t="s">
        <v>380</v>
      </c>
      <c r="C301" s="3" t="s">
        <v>7</v>
      </c>
      <c r="D301" s="3" t="s">
        <v>48</v>
      </c>
      <c r="E301" s="3" t="s">
        <v>88</v>
      </c>
      <c r="F301" s="3" t="s">
        <v>329</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c r="AR301" s="10">
        <f xml:space="preserve"> 1188054 * 1000</f>
        <v>1188054000</v>
      </c>
      <c r="AT301" s="46">
        <f t="shared" si="12"/>
        <v>1188054000</v>
      </c>
      <c r="AU301" s="54">
        <f xml:space="preserve"> IFERROR(ROUND(AT301 / VLOOKUP(A301,Tabla1[#All],2,0),0),"s.i")</f>
        <v>2122786</v>
      </c>
      <c r="AV301" s="33">
        <f xml:space="preserve"> IF(AU301="s.i", "s.i", IF(AND(AU301&gt;=Deflactor!$BQ$298,AU301&lt;Deflactor!$BQ$299), Deflactor!$BP$298, IF(AND(AU301&gt;=Deflactor!$BQ$299,AU301&lt;Deflactor!$BQ$300), Deflactor!$BP$299, IF(AND(AU301&gt;=Deflactor!$BQ$300,AU301&lt;Deflactor!$BQ$301), Deflactor!$BP$300, IF(AND(AU301&gt;=Deflactor!$BQ$301,AU301&lt;Deflactor!$BQ$302), Deflactor!$BP$301, IF(AND(AU301&gt;=Deflactor!$BQ$302,AU301&lt;Deflactor!$BQ$303), Deflactor!$BP$302, IF(AND(AU301&gt;=Deflactor!$BQ$303,AU301&lt;Deflactor!$BQ$304), Deflactor!$BP$303, IF(AND(AU301&gt;=Deflactor!$BQ$304,AU301&lt;Deflactor!$BQ$305), Deflactor!$BP$304, IF(AND(AU301&gt;=Deflactor!$BQ$305,AU301&lt;Deflactor!$BQ$306), Deflactor!$BP$305, IF(AND(AU301&gt;=Deflactor!$BQ$306,AU301&lt;Deflactor!$BQ$307), Deflactor!$BP$306, Deflactor!$BP$307) ) ) ) ) ) ) ) ) )</f>
        <v>2</v>
      </c>
      <c r="AW301" s="57" t="str">
        <f>+IFERROR(VLOOKUP(AV301,Deflactor!$BP$298:$BU$307,6,0),"")</f>
        <v>2 a 5 millones USD</v>
      </c>
    </row>
    <row r="302" spans="1:49" x14ac:dyDescent="0.3">
      <c r="A302" s="3">
        <v>2009</v>
      </c>
      <c r="B302" s="3" t="s">
        <v>381</v>
      </c>
      <c r="C302" s="3" t="s">
        <v>283</v>
      </c>
      <c r="D302" s="3" t="s">
        <v>290</v>
      </c>
      <c r="E302" s="3" t="s">
        <v>291</v>
      </c>
      <c r="F302" s="3" t="s">
        <v>95</v>
      </c>
      <c r="G302" s="3" t="s">
        <v>723</v>
      </c>
      <c r="H302" s="12">
        <v>2009</v>
      </c>
      <c r="I302" s="13"/>
      <c r="J302" s="10">
        <f xml:space="preserve"> 25388 * 1000000</f>
        <v>25388000000</v>
      </c>
      <c r="K302" s="3" t="s">
        <v>1651</v>
      </c>
      <c r="L302" s="3" t="s">
        <v>912</v>
      </c>
      <c r="M302" s="3" t="s">
        <v>913</v>
      </c>
      <c r="N302" s="3" t="s">
        <v>914</v>
      </c>
      <c r="O302" s="3" t="s">
        <v>915</v>
      </c>
      <c r="P302" s="3" t="s">
        <v>916</v>
      </c>
      <c r="Q302" s="3"/>
      <c r="R302" s="11" t="s">
        <v>917</v>
      </c>
      <c r="S302" s="11" t="s">
        <v>918</v>
      </c>
      <c r="T302" s="3"/>
      <c r="U302" s="3" t="s">
        <v>1143</v>
      </c>
      <c r="V302" s="3"/>
      <c r="W302" s="10">
        <f>IF( J302="s.i", "s.i", IF(ISBLANK(J302),"Actualizando información",IFERROR(J302 / VLOOKUP(A302,Deflactor!$G$3:$H$64,2,0),"Revisar error" )))</f>
        <v>29417053898.539055</v>
      </c>
      <c r="AR302" s="34">
        <f xml:space="preserve"> 25388224 * 1000</f>
        <v>25388224000</v>
      </c>
      <c r="AT302" s="46">
        <f t="shared" si="12"/>
        <v>25388224000</v>
      </c>
      <c r="AU302" s="54">
        <f xml:space="preserve"> IFERROR(ROUND(AT302 / VLOOKUP(A302,Tabla1[#All],2,0),0),"s.i")</f>
        <v>45363063</v>
      </c>
      <c r="AV302" s="33">
        <f xml:space="preserve"> IF(AU302="s.i", "s.i", IF(AND(AU302&gt;=Deflactor!$BQ$298,AU302&lt;Deflactor!$BQ$299), Deflactor!$BP$298, IF(AND(AU302&gt;=Deflactor!$BQ$299,AU302&lt;Deflactor!$BQ$300), Deflactor!$BP$299, IF(AND(AU302&gt;=Deflactor!$BQ$300,AU302&lt;Deflactor!$BQ$301), Deflactor!$BP$300, IF(AND(AU302&gt;=Deflactor!$BQ$301,AU302&lt;Deflactor!$BQ$302), Deflactor!$BP$301, IF(AND(AU302&gt;=Deflactor!$BQ$302,AU302&lt;Deflactor!$BQ$303), Deflactor!$BP$302, IF(AND(AU302&gt;=Deflactor!$BQ$303,AU302&lt;Deflactor!$BQ$304), Deflactor!$BP$303, IF(AND(AU302&gt;=Deflactor!$BQ$304,AU302&lt;Deflactor!$BQ$305), Deflactor!$BP$304, IF(AND(AU302&gt;=Deflactor!$BQ$305,AU302&lt;Deflactor!$BQ$306), Deflactor!$BP$305, IF(AND(AU302&gt;=Deflactor!$BQ$306,AU302&lt;Deflactor!$BQ$307), Deflactor!$BP$306, Deflactor!$BP$307) ) ) ) ) ) ) ) ) )</f>
        <v>8</v>
      </c>
      <c r="AW302" s="57" t="str">
        <f>+IFERROR(VLOOKUP(AV302,Deflactor!$BP$298:$BU$307,6,0),"")</f>
        <v>30 a 50 millones USD</v>
      </c>
    </row>
    <row r="303" spans="1:49" x14ac:dyDescent="0.3">
      <c r="A303" s="3">
        <v>2009</v>
      </c>
      <c r="B303" s="3" t="s">
        <v>382</v>
      </c>
      <c r="C303" s="3" t="s">
        <v>92</v>
      </c>
      <c r="D303" s="3" t="s">
        <v>290</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c r="AR303" s="10">
        <f xml:space="preserve"> 1535413 * 1000</f>
        <v>1535413000</v>
      </c>
      <c r="AT303" s="46">
        <f t="shared" si="12"/>
        <v>1535413000</v>
      </c>
      <c r="AU303" s="54">
        <f xml:space="preserve"> IFERROR(ROUND(AT303 / VLOOKUP(A303,Tabla1[#All],2,0),0),"s.i")</f>
        <v>2743439</v>
      </c>
      <c r="AV303" s="33">
        <f xml:space="preserve"> IF(AU303="s.i", "s.i", IF(AND(AU303&gt;=Deflactor!$BQ$298,AU303&lt;Deflactor!$BQ$299), Deflactor!$BP$298, IF(AND(AU303&gt;=Deflactor!$BQ$299,AU303&lt;Deflactor!$BQ$300), Deflactor!$BP$299, IF(AND(AU303&gt;=Deflactor!$BQ$300,AU303&lt;Deflactor!$BQ$301), Deflactor!$BP$300, IF(AND(AU303&gt;=Deflactor!$BQ$301,AU303&lt;Deflactor!$BQ$302), Deflactor!$BP$301, IF(AND(AU303&gt;=Deflactor!$BQ$302,AU303&lt;Deflactor!$BQ$303), Deflactor!$BP$302, IF(AND(AU303&gt;=Deflactor!$BQ$303,AU303&lt;Deflactor!$BQ$304), Deflactor!$BP$303, IF(AND(AU303&gt;=Deflactor!$BQ$304,AU303&lt;Deflactor!$BQ$305), Deflactor!$BP$304, IF(AND(AU303&gt;=Deflactor!$BQ$305,AU303&lt;Deflactor!$BQ$306), Deflactor!$BP$305, IF(AND(AU303&gt;=Deflactor!$BQ$306,AU303&lt;Deflactor!$BQ$307), Deflactor!$BP$306, Deflactor!$BP$307) ) ) ) ) ) ) ) ) )</f>
        <v>2</v>
      </c>
      <c r="AW303" s="57" t="str">
        <f>+IFERROR(VLOOKUP(AV303,Deflactor!$BP$298:$BU$307,6,0),"")</f>
        <v>2 a 5 millones USD</v>
      </c>
    </row>
    <row r="304" spans="1:49" x14ac:dyDescent="0.3">
      <c r="A304" s="3">
        <v>2009</v>
      </c>
      <c r="B304" s="3" t="s">
        <v>383</v>
      </c>
      <c r="C304" s="3" t="s">
        <v>7</v>
      </c>
      <c r="D304" s="3" t="s">
        <v>290</v>
      </c>
      <c r="E304" s="3" t="s">
        <v>21</v>
      </c>
      <c r="F304" s="3" t="s">
        <v>310</v>
      </c>
      <c r="G304" s="3" t="s">
        <v>903</v>
      </c>
      <c r="H304" s="12">
        <v>1994</v>
      </c>
      <c r="I304" s="13">
        <v>2011</v>
      </c>
      <c r="J304" s="10">
        <f xml:space="preserve"> 4010 * 1000000</f>
        <v>4010000000</v>
      </c>
      <c r="K304" s="3" t="s">
        <v>861</v>
      </c>
      <c r="L304" s="3" t="s">
        <v>919</v>
      </c>
      <c r="M304" s="3" t="s">
        <v>920</v>
      </c>
      <c r="N304" s="3" t="s">
        <v>921</v>
      </c>
      <c r="O304" s="3" t="s">
        <v>922</v>
      </c>
      <c r="P304" s="3" t="s">
        <v>865</v>
      </c>
      <c r="Q304" s="3"/>
      <c r="R304" s="11" t="s">
        <v>923</v>
      </c>
      <c r="S304" s="11" t="s">
        <v>924</v>
      </c>
      <c r="T304" s="11" t="s">
        <v>925</v>
      </c>
      <c r="U304" s="3" t="s">
        <v>1142</v>
      </c>
      <c r="V304" s="3"/>
      <c r="W304" s="10">
        <f>IF( J304="s.i", "s.i", IF(ISBLANK(J304),"Actualizando información",IFERROR(J304 / VLOOKUP(A304,Deflactor!$G$3:$H$64,2,0),"Revisar error" )))</f>
        <v>4646383572.2838192</v>
      </c>
      <c r="AR304" s="10">
        <f xml:space="preserve"> 2975575 * 1000</f>
        <v>2975575000</v>
      </c>
      <c r="AT304" s="46">
        <f t="shared" si="12"/>
        <v>2975575000</v>
      </c>
      <c r="AU304" s="54">
        <f xml:space="preserve"> IFERROR(ROUND(AT304 / VLOOKUP(A304,Tabla1[#All],2,0),0),"s.i")</f>
        <v>5316685</v>
      </c>
      <c r="AV304" s="33">
        <f xml:space="preserve"> IF(AU304="s.i", "s.i", IF(AND(AU304&gt;=Deflactor!$BQ$298,AU304&lt;Deflactor!$BQ$299), Deflactor!$BP$298, IF(AND(AU304&gt;=Deflactor!$BQ$299,AU304&lt;Deflactor!$BQ$300), Deflactor!$BP$299, IF(AND(AU304&gt;=Deflactor!$BQ$300,AU304&lt;Deflactor!$BQ$301), Deflactor!$BP$300, IF(AND(AU304&gt;=Deflactor!$BQ$301,AU304&lt;Deflactor!$BQ$302), Deflactor!$BP$301, IF(AND(AU304&gt;=Deflactor!$BQ$302,AU304&lt;Deflactor!$BQ$303), Deflactor!$BP$302, IF(AND(AU304&gt;=Deflactor!$BQ$303,AU304&lt;Deflactor!$BQ$304), Deflactor!$BP$303, IF(AND(AU304&gt;=Deflactor!$BQ$304,AU304&lt;Deflactor!$BQ$305), Deflactor!$BP$304, IF(AND(AU304&gt;=Deflactor!$BQ$305,AU304&lt;Deflactor!$BQ$306), Deflactor!$BP$305, IF(AND(AU304&gt;=Deflactor!$BQ$306,AU304&lt;Deflactor!$BQ$307), Deflactor!$BP$306, Deflactor!$BP$307) ) ) ) ) ) ) ) ) )</f>
        <v>3</v>
      </c>
      <c r="AW304" s="57" t="str">
        <f>+IFERROR(VLOOKUP(AV304,Deflactor!$BP$298:$BU$307,6,0),"")</f>
        <v>5 a 7,5 millones USD</v>
      </c>
    </row>
    <row r="305" spans="1:49" x14ac:dyDescent="0.3">
      <c r="A305" s="3">
        <v>2009</v>
      </c>
      <c r="B305" s="3" t="s">
        <v>384</v>
      </c>
      <c r="C305" s="3" t="s">
        <v>7</v>
      </c>
      <c r="D305" s="3" t="s">
        <v>290</v>
      </c>
      <c r="E305" s="3" t="s">
        <v>21</v>
      </c>
      <c r="F305" s="3" t="s">
        <v>310</v>
      </c>
      <c r="G305" s="3" t="s">
        <v>903</v>
      </c>
      <c r="H305" s="12">
        <v>1994</v>
      </c>
      <c r="I305" s="13">
        <v>2011</v>
      </c>
      <c r="J305" s="10">
        <f xml:space="preserve"> 4010 * 1000000</f>
        <v>4010000000</v>
      </c>
      <c r="K305" s="3" t="s">
        <v>861</v>
      </c>
      <c r="L305" s="3" t="s">
        <v>919</v>
      </c>
      <c r="M305" s="3" t="s">
        <v>920</v>
      </c>
      <c r="N305" s="3" t="s">
        <v>921</v>
      </c>
      <c r="O305" s="3" t="s">
        <v>922</v>
      </c>
      <c r="P305" s="3" t="s">
        <v>865</v>
      </c>
      <c r="Q305" s="3"/>
      <c r="R305" s="11" t="s">
        <v>926</v>
      </c>
      <c r="S305" s="11" t="s">
        <v>927</v>
      </c>
      <c r="T305" s="11" t="s">
        <v>928</v>
      </c>
      <c r="U305" s="3" t="s">
        <v>1142</v>
      </c>
      <c r="V305" s="3"/>
      <c r="W305" s="10">
        <f>IF( J305="s.i", "s.i", IF(ISBLANK(J305),"Actualizando información",IFERROR(J305 / VLOOKUP(A305,Deflactor!$G$3:$H$64,2,0),"Revisar error" )))</f>
        <v>4646383572.2838192</v>
      </c>
      <c r="AR305" s="10">
        <f xml:space="preserve"> 2975575 * 1000</f>
        <v>2975575000</v>
      </c>
      <c r="AT305" s="46">
        <f t="shared" si="12"/>
        <v>2975575000</v>
      </c>
      <c r="AU305" s="54">
        <f xml:space="preserve"> IFERROR(ROUND(AT305 / VLOOKUP(A305,Tabla1[#All],2,0),0),"s.i")</f>
        <v>5316685</v>
      </c>
      <c r="AV305" s="33">
        <f xml:space="preserve"> IF(AU305="s.i", "s.i", IF(AND(AU305&gt;=Deflactor!$BQ$298,AU305&lt;Deflactor!$BQ$299), Deflactor!$BP$298, IF(AND(AU305&gt;=Deflactor!$BQ$299,AU305&lt;Deflactor!$BQ$300), Deflactor!$BP$299, IF(AND(AU305&gt;=Deflactor!$BQ$300,AU305&lt;Deflactor!$BQ$301), Deflactor!$BP$300, IF(AND(AU305&gt;=Deflactor!$BQ$301,AU305&lt;Deflactor!$BQ$302), Deflactor!$BP$301, IF(AND(AU305&gt;=Deflactor!$BQ$302,AU305&lt;Deflactor!$BQ$303), Deflactor!$BP$302, IF(AND(AU305&gt;=Deflactor!$BQ$303,AU305&lt;Deflactor!$BQ$304), Deflactor!$BP$303, IF(AND(AU305&gt;=Deflactor!$BQ$304,AU305&lt;Deflactor!$BQ$305), Deflactor!$BP$304, IF(AND(AU305&gt;=Deflactor!$BQ$305,AU305&lt;Deflactor!$BQ$306), Deflactor!$BP$305, IF(AND(AU305&gt;=Deflactor!$BQ$306,AU305&lt;Deflactor!$BQ$307), Deflactor!$BP$306, Deflactor!$BP$307) ) ) ) ) ) ) ) ) )</f>
        <v>3</v>
      </c>
      <c r="AW305" s="57" t="str">
        <f>+IFERROR(VLOOKUP(AV305,Deflactor!$BP$298:$BU$307,6,0),"")</f>
        <v>5 a 7,5 millones USD</v>
      </c>
    </row>
    <row r="306" spans="1:49" x14ac:dyDescent="0.3">
      <c r="A306" s="3">
        <v>2009</v>
      </c>
      <c r="B306" s="3" t="s">
        <v>385</v>
      </c>
      <c r="C306" s="3" t="s">
        <v>7</v>
      </c>
      <c r="D306" s="3" t="s">
        <v>290</v>
      </c>
      <c r="E306" s="3" t="s">
        <v>291</v>
      </c>
      <c r="F306" s="3" t="s">
        <v>351</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c r="AR306" s="10">
        <f xml:space="preserve"> 318600 * 1000</f>
        <v>318600000</v>
      </c>
      <c r="AT306" s="46">
        <f t="shared" si="12"/>
        <v>318600000</v>
      </c>
      <c r="AU306" s="54">
        <f xml:space="preserve"> IFERROR(ROUND(AT306 / VLOOKUP(A306,Tabla1[#All],2,0),0),"s.i")</f>
        <v>569267</v>
      </c>
      <c r="AV306" s="33">
        <f xml:space="preserve"> IF(AU306="s.i", "s.i", IF(AND(AU306&gt;=Deflactor!$BQ$298,AU306&lt;Deflactor!$BQ$299), Deflactor!$BP$298, IF(AND(AU306&gt;=Deflactor!$BQ$299,AU306&lt;Deflactor!$BQ$300), Deflactor!$BP$299, IF(AND(AU306&gt;=Deflactor!$BQ$300,AU306&lt;Deflactor!$BQ$301), Deflactor!$BP$300, IF(AND(AU306&gt;=Deflactor!$BQ$301,AU306&lt;Deflactor!$BQ$302), Deflactor!$BP$301, IF(AND(AU306&gt;=Deflactor!$BQ$302,AU306&lt;Deflactor!$BQ$303), Deflactor!$BP$302, IF(AND(AU306&gt;=Deflactor!$BQ$303,AU306&lt;Deflactor!$BQ$304), Deflactor!$BP$303, IF(AND(AU306&gt;=Deflactor!$BQ$304,AU306&lt;Deflactor!$BQ$305), Deflactor!$BP$304, IF(AND(AU306&gt;=Deflactor!$BQ$305,AU306&lt;Deflactor!$BQ$306), Deflactor!$BP$305, IF(AND(AU306&gt;=Deflactor!$BQ$306,AU306&lt;Deflactor!$BQ$307), Deflactor!$BP$306, Deflactor!$BP$307) ) ) ) ) ) ) ) ) )</f>
        <v>1</v>
      </c>
      <c r="AW306" s="57" t="str">
        <f>+IFERROR(VLOOKUP(AV306,Deflactor!$BP$298:$BU$307,6,0),"")</f>
        <v>2 millones USD y menos</v>
      </c>
    </row>
    <row r="307" spans="1:49" x14ac:dyDescent="0.3">
      <c r="A307" s="3">
        <v>2009</v>
      </c>
      <c r="B307" s="3" t="s">
        <v>386</v>
      </c>
      <c r="C307" s="3" t="s">
        <v>7</v>
      </c>
      <c r="D307" s="3" t="s">
        <v>290</v>
      </c>
      <c r="E307" s="3" t="s">
        <v>291</v>
      </c>
      <c r="F307" s="3" t="s">
        <v>351</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c r="AR307" s="10">
        <f t="shared" ref="AR307" si="15" xml:space="preserve"> 318600 * 1000</f>
        <v>318600000</v>
      </c>
      <c r="AT307" s="46">
        <f t="shared" si="12"/>
        <v>318600000</v>
      </c>
      <c r="AU307" s="54">
        <f xml:space="preserve"> IFERROR(ROUND(AT307 / VLOOKUP(A307,Tabla1[#All],2,0),0),"s.i")</f>
        <v>569267</v>
      </c>
      <c r="AV307" s="33">
        <f xml:space="preserve"> IF(AU307="s.i", "s.i", IF(AND(AU307&gt;=Deflactor!$BQ$298,AU307&lt;Deflactor!$BQ$299), Deflactor!$BP$298, IF(AND(AU307&gt;=Deflactor!$BQ$299,AU307&lt;Deflactor!$BQ$300), Deflactor!$BP$299, IF(AND(AU307&gt;=Deflactor!$BQ$300,AU307&lt;Deflactor!$BQ$301), Deflactor!$BP$300, IF(AND(AU307&gt;=Deflactor!$BQ$301,AU307&lt;Deflactor!$BQ$302), Deflactor!$BP$301, IF(AND(AU307&gt;=Deflactor!$BQ$302,AU307&lt;Deflactor!$BQ$303), Deflactor!$BP$302, IF(AND(AU307&gt;=Deflactor!$BQ$303,AU307&lt;Deflactor!$BQ$304), Deflactor!$BP$303, IF(AND(AU307&gt;=Deflactor!$BQ$304,AU307&lt;Deflactor!$BQ$305), Deflactor!$BP$304, IF(AND(AU307&gt;=Deflactor!$BQ$305,AU307&lt;Deflactor!$BQ$306), Deflactor!$BP$305, IF(AND(AU307&gt;=Deflactor!$BQ$306,AU307&lt;Deflactor!$BQ$307), Deflactor!$BP$306, Deflactor!$BP$307) ) ) ) ) ) ) ) ) )</f>
        <v>1</v>
      </c>
      <c r="AW307" s="57" t="str">
        <f>+IFERROR(VLOOKUP(AV307,Deflactor!$BP$298:$BU$307,6,0),"")</f>
        <v>2 millones USD y menos</v>
      </c>
    </row>
    <row r="308" spans="1:49" x14ac:dyDescent="0.3">
      <c r="A308" s="3">
        <v>2009</v>
      </c>
      <c r="B308" s="3" t="s">
        <v>387</v>
      </c>
      <c r="C308" s="3" t="s">
        <v>7</v>
      </c>
      <c r="D308" s="3" t="s">
        <v>290</v>
      </c>
      <c r="E308" s="3" t="s">
        <v>291</v>
      </c>
      <c r="F308" s="3" t="s">
        <v>351</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c r="AR308" s="10">
        <f xml:space="preserve"> 318600 * 1000</f>
        <v>318600000</v>
      </c>
      <c r="AT308" s="46">
        <f t="shared" si="12"/>
        <v>318600000</v>
      </c>
      <c r="AU308" s="54">
        <f xml:space="preserve"> IFERROR(ROUND(AT308 / VLOOKUP(A308,Tabla1[#All],2,0),0),"s.i")</f>
        <v>569267</v>
      </c>
      <c r="AV308" s="33">
        <f xml:space="preserve"> IF(AU308="s.i", "s.i", IF(AND(AU308&gt;=Deflactor!$BQ$298,AU308&lt;Deflactor!$BQ$299), Deflactor!$BP$298, IF(AND(AU308&gt;=Deflactor!$BQ$299,AU308&lt;Deflactor!$BQ$300), Deflactor!$BP$299, IF(AND(AU308&gt;=Deflactor!$BQ$300,AU308&lt;Deflactor!$BQ$301), Deflactor!$BP$300, IF(AND(AU308&gt;=Deflactor!$BQ$301,AU308&lt;Deflactor!$BQ$302), Deflactor!$BP$301, IF(AND(AU308&gt;=Deflactor!$BQ$302,AU308&lt;Deflactor!$BQ$303), Deflactor!$BP$302, IF(AND(AU308&gt;=Deflactor!$BQ$303,AU308&lt;Deflactor!$BQ$304), Deflactor!$BP$303, IF(AND(AU308&gt;=Deflactor!$BQ$304,AU308&lt;Deflactor!$BQ$305), Deflactor!$BP$304, IF(AND(AU308&gt;=Deflactor!$BQ$305,AU308&lt;Deflactor!$BQ$306), Deflactor!$BP$305, IF(AND(AU308&gt;=Deflactor!$BQ$306,AU308&lt;Deflactor!$BQ$307), Deflactor!$BP$306, Deflactor!$BP$307) ) ) ) ) ) ) ) ) )</f>
        <v>1</v>
      </c>
      <c r="AW308" s="57" t="str">
        <f>+IFERROR(VLOOKUP(AV308,Deflactor!$BP$298:$BU$307,6,0),"")</f>
        <v>2 millones USD y menos</v>
      </c>
    </row>
    <row r="309" spans="1:49" x14ac:dyDescent="0.3">
      <c r="A309" s="3">
        <v>2009</v>
      </c>
      <c r="B309" s="3" t="s">
        <v>388</v>
      </c>
      <c r="C309" s="3" t="s">
        <v>7</v>
      </c>
      <c r="D309" s="3" t="s">
        <v>12</v>
      </c>
      <c r="E309" s="3" t="s">
        <v>58</v>
      </c>
      <c r="F309" s="3" t="s">
        <v>351</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c r="AR309" s="10">
        <f xml:space="preserve"> 4120372 * 1000</f>
        <v>4120372000</v>
      </c>
      <c r="AT309" s="46">
        <f t="shared" si="12"/>
        <v>4120372000</v>
      </c>
      <c r="AU309" s="54">
        <f xml:space="preserve"> IFERROR(ROUND(AT309 / VLOOKUP(A309,Tabla1[#All],2,0),0),"s.i")</f>
        <v>7362181</v>
      </c>
      <c r="AV309" s="33">
        <f xml:space="preserve"> IF(AU309="s.i", "s.i", IF(AND(AU309&gt;=Deflactor!$BQ$298,AU309&lt;Deflactor!$BQ$299), Deflactor!$BP$298, IF(AND(AU309&gt;=Deflactor!$BQ$299,AU309&lt;Deflactor!$BQ$300), Deflactor!$BP$299, IF(AND(AU309&gt;=Deflactor!$BQ$300,AU309&lt;Deflactor!$BQ$301), Deflactor!$BP$300, IF(AND(AU309&gt;=Deflactor!$BQ$301,AU309&lt;Deflactor!$BQ$302), Deflactor!$BP$301, IF(AND(AU309&gt;=Deflactor!$BQ$302,AU309&lt;Deflactor!$BQ$303), Deflactor!$BP$302, IF(AND(AU309&gt;=Deflactor!$BQ$303,AU309&lt;Deflactor!$BQ$304), Deflactor!$BP$303, IF(AND(AU309&gt;=Deflactor!$BQ$304,AU309&lt;Deflactor!$BQ$305), Deflactor!$BP$304, IF(AND(AU309&gt;=Deflactor!$BQ$305,AU309&lt;Deflactor!$BQ$306), Deflactor!$BP$305, IF(AND(AU309&gt;=Deflactor!$BQ$306,AU309&lt;Deflactor!$BQ$307), Deflactor!$BP$306, Deflactor!$BP$307) ) ) ) ) ) ) ) ) )</f>
        <v>3</v>
      </c>
      <c r="AW309" s="57" t="str">
        <f>+IFERROR(VLOOKUP(AV309,Deflactor!$BP$298:$BU$307,6,0),"")</f>
        <v>5 a 7,5 millones USD</v>
      </c>
    </row>
    <row r="310" spans="1:49" x14ac:dyDescent="0.3">
      <c r="A310" s="3">
        <v>2008</v>
      </c>
      <c r="B310" s="3" t="s">
        <v>50</v>
      </c>
      <c r="C310" s="3" t="s">
        <v>92</v>
      </c>
      <c r="D310" s="3" t="s">
        <v>8</v>
      </c>
      <c r="E310" s="3" t="s">
        <v>51</v>
      </c>
      <c r="F310" s="3" t="s">
        <v>310</v>
      </c>
      <c r="G310" s="3"/>
      <c r="H310" s="12"/>
      <c r="I310" s="13"/>
      <c r="J310" s="10"/>
      <c r="K310" s="3"/>
      <c r="L310" s="3"/>
      <c r="M310" s="3"/>
      <c r="N310" s="3"/>
      <c r="O310" s="3"/>
      <c r="P310" s="3"/>
      <c r="Q310" s="3"/>
      <c r="R310" s="3"/>
      <c r="S310" s="3"/>
      <c r="T310" s="3"/>
      <c r="U310" s="3" t="s">
        <v>1146</v>
      </c>
      <c r="V310" s="3"/>
      <c r="W310" s="10" t="str">
        <f>IF( J310="s.i", "s.i", IF(ISBLANK(J310),"Actualizando información",IFERROR(J310 / VLOOKUP(A310,Deflactor!$G$3:$H$64,2,0),"Revisar error" )))</f>
        <v>Actualizando información</v>
      </c>
      <c r="AW310" s="57" t="str">
        <f>+IFERROR(VLOOKUP(AV310,Deflactor!$BP$298:$BU$307,6,0),"")</f>
        <v/>
      </c>
    </row>
    <row r="311" spans="1:49" x14ac:dyDescent="0.3">
      <c r="A311" s="3">
        <v>2008</v>
      </c>
      <c r="B311" s="3" t="s">
        <v>389</v>
      </c>
      <c r="C311" s="3" t="s">
        <v>92</v>
      </c>
      <c r="D311" s="3" t="s">
        <v>8</v>
      </c>
      <c r="E311" s="3" t="s">
        <v>51</v>
      </c>
      <c r="F311" s="3" t="s">
        <v>310</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c r="AW311" s="57" t="str">
        <f>+IFERROR(VLOOKUP(AV311,Deflactor!$BP$298:$BU$307,6,0),"")</f>
        <v/>
      </c>
    </row>
    <row r="312" spans="1:49" x14ac:dyDescent="0.3">
      <c r="A312" s="3">
        <v>2008</v>
      </c>
      <c r="B312" s="3" t="s">
        <v>390</v>
      </c>
      <c r="C312" s="3" t="s">
        <v>7</v>
      </c>
      <c r="D312" s="3" t="s">
        <v>36</v>
      </c>
      <c r="E312" s="3" t="s">
        <v>68</v>
      </c>
      <c r="F312" s="3" t="s">
        <v>351</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c r="AW312" s="57" t="str">
        <f>+IFERROR(VLOOKUP(AV312,Deflactor!$BP$298:$BU$307,6,0),"")</f>
        <v/>
      </c>
    </row>
    <row r="313" spans="1:49" x14ac:dyDescent="0.3">
      <c r="A313" s="3">
        <v>2008</v>
      </c>
      <c r="B313" s="3" t="s">
        <v>391</v>
      </c>
      <c r="C313" s="3" t="s">
        <v>7</v>
      </c>
      <c r="D313" s="3" t="s">
        <v>12</v>
      </c>
      <c r="E313" s="3" t="s">
        <v>13</v>
      </c>
      <c r="F313" s="3" t="s">
        <v>329</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c r="AW313" s="57" t="str">
        <f>+IFERROR(VLOOKUP(AV313,Deflactor!$BP$298:$BU$307,6,0),"")</f>
        <v/>
      </c>
    </row>
    <row r="314" spans="1:49" x14ac:dyDescent="0.3">
      <c r="A314" s="3">
        <v>2008</v>
      </c>
      <c r="B314" s="3" t="s">
        <v>392</v>
      </c>
      <c r="C314" s="3" t="s">
        <v>7</v>
      </c>
      <c r="D314" s="3" t="s">
        <v>290</v>
      </c>
      <c r="E314" s="3" t="s">
        <v>176</v>
      </c>
      <c r="F314" s="3" t="s">
        <v>310</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c r="AW314" s="57" t="str">
        <f>+IFERROR(VLOOKUP(AV314,Deflactor!$BP$298:$BU$307,6,0),"")</f>
        <v/>
      </c>
    </row>
    <row r="315" spans="1:49" x14ac:dyDescent="0.3">
      <c r="A315" s="3">
        <v>2008</v>
      </c>
      <c r="B315" s="3" t="s">
        <v>393</v>
      </c>
      <c r="C315" s="3" t="s">
        <v>7</v>
      </c>
      <c r="D315" s="3" t="s">
        <v>290</v>
      </c>
      <c r="E315" s="3" t="s">
        <v>21</v>
      </c>
      <c r="F315" s="3" t="s">
        <v>329</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c r="AW315" s="57" t="str">
        <f>+IFERROR(VLOOKUP(AV315,Deflactor!$BP$298:$BU$307,6,0),"")</f>
        <v/>
      </c>
    </row>
    <row r="316" spans="1:49" x14ac:dyDescent="0.3">
      <c r="A316" s="3">
        <v>2008</v>
      </c>
      <c r="B316" s="3" t="s">
        <v>394</v>
      </c>
      <c r="C316" s="3" t="s">
        <v>7</v>
      </c>
      <c r="D316" s="3" t="s">
        <v>290</v>
      </c>
      <c r="E316" s="3" t="s">
        <v>395</v>
      </c>
      <c r="F316" s="3" t="s">
        <v>310</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c r="AW316" s="57" t="str">
        <f>+IFERROR(VLOOKUP(AV316,Deflactor!$BP$298:$BU$307,6,0),"")</f>
        <v/>
      </c>
    </row>
    <row r="317" spans="1:49" x14ac:dyDescent="0.3">
      <c r="A317" s="3">
        <v>2008</v>
      </c>
      <c r="B317" s="3" t="s">
        <v>396</v>
      </c>
      <c r="C317" s="3" t="s">
        <v>7</v>
      </c>
      <c r="D317" s="3" t="s">
        <v>397</v>
      </c>
      <c r="E317" s="3" t="s">
        <v>398</v>
      </c>
      <c r="F317" s="3" t="s">
        <v>399</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c r="AW317" s="57" t="str">
        <f>+IFERROR(VLOOKUP(AV317,Deflactor!$BP$298:$BU$307,6,0),"")</f>
        <v/>
      </c>
    </row>
    <row r="318" spans="1:49" x14ac:dyDescent="0.3">
      <c r="A318" s="3">
        <v>2008</v>
      </c>
      <c r="B318" s="3" t="s">
        <v>400</v>
      </c>
      <c r="C318" s="3" t="s">
        <v>7</v>
      </c>
      <c r="D318" s="3" t="s">
        <v>159</v>
      </c>
      <c r="E318" s="3" t="s">
        <v>401</v>
      </c>
      <c r="F318" s="3" t="s">
        <v>399</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c r="AW318" s="57" t="str">
        <f>+IFERROR(VLOOKUP(AV318,Deflactor!$BP$298:$BU$307,6,0),"")</f>
        <v/>
      </c>
    </row>
    <row r="319" spans="1:49" x14ac:dyDescent="0.3">
      <c r="A319" s="3">
        <v>2008</v>
      </c>
      <c r="B319" s="3" t="s">
        <v>402</v>
      </c>
      <c r="C319" s="3" t="s">
        <v>7</v>
      </c>
      <c r="D319" s="3" t="s">
        <v>12</v>
      </c>
      <c r="E319" s="3" t="s">
        <v>403</v>
      </c>
      <c r="F319" s="3" t="s">
        <v>329</v>
      </c>
      <c r="G319" s="3"/>
      <c r="H319" s="12"/>
      <c r="I319" s="13"/>
      <c r="J319" s="10"/>
      <c r="K319" s="3" t="s">
        <v>2181</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c r="AW319" s="57" t="str">
        <f>+IFERROR(VLOOKUP(AV319,Deflactor!$BP$298:$BU$307,6,0),"")</f>
        <v/>
      </c>
    </row>
    <row r="320" spans="1:49" x14ac:dyDescent="0.3">
      <c r="A320" s="3">
        <v>2008</v>
      </c>
      <c r="B320" s="3" t="s">
        <v>404</v>
      </c>
      <c r="C320" s="3" t="s">
        <v>7</v>
      </c>
      <c r="D320" s="3" t="s">
        <v>12</v>
      </c>
      <c r="E320" s="3" t="s">
        <v>405</v>
      </c>
      <c r="F320" s="3" t="s">
        <v>351</v>
      </c>
      <c r="G320" s="3"/>
      <c r="H320" s="12"/>
      <c r="I320" s="13"/>
      <c r="J320" s="10"/>
      <c r="K320" s="3" t="s">
        <v>2181</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c r="AW320" s="57" t="str">
        <f>+IFERROR(VLOOKUP(AV320,Deflactor!$BP$298:$BU$307,6,0),"")</f>
        <v/>
      </c>
    </row>
    <row r="321" spans="1:49" x14ac:dyDescent="0.3">
      <c r="A321" s="3">
        <v>2008</v>
      </c>
      <c r="B321" s="3" t="s">
        <v>406</v>
      </c>
      <c r="C321" s="3" t="s">
        <v>7</v>
      </c>
      <c r="D321" s="3" t="s">
        <v>45</v>
      </c>
      <c r="E321" s="3" t="s">
        <v>407</v>
      </c>
      <c r="F321" s="3" t="s">
        <v>351</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c r="AW321" s="57" t="str">
        <f>+IFERROR(VLOOKUP(AV321,Deflactor!$BP$298:$BU$307,6,0),"")</f>
        <v/>
      </c>
    </row>
    <row r="322" spans="1:49" x14ac:dyDescent="0.3">
      <c r="A322" s="3">
        <v>2008</v>
      </c>
      <c r="B322" s="3" t="s">
        <v>408</v>
      </c>
      <c r="C322" s="3" t="s">
        <v>155</v>
      </c>
      <c r="D322" s="3" t="s">
        <v>25</v>
      </c>
      <c r="E322" s="3" t="s">
        <v>409</v>
      </c>
      <c r="F322" s="3" t="s">
        <v>157</v>
      </c>
      <c r="G322" s="3"/>
      <c r="H322" s="12"/>
      <c r="I322" s="13"/>
      <c r="J322" s="10"/>
      <c r="K322" s="3" t="s">
        <v>2167</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c r="AW322" s="57" t="str">
        <f>+IFERROR(VLOOKUP(AV322,Deflactor!$BP$298:$BU$307,6,0),"")</f>
        <v/>
      </c>
    </row>
    <row r="323" spans="1:49" x14ac:dyDescent="0.3">
      <c r="A323" s="3">
        <v>2008</v>
      </c>
      <c r="B323" s="3" t="s">
        <v>410</v>
      </c>
      <c r="C323" s="3" t="s">
        <v>155</v>
      </c>
      <c r="D323" s="3" t="s">
        <v>25</v>
      </c>
      <c r="E323" s="3" t="s">
        <v>409</v>
      </c>
      <c r="F323" s="3" t="s">
        <v>157</v>
      </c>
      <c r="G323" s="3"/>
      <c r="H323" s="12"/>
      <c r="I323" s="13"/>
      <c r="J323" s="10"/>
      <c r="K323" s="3" t="s">
        <v>2167</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c r="AW323" s="57" t="str">
        <f>+IFERROR(VLOOKUP(AV323,Deflactor!$BP$298:$BU$307,6,0),"")</f>
        <v/>
      </c>
    </row>
    <row r="324" spans="1:49" x14ac:dyDescent="0.3">
      <c r="A324" s="3">
        <v>2008</v>
      </c>
      <c r="B324" s="3" t="s">
        <v>411</v>
      </c>
      <c r="C324" s="3" t="s">
        <v>155</v>
      </c>
      <c r="D324" s="3" t="s">
        <v>25</v>
      </c>
      <c r="E324" s="3" t="s">
        <v>153</v>
      </c>
      <c r="F324" s="3" t="s">
        <v>157</v>
      </c>
      <c r="G324" s="3"/>
      <c r="H324" s="12"/>
      <c r="I324" s="13"/>
      <c r="J324" s="10"/>
      <c r="K324" s="3" t="s">
        <v>2167</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c r="AW324" s="57" t="str">
        <f>+IFERROR(VLOOKUP(AV324,Deflactor!$BP$298:$BU$307,6,0),"")</f>
        <v/>
      </c>
    </row>
    <row r="325" spans="1:49" x14ac:dyDescent="0.3">
      <c r="A325" s="3">
        <v>2008</v>
      </c>
      <c r="B325" s="3" t="s">
        <v>412</v>
      </c>
      <c r="C325" s="3" t="s">
        <v>7</v>
      </c>
      <c r="D325" s="3" t="s">
        <v>36</v>
      </c>
      <c r="E325" s="3" t="s">
        <v>37</v>
      </c>
      <c r="F325" s="3" t="s">
        <v>329</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c r="AW325" s="57" t="str">
        <f>+IFERROR(VLOOKUP(AV325,Deflactor!$BP$298:$BU$307,6,0),"")</f>
        <v/>
      </c>
    </row>
    <row r="326" spans="1:49" x14ac:dyDescent="0.3">
      <c r="A326" s="3">
        <v>2008</v>
      </c>
      <c r="B326" s="3" t="s">
        <v>413</v>
      </c>
      <c r="C326" s="3" t="s">
        <v>92</v>
      </c>
      <c r="D326" s="3" t="s">
        <v>36</v>
      </c>
      <c r="E326" s="3" t="s">
        <v>37</v>
      </c>
      <c r="F326" s="3" t="s">
        <v>310</v>
      </c>
      <c r="G326" s="3"/>
      <c r="H326" s="12"/>
      <c r="I326" s="13"/>
      <c r="J326" s="10"/>
      <c r="K326" s="3" t="s">
        <v>2162</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c r="AW326" s="57" t="str">
        <f>+IFERROR(VLOOKUP(AV326,Deflactor!$BP$298:$BU$307,6,0),"")</f>
        <v/>
      </c>
    </row>
    <row r="327" spans="1:49" x14ac:dyDescent="0.3">
      <c r="A327" s="3">
        <v>2008</v>
      </c>
      <c r="B327" s="3" t="s">
        <v>414</v>
      </c>
      <c r="C327" s="3" t="s">
        <v>92</v>
      </c>
      <c r="D327" s="3" t="s">
        <v>36</v>
      </c>
      <c r="E327" s="3" t="s">
        <v>37</v>
      </c>
      <c r="F327" s="3" t="s">
        <v>310</v>
      </c>
      <c r="G327" s="3"/>
      <c r="H327" s="12"/>
      <c r="I327" s="13"/>
      <c r="J327" s="10"/>
      <c r="K327" s="3" t="s">
        <v>2162</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c r="AW327" s="57" t="str">
        <f>+IFERROR(VLOOKUP(AV327,Deflactor!$BP$298:$BU$307,6,0),"")</f>
        <v/>
      </c>
    </row>
    <row r="328" spans="1:49" x14ac:dyDescent="0.3">
      <c r="A328" s="3">
        <v>2008</v>
      </c>
      <c r="B328" s="3" t="s">
        <v>415</v>
      </c>
      <c r="C328" s="3" t="s">
        <v>92</v>
      </c>
      <c r="D328" s="3" t="s">
        <v>36</v>
      </c>
      <c r="E328" s="3" t="s">
        <v>37</v>
      </c>
      <c r="F328" s="3" t="s">
        <v>310</v>
      </c>
      <c r="G328" s="3"/>
      <c r="H328" s="12"/>
      <c r="I328" s="13"/>
      <c r="J328" s="10"/>
      <c r="K328" s="3" t="s">
        <v>2162</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c r="AW328" s="57" t="str">
        <f>+IFERROR(VLOOKUP(AV328,Deflactor!$BP$298:$BU$307,6,0),"")</f>
        <v/>
      </c>
    </row>
    <row r="329" spans="1:49" x14ac:dyDescent="0.3">
      <c r="A329" s="3">
        <v>2008</v>
      </c>
      <c r="B329" s="3" t="s">
        <v>416</v>
      </c>
      <c r="C329" s="3" t="s">
        <v>92</v>
      </c>
      <c r="D329" s="3" t="s">
        <v>36</v>
      </c>
      <c r="E329" s="3" t="s">
        <v>37</v>
      </c>
      <c r="F329" s="3" t="s">
        <v>310</v>
      </c>
      <c r="G329" s="3"/>
      <c r="H329" s="12"/>
      <c r="I329" s="13"/>
      <c r="J329" s="10"/>
      <c r="K329" s="3" t="s">
        <v>2162</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c r="AW329" s="57" t="str">
        <f>+IFERROR(VLOOKUP(AV329,Deflactor!$BP$298:$BU$307,6,0),"")</f>
        <v/>
      </c>
    </row>
    <row r="330" spans="1:49" x14ac:dyDescent="0.3">
      <c r="A330" s="3">
        <v>2008</v>
      </c>
      <c r="B330" s="3" t="s">
        <v>417</v>
      </c>
      <c r="C330" s="3" t="s">
        <v>92</v>
      </c>
      <c r="D330" s="3" t="s">
        <v>36</v>
      </c>
      <c r="E330" s="3" t="s">
        <v>37</v>
      </c>
      <c r="F330" s="3" t="s">
        <v>310</v>
      </c>
      <c r="G330" s="3"/>
      <c r="H330" s="12"/>
      <c r="I330" s="13"/>
      <c r="J330" s="10"/>
      <c r="K330" s="3" t="s">
        <v>2162</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c r="AW330" s="57" t="str">
        <f>+IFERROR(VLOOKUP(AV330,Deflactor!$BP$298:$BU$307,6,0),"")</f>
        <v/>
      </c>
    </row>
    <row r="331" spans="1:49" x14ac:dyDescent="0.3">
      <c r="A331" s="3">
        <v>2008</v>
      </c>
      <c r="B331" s="3" t="s">
        <v>418</v>
      </c>
      <c r="C331" s="3" t="s">
        <v>92</v>
      </c>
      <c r="D331" s="3" t="s">
        <v>36</v>
      </c>
      <c r="E331" s="3" t="s">
        <v>37</v>
      </c>
      <c r="F331" s="3" t="s">
        <v>310</v>
      </c>
      <c r="G331" s="3"/>
      <c r="H331" s="12"/>
      <c r="I331" s="13"/>
      <c r="J331" s="10"/>
      <c r="K331" s="3" t="s">
        <v>2162</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c r="AW331" s="57" t="str">
        <f>+IFERROR(VLOOKUP(AV331,Deflactor!$BP$298:$BU$307,6,0),"")</f>
        <v/>
      </c>
    </row>
    <row r="332" spans="1:49" x14ac:dyDescent="0.3">
      <c r="A332" s="3">
        <v>2008</v>
      </c>
      <c r="B332" s="3" t="s">
        <v>419</v>
      </c>
      <c r="C332" s="3" t="s">
        <v>7</v>
      </c>
      <c r="D332" s="3" t="s">
        <v>36</v>
      </c>
      <c r="E332" s="3" t="s">
        <v>81</v>
      </c>
      <c r="F332" s="3" t="s">
        <v>310</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c r="AW332" s="57" t="str">
        <f>+IFERROR(VLOOKUP(AV332,Deflactor!$BP$298:$BU$307,6,0),"")</f>
        <v/>
      </c>
    </row>
    <row r="333" spans="1:49" x14ac:dyDescent="0.3">
      <c r="A333" s="3">
        <v>2008</v>
      </c>
      <c r="B333" s="3" t="s">
        <v>420</v>
      </c>
      <c r="C333" s="3" t="s">
        <v>7</v>
      </c>
      <c r="D333" s="3" t="s">
        <v>40</v>
      </c>
      <c r="E333" s="3" t="s">
        <v>160</v>
      </c>
      <c r="F333" s="3" t="s">
        <v>329</v>
      </c>
      <c r="G333" s="3"/>
      <c r="H333" s="12"/>
      <c r="I333" s="13"/>
      <c r="J333" s="10"/>
      <c r="K333" s="3" t="s">
        <v>2181</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c r="AW333" s="57" t="str">
        <f>+IFERROR(VLOOKUP(AV333,Deflactor!$BP$298:$BU$307,6,0),"")</f>
        <v/>
      </c>
    </row>
    <row r="334" spans="1:49" x14ac:dyDescent="0.3">
      <c r="A334" s="3">
        <v>2008</v>
      </c>
      <c r="B334" s="3" t="s">
        <v>421</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c r="AW334" s="57" t="str">
        <f>+IFERROR(VLOOKUP(AV334,Deflactor!$BP$298:$BU$307,6,0),"")</f>
        <v/>
      </c>
    </row>
    <row r="335" spans="1:49" x14ac:dyDescent="0.3">
      <c r="A335" s="3">
        <v>2008</v>
      </c>
      <c r="B335" s="3" t="s">
        <v>422</v>
      </c>
      <c r="C335" s="3" t="s">
        <v>92</v>
      </c>
      <c r="D335" s="3" t="s">
        <v>64</v>
      </c>
      <c r="E335" s="3" t="s">
        <v>65</v>
      </c>
      <c r="F335" s="3" t="s">
        <v>329</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c r="AW335" s="57" t="str">
        <f>+IFERROR(VLOOKUP(AV335,Deflactor!$BP$298:$BU$307,6,0),"")</f>
        <v/>
      </c>
    </row>
    <row r="336" spans="1:49" x14ac:dyDescent="0.3">
      <c r="A336" s="3">
        <v>2008</v>
      </c>
      <c r="B336" s="3" t="s">
        <v>423</v>
      </c>
      <c r="C336" s="3" t="s">
        <v>155</v>
      </c>
      <c r="D336" s="3" t="s">
        <v>54</v>
      </c>
      <c r="E336" s="3" t="s">
        <v>236</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c r="AW336" s="57" t="str">
        <f>+IFERROR(VLOOKUP(AV336,Deflactor!$BP$298:$BU$307,6,0),"")</f>
        <v/>
      </c>
    </row>
    <row r="337" spans="1:49" x14ac:dyDescent="0.3">
      <c r="A337" s="3">
        <v>2008</v>
      </c>
      <c r="B337" s="3" t="s">
        <v>424</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c r="AW337" s="57" t="str">
        <f>+IFERROR(VLOOKUP(AV337,Deflactor!$BP$298:$BU$307,6,0),"")</f>
        <v/>
      </c>
    </row>
    <row r="338" spans="1:49" x14ac:dyDescent="0.3">
      <c r="A338" s="3">
        <v>2008</v>
      </c>
      <c r="B338" s="3" t="s">
        <v>425</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c r="AW338" s="57" t="str">
        <f>+IFERROR(VLOOKUP(AV338,Deflactor!$BP$298:$BU$307,6,0),"")</f>
        <v/>
      </c>
    </row>
    <row r="339" spans="1:49" x14ac:dyDescent="0.3">
      <c r="A339" s="3">
        <v>2008</v>
      </c>
      <c r="B339" s="3" t="s">
        <v>426</v>
      </c>
      <c r="C339" s="3" t="s">
        <v>92</v>
      </c>
      <c r="D339" s="3" t="s">
        <v>290</v>
      </c>
      <c r="E339" s="3" t="s">
        <v>120</v>
      </c>
      <c r="F339" s="3" t="s">
        <v>308</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c r="AW339" s="57" t="str">
        <f>+IFERROR(VLOOKUP(AV339,Deflactor!$BP$298:$BU$307,6,0),"")</f>
        <v/>
      </c>
    </row>
    <row r="340" spans="1:49" x14ac:dyDescent="0.3">
      <c r="A340" s="3">
        <v>2008</v>
      </c>
      <c r="B340" s="3" t="s">
        <v>427</v>
      </c>
      <c r="C340" s="3" t="s">
        <v>7</v>
      </c>
      <c r="D340" s="3" t="s">
        <v>397</v>
      </c>
      <c r="E340" s="3" t="s">
        <v>398</v>
      </c>
      <c r="F340" s="3" t="s">
        <v>399</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c r="AW340" s="57" t="str">
        <f>+IFERROR(VLOOKUP(AV340,Deflactor!$BP$298:$BU$307,6,0),"")</f>
        <v/>
      </c>
    </row>
    <row r="341" spans="1:49" x14ac:dyDescent="0.3">
      <c r="A341" s="3">
        <v>2008</v>
      </c>
      <c r="B341" s="3" t="s">
        <v>428</v>
      </c>
      <c r="C341" s="3" t="s">
        <v>92</v>
      </c>
      <c r="D341" s="3" t="s">
        <v>290</v>
      </c>
      <c r="E341" s="3" t="s">
        <v>120</v>
      </c>
      <c r="F341" s="3" t="s">
        <v>310</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c r="AW341" s="57" t="str">
        <f>+IFERROR(VLOOKUP(AV341,Deflactor!$BP$298:$BU$307,6,0),"")</f>
        <v/>
      </c>
    </row>
    <row r="342" spans="1:49" x14ac:dyDescent="0.3">
      <c r="A342" s="3">
        <v>2008</v>
      </c>
      <c r="B342" s="3" t="s">
        <v>429</v>
      </c>
      <c r="C342" s="3" t="s">
        <v>92</v>
      </c>
      <c r="D342" s="3" t="s">
        <v>290</v>
      </c>
      <c r="E342" s="3" t="s">
        <v>120</v>
      </c>
      <c r="F342" s="3" t="s">
        <v>308</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c r="AW342" s="57" t="str">
        <f>+IFERROR(VLOOKUP(AV342,Deflactor!$BP$298:$BU$307,6,0),"")</f>
        <v/>
      </c>
    </row>
    <row r="343" spans="1:49" x14ac:dyDescent="0.3">
      <c r="A343" s="3">
        <v>2008</v>
      </c>
      <c r="B343" s="3" t="s">
        <v>430</v>
      </c>
      <c r="C343" s="3" t="s">
        <v>7</v>
      </c>
      <c r="D343" s="3" t="s">
        <v>32</v>
      </c>
      <c r="E343" s="3" t="s">
        <v>33</v>
      </c>
      <c r="F343" s="3" t="s">
        <v>329</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c r="AW343" s="57" t="str">
        <f>+IFERROR(VLOOKUP(AV343,Deflactor!$BP$298:$BU$307,6,0),"")</f>
        <v/>
      </c>
    </row>
    <row r="344" spans="1:49" x14ac:dyDescent="0.3">
      <c r="A344" s="3">
        <v>2008</v>
      </c>
      <c r="B344" s="3" t="s">
        <v>431</v>
      </c>
      <c r="C344" s="3" t="s">
        <v>7</v>
      </c>
      <c r="D344" s="3" t="s">
        <v>54</v>
      </c>
      <c r="E344" s="3" t="s">
        <v>243</v>
      </c>
      <c r="F344" s="3" t="s">
        <v>351</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c r="AW344" s="57" t="str">
        <f>+IFERROR(VLOOKUP(AV344,Deflactor!$BP$298:$BU$307,6,0),"")</f>
        <v/>
      </c>
    </row>
    <row r="345" spans="1:49" x14ac:dyDescent="0.3">
      <c r="A345" s="3">
        <v>2007</v>
      </c>
      <c r="B345" s="3" t="s">
        <v>432</v>
      </c>
      <c r="C345" s="3" t="s">
        <v>155</v>
      </c>
      <c r="D345" s="3" t="s">
        <v>64</v>
      </c>
      <c r="E345" s="3" t="s">
        <v>433</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c r="AW345" s="57" t="str">
        <f>+IFERROR(VLOOKUP(AV345,Deflactor!$BP$298:$BU$307,6,0),"")</f>
        <v/>
      </c>
    </row>
    <row r="346" spans="1:49" x14ac:dyDescent="0.3">
      <c r="A346" s="3">
        <v>2007</v>
      </c>
      <c r="B346" s="3" t="s">
        <v>434</v>
      </c>
      <c r="C346" s="3" t="s">
        <v>92</v>
      </c>
      <c r="D346" s="3" t="s">
        <v>290</v>
      </c>
      <c r="E346" s="3" t="s">
        <v>120</v>
      </c>
      <c r="F346" s="3" t="s">
        <v>351</v>
      </c>
      <c r="G346" s="3"/>
      <c r="H346" s="12"/>
      <c r="I346" s="13"/>
      <c r="J346" s="10"/>
      <c r="K346" s="3" t="s">
        <v>2191</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c r="AW346" s="57" t="str">
        <f>+IFERROR(VLOOKUP(AV346,Deflactor!$BP$298:$BU$307,6,0),"")</f>
        <v/>
      </c>
    </row>
    <row r="347" spans="1:49" x14ac:dyDescent="0.3">
      <c r="A347" s="3">
        <v>2007</v>
      </c>
      <c r="B347" s="3" t="s">
        <v>435</v>
      </c>
      <c r="C347" s="3" t="s">
        <v>7</v>
      </c>
      <c r="D347" s="3" t="s">
        <v>290</v>
      </c>
      <c r="E347" s="3" t="s">
        <v>291</v>
      </c>
      <c r="F347" s="3" t="s">
        <v>329</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c r="AW347" s="57" t="str">
        <f>+IFERROR(VLOOKUP(AV347,Deflactor!$BP$298:$BU$307,6,0),"")</f>
        <v/>
      </c>
    </row>
    <row r="348" spans="1:49" x14ac:dyDescent="0.3">
      <c r="A348" s="3">
        <v>2007</v>
      </c>
      <c r="B348" s="3" t="s">
        <v>436</v>
      </c>
      <c r="C348" s="3" t="s">
        <v>7</v>
      </c>
      <c r="D348" s="3" t="s">
        <v>48</v>
      </c>
      <c r="E348" s="3" t="s">
        <v>88</v>
      </c>
      <c r="F348" s="3" t="s">
        <v>310</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c r="AW348" s="57" t="str">
        <f>+IFERROR(VLOOKUP(AV348,Deflactor!$BP$298:$BU$307,6,0),"")</f>
        <v/>
      </c>
    </row>
    <row r="349" spans="1:49" x14ac:dyDescent="0.3">
      <c r="A349" s="3">
        <v>2007</v>
      </c>
      <c r="B349" s="3" t="s">
        <v>437</v>
      </c>
      <c r="C349" s="3" t="s">
        <v>7</v>
      </c>
      <c r="D349" s="3" t="s">
        <v>48</v>
      </c>
      <c r="E349" s="3" t="s">
        <v>438</v>
      </c>
      <c r="F349" s="3" t="s">
        <v>310</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c r="AW349" s="57" t="str">
        <f>+IFERROR(VLOOKUP(AV349,Deflactor!$BP$298:$BU$307,6,0),"")</f>
        <v/>
      </c>
    </row>
    <row r="350" spans="1:49" x14ac:dyDescent="0.3">
      <c r="A350" s="3">
        <v>2007</v>
      </c>
      <c r="B350" s="3" t="s">
        <v>439</v>
      </c>
      <c r="C350" s="3" t="s">
        <v>7</v>
      </c>
      <c r="D350" s="3" t="s">
        <v>48</v>
      </c>
      <c r="E350" s="3" t="s">
        <v>88</v>
      </c>
      <c r="F350" s="3" t="s">
        <v>310</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c r="AW350" s="57" t="str">
        <f>+IFERROR(VLOOKUP(AV350,Deflactor!$BP$298:$BU$307,6,0),"")</f>
        <v/>
      </c>
    </row>
    <row r="351" spans="1:49" x14ac:dyDescent="0.3">
      <c r="A351" s="3">
        <v>2007</v>
      </c>
      <c r="B351" s="3" t="s">
        <v>440</v>
      </c>
      <c r="C351" s="3" t="s">
        <v>92</v>
      </c>
      <c r="D351" s="3" t="s">
        <v>290</v>
      </c>
      <c r="E351" s="3" t="s">
        <v>120</v>
      </c>
      <c r="F351" s="3" t="s">
        <v>351</v>
      </c>
      <c r="G351" s="3"/>
      <c r="H351" s="12"/>
      <c r="I351" s="13"/>
      <c r="J351" s="10"/>
      <c r="K351" s="3" t="s">
        <v>2191</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c r="AW351" s="57" t="str">
        <f>+IFERROR(VLOOKUP(AV351,Deflactor!$BP$298:$BU$307,6,0),"")</f>
        <v/>
      </c>
    </row>
    <row r="352" spans="1:49" x14ac:dyDescent="0.3">
      <c r="A352" s="3">
        <v>2007</v>
      </c>
      <c r="B352" s="3" t="s">
        <v>441</v>
      </c>
      <c r="C352" s="3" t="s">
        <v>7</v>
      </c>
      <c r="D352" s="3" t="s">
        <v>397</v>
      </c>
      <c r="E352" s="3" t="s">
        <v>442</v>
      </c>
      <c r="F352" s="3" t="s">
        <v>399</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c r="AW352" s="57" t="str">
        <f>+IFERROR(VLOOKUP(AV352,Deflactor!$BP$298:$BU$307,6,0),"")</f>
        <v/>
      </c>
    </row>
    <row r="353" spans="1:49" x14ac:dyDescent="0.3">
      <c r="A353" s="3">
        <v>2007</v>
      </c>
      <c r="B353" s="3" t="s">
        <v>443</v>
      </c>
      <c r="C353" s="3" t="s">
        <v>7</v>
      </c>
      <c r="D353" s="3" t="s">
        <v>444</v>
      </c>
      <c r="E353" s="3" t="s">
        <v>445</v>
      </c>
      <c r="F353" s="3" t="s">
        <v>329</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c r="AW353" s="57" t="str">
        <f>+IFERROR(VLOOKUP(AV353,Deflactor!$BP$298:$BU$307,6,0),"")</f>
        <v/>
      </c>
    </row>
    <row r="354" spans="1:49" x14ac:dyDescent="0.3">
      <c r="A354" s="3">
        <v>2007</v>
      </c>
      <c r="B354" s="3" t="s">
        <v>446</v>
      </c>
      <c r="C354" s="3" t="s">
        <v>7</v>
      </c>
      <c r="D354" s="3" t="s">
        <v>32</v>
      </c>
      <c r="E354" s="3" t="s">
        <v>33</v>
      </c>
      <c r="F354" s="3" t="s">
        <v>351</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c r="AW354" s="57" t="str">
        <f>+IFERROR(VLOOKUP(AV354,Deflactor!$BP$298:$BU$307,6,0),"")</f>
        <v/>
      </c>
    </row>
    <row r="355" spans="1:49" x14ac:dyDescent="0.3">
      <c r="A355" s="3">
        <v>2007</v>
      </c>
      <c r="B355" s="3" t="s">
        <v>447</v>
      </c>
      <c r="C355" s="3" t="s">
        <v>7</v>
      </c>
      <c r="D355" s="3" t="s">
        <v>8</v>
      </c>
      <c r="E355" s="3" t="s">
        <v>156</v>
      </c>
      <c r="F355" s="3" t="s">
        <v>351</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c r="AW355" s="57" t="str">
        <f>+IFERROR(VLOOKUP(AV355,Deflactor!$BP$298:$BU$307,6,0),"")</f>
        <v/>
      </c>
    </row>
    <row r="356" spans="1:49" x14ac:dyDescent="0.3">
      <c r="A356" s="3">
        <v>2007</v>
      </c>
      <c r="B356" s="3" t="s">
        <v>448</v>
      </c>
      <c r="C356" s="3" t="s">
        <v>92</v>
      </c>
      <c r="D356" s="3" t="s">
        <v>8</v>
      </c>
      <c r="E356" s="3" t="s">
        <v>51</v>
      </c>
      <c r="F356" s="3" t="s">
        <v>329</v>
      </c>
      <c r="G356" s="3"/>
      <c r="H356" s="12"/>
      <c r="I356" s="13"/>
      <c r="J356" s="10"/>
      <c r="K356" s="3" t="s">
        <v>2191</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c r="AW356" s="57" t="str">
        <f>+IFERROR(VLOOKUP(AV356,Deflactor!$BP$298:$BU$307,6,0),"")</f>
        <v/>
      </c>
    </row>
    <row r="357" spans="1:49" x14ac:dyDescent="0.3">
      <c r="A357" s="3">
        <v>2007</v>
      </c>
      <c r="B357" s="3" t="s">
        <v>449</v>
      </c>
      <c r="C357" s="3" t="s">
        <v>92</v>
      </c>
      <c r="D357" s="3" t="s">
        <v>8</v>
      </c>
      <c r="E357" s="3" t="s">
        <v>51</v>
      </c>
      <c r="F357" s="3" t="s">
        <v>310</v>
      </c>
      <c r="G357" s="3"/>
      <c r="H357" s="12"/>
      <c r="I357" s="13"/>
      <c r="J357" s="10"/>
      <c r="K357" s="3" t="s">
        <v>2191</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c r="AW357" s="57" t="str">
        <f>+IFERROR(VLOOKUP(AV357,Deflactor!$BP$298:$BU$307,6,0),"")</f>
        <v/>
      </c>
    </row>
    <row r="358" spans="1:49" x14ac:dyDescent="0.3">
      <c r="A358" s="3">
        <v>2007</v>
      </c>
      <c r="B358" s="3" t="s">
        <v>450</v>
      </c>
      <c r="C358" s="3" t="s">
        <v>92</v>
      </c>
      <c r="D358" s="3" t="s">
        <v>8</v>
      </c>
      <c r="E358" s="3" t="s">
        <v>51</v>
      </c>
      <c r="F358" s="3" t="s">
        <v>329</v>
      </c>
      <c r="G358" s="3"/>
      <c r="H358" s="12"/>
      <c r="I358" s="13"/>
      <c r="J358" s="10"/>
      <c r="K358" s="3" t="s">
        <v>2191</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c r="AW358" s="57" t="str">
        <f>+IFERROR(VLOOKUP(AV358,Deflactor!$BP$298:$BU$307,6,0),"")</f>
        <v/>
      </c>
    </row>
    <row r="359" spans="1:49" x14ac:dyDescent="0.3">
      <c r="A359" s="3">
        <v>2007</v>
      </c>
      <c r="B359" s="3" t="s">
        <v>451</v>
      </c>
      <c r="C359" s="3" t="s">
        <v>92</v>
      </c>
      <c r="D359" s="3" t="s">
        <v>8</v>
      </c>
      <c r="E359" s="3" t="s">
        <v>51</v>
      </c>
      <c r="F359" s="3" t="s">
        <v>308</v>
      </c>
      <c r="G359" s="3"/>
      <c r="H359" s="12"/>
      <c r="I359" s="13"/>
      <c r="J359" s="10"/>
      <c r="K359" s="3" t="s">
        <v>2191</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c r="AW359" s="57" t="str">
        <f>+IFERROR(VLOOKUP(AV359,Deflactor!$BP$298:$BU$307,6,0),"")</f>
        <v/>
      </c>
    </row>
    <row r="360" spans="1:49" x14ac:dyDescent="0.3">
      <c r="A360" s="3">
        <v>2007</v>
      </c>
      <c r="B360" s="3" t="s">
        <v>452</v>
      </c>
      <c r="C360" s="3" t="s">
        <v>7</v>
      </c>
      <c r="D360" s="3" t="s">
        <v>71</v>
      </c>
      <c r="E360" s="3" t="s">
        <v>167</v>
      </c>
      <c r="F360" s="3" t="s">
        <v>329</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c r="AW360" s="57" t="str">
        <f>+IFERROR(VLOOKUP(AV360,Deflactor!$BP$298:$BU$307,6,0),"")</f>
        <v/>
      </c>
    </row>
    <row r="361" spans="1:49" x14ac:dyDescent="0.3">
      <c r="A361" s="3">
        <v>2007</v>
      </c>
      <c r="B361" s="3" t="s">
        <v>453</v>
      </c>
      <c r="C361" s="3" t="s">
        <v>92</v>
      </c>
      <c r="D361" s="3" t="s">
        <v>25</v>
      </c>
      <c r="E361" s="3" t="s">
        <v>29</v>
      </c>
      <c r="F361" s="3" t="s">
        <v>310</v>
      </c>
      <c r="G361" s="3"/>
      <c r="H361" s="12"/>
      <c r="I361" s="13"/>
      <c r="J361" s="10"/>
      <c r="K361" s="3" t="s">
        <v>2191</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c r="AW361" s="57" t="str">
        <f>+IFERROR(VLOOKUP(AV361,Deflactor!$BP$298:$BU$307,6,0),"")</f>
        <v/>
      </c>
    </row>
    <row r="362" spans="1:49" x14ac:dyDescent="0.3">
      <c r="A362" s="3">
        <v>2007</v>
      </c>
      <c r="B362" s="3" t="s">
        <v>454</v>
      </c>
      <c r="C362" s="3" t="s">
        <v>92</v>
      </c>
      <c r="D362" s="3" t="s">
        <v>25</v>
      </c>
      <c r="E362" s="3" t="s">
        <v>29</v>
      </c>
      <c r="F362" s="3" t="s">
        <v>329</v>
      </c>
      <c r="G362" s="3"/>
      <c r="H362" s="12"/>
      <c r="I362" s="13"/>
      <c r="J362" s="10"/>
      <c r="K362" s="3" t="s">
        <v>2191</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c r="AW362" s="57" t="str">
        <f>+IFERROR(VLOOKUP(AV362,Deflactor!$BP$298:$BU$307,6,0),"")</f>
        <v/>
      </c>
    </row>
    <row r="363" spans="1:49" x14ac:dyDescent="0.3">
      <c r="A363" s="3">
        <v>2007</v>
      </c>
      <c r="B363" s="3" t="s">
        <v>455</v>
      </c>
      <c r="C363" s="3" t="s">
        <v>92</v>
      </c>
      <c r="D363" s="3" t="s">
        <v>216</v>
      </c>
      <c r="E363" s="3" t="s">
        <v>456</v>
      </c>
      <c r="F363" s="3" t="s">
        <v>351</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c r="AW363" s="57" t="str">
        <f>+IFERROR(VLOOKUP(AV363,Deflactor!$BP$298:$BU$307,6,0),"")</f>
        <v/>
      </c>
    </row>
    <row r="364" spans="1:49" x14ac:dyDescent="0.3">
      <c r="A364" s="3">
        <v>2007</v>
      </c>
      <c r="B364" s="3" t="s">
        <v>457</v>
      </c>
      <c r="C364" s="3" t="s">
        <v>92</v>
      </c>
      <c r="D364" s="3" t="s">
        <v>36</v>
      </c>
      <c r="E364" s="3" t="s">
        <v>37</v>
      </c>
      <c r="F364" s="3" t="s">
        <v>399</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c r="AW364" s="57" t="str">
        <f>+IFERROR(VLOOKUP(AV364,Deflactor!$BP$298:$BU$307,6,0),"")</f>
        <v/>
      </c>
    </row>
    <row r="365" spans="1:49" x14ac:dyDescent="0.3">
      <c r="A365" s="3">
        <v>2007</v>
      </c>
      <c r="B365" s="3" t="s">
        <v>458</v>
      </c>
      <c r="C365" s="3" t="s">
        <v>92</v>
      </c>
      <c r="D365" s="3" t="s">
        <v>36</v>
      </c>
      <c r="E365" s="3" t="s">
        <v>37</v>
      </c>
      <c r="F365" s="3" t="s">
        <v>399</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c r="AW365" s="57" t="str">
        <f>+IFERROR(VLOOKUP(AV365,Deflactor!$BP$298:$BU$307,6,0),"")</f>
        <v/>
      </c>
    </row>
    <row r="366" spans="1:49" x14ac:dyDescent="0.3">
      <c r="A366" s="3">
        <v>2007</v>
      </c>
      <c r="B366" s="3" t="s">
        <v>459</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c r="AW366" s="57" t="str">
        <f>+IFERROR(VLOOKUP(AV366,Deflactor!$BP$298:$BU$307,6,0),"")</f>
        <v/>
      </c>
    </row>
    <row r="367" spans="1:49" x14ac:dyDescent="0.3">
      <c r="A367" s="3">
        <v>2007</v>
      </c>
      <c r="B367" s="3" t="s">
        <v>460</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c r="AW367" s="57" t="str">
        <f>+IFERROR(VLOOKUP(AV367,Deflactor!$BP$298:$BU$307,6,0),"")</f>
        <v/>
      </c>
    </row>
    <row r="368" spans="1:49" x14ac:dyDescent="0.3">
      <c r="A368" s="3">
        <v>2007</v>
      </c>
      <c r="B368" s="3" t="s">
        <v>461</v>
      </c>
      <c r="C368" s="3" t="s">
        <v>7</v>
      </c>
      <c r="D368" s="3" t="s">
        <v>36</v>
      </c>
      <c r="E368" s="3" t="s">
        <v>37</v>
      </c>
      <c r="F368" s="3" t="s">
        <v>310</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c r="AW368" s="57" t="str">
        <f>+IFERROR(VLOOKUP(AV368,Deflactor!$BP$298:$BU$307,6,0),"")</f>
        <v/>
      </c>
    </row>
    <row r="369" spans="1:49" x14ac:dyDescent="0.3">
      <c r="A369" s="3">
        <v>2007</v>
      </c>
      <c r="B369" s="3" t="s">
        <v>462</v>
      </c>
      <c r="C369" s="3" t="s">
        <v>7</v>
      </c>
      <c r="D369" s="3" t="s">
        <v>36</v>
      </c>
      <c r="E369" s="3" t="s">
        <v>37</v>
      </c>
      <c r="F369" s="3" t="s">
        <v>310</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c r="AW369" s="57" t="str">
        <f>+IFERROR(VLOOKUP(AV369,Deflactor!$BP$298:$BU$307,6,0),"")</f>
        <v/>
      </c>
    </row>
    <row r="370" spans="1:49" x14ac:dyDescent="0.3">
      <c r="A370" s="3">
        <v>2007</v>
      </c>
      <c r="B370" s="3" t="s">
        <v>463</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c r="AW370" s="57" t="str">
        <f>+IFERROR(VLOOKUP(AV370,Deflactor!$BP$298:$BU$307,6,0),"")</f>
        <v/>
      </c>
    </row>
    <row r="371" spans="1:49" x14ac:dyDescent="0.3">
      <c r="A371" s="3">
        <v>2007</v>
      </c>
      <c r="B371" s="3" t="s">
        <v>464</v>
      </c>
      <c r="C371" s="3" t="s">
        <v>7</v>
      </c>
      <c r="D371" s="3" t="s">
        <v>40</v>
      </c>
      <c r="E371" s="3" t="s">
        <v>43</v>
      </c>
      <c r="F371" s="3" t="s">
        <v>310</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c r="AW371" s="57" t="str">
        <f>+IFERROR(VLOOKUP(AV371,Deflactor!$BP$298:$BU$307,6,0),"")</f>
        <v/>
      </c>
    </row>
    <row r="372" spans="1:49" x14ac:dyDescent="0.3">
      <c r="A372" s="3">
        <v>2007</v>
      </c>
      <c r="B372" s="3" t="s">
        <v>465</v>
      </c>
      <c r="C372" s="3" t="s">
        <v>7</v>
      </c>
      <c r="D372" s="3" t="s">
        <v>71</v>
      </c>
      <c r="E372" s="3" t="s">
        <v>167</v>
      </c>
      <c r="F372" s="3" t="s">
        <v>310</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c r="AW372" s="57" t="str">
        <f>+IFERROR(VLOOKUP(AV372,Deflactor!$BP$298:$BU$307,6,0),"")</f>
        <v/>
      </c>
    </row>
    <row r="373" spans="1:49" x14ac:dyDescent="0.3">
      <c r="A373" s="3">
        <v>2007</v>
      </c>
      <c r="B373" s="3" t="s">
        <v>466</v>
      </c>
      <c r="C373" s="3" t="s">
        <v>92</v>
      </c>
      <c r="D373" s="3" t="s">
        <v>8</v>
      </c>
      <c r="E373" s="3" t="s">
        <v>51</v>
      </c>
      <c r="F373" s="3" t="s">
        <v>310</v>
      </c>
      <c r="G373" s="3"/>
      <c r="H373" s="12"/>
      <c r="I373" s="13"/>
      <c r="J373" s="10"/>
      <c r="K373" s="3" t="s">
        <v>2191</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c r="AW373" s="57" t="str">
        <f>+IFERROR(VLOOKUP(AV373,Deflactor!$BP$298:$BU$307,6,0),"")</f>
        <v/>
      </c>
    </row>
    <row r="374" spans="1:49" x14ac:dyDescent="0.3">
      <c r="A374" s="3">
        <v>2007</v>
      </c>
      <c r="B374" s="3" t="s">
        <v>467</v>
      </c>
      <c r="C374" s="3" t="s">
        <v>92</v>
      </c>
      <c r="D374" s="3" t="s">
        <v>8</v>
      </c>
      <c r="E374" s="3" t="s">
        <v>51</v>
      </c>
      <c r="F374" s="3" t="s">
        <v>329</v>
      </c>
      <c r="G374" s="3"/>
      <c r="H374" s="12"/>
      <c r="I374" s="13"/>
      <c r="J374" s="10"/>
      <c r="K374" s="3" t="s">
        <v>2191</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c r="AW374" s="57" t="str">
        <f>+IFERROR(VLOOKUP(AV374,Deflactor!$BP$298:$BU$307,6,0),"")</f>
        <v/>
      </c>
    </row>
    <row r="375" spans="1:49" x14ac:dyDescent="0.3">
      <c r="A375" s="3">
        <v>2007</v>
      </c>
      <c r="B375" s="3" t="s">
        <v>468</v>
      </c>
      <c r="C375" s="3" t="s">
        <v>92</v>
      </c>
      <c r="D375" s="3" t="s">
        <v>64</v>
      </c>
      <c r="E375" s="3" t="s">
        <v>65</v>
      </c>
      <c r="F375" s="3" t="s">
        <v>399</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c r="AW375" s="57" t="str">
        <f>+IFERROR(VLOOKUP(AV375,Deflactor!$BP$298:$BU$307,6,0),"")</f>
        <v/>
      </c>
    </row>
    <row r="376" spans="1:49" x14ac:dyDescent="0.3">
      <c r="A376" s="3">
        <v>2007</v>
      </c>
      <c r="B376" s="3" t="s">
        <v>469</v>
      </c>
      <c r="C376" s="3" t="s">
        <v>7</v>
      </c>
      <c r="D376" s="3" t="s">
        <v>64</v>
      </c>
      <c r="E376" s="3" t="s">
        <v>65</v>
      </c>
      <c r="F376" s="3" t="s">
        <v>308</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c r="AW376" s="57" t="str">
        <f>+IFERROR(VLOOKUP(AV376,Deflactor!$BP$298:$BU$307,6,0),"")</f>
        <v/>
      </c>
    </row>
    <row r="377" spans="1:49" x14ac:dyDescent="0.3">
      <c r="A377" s="3">
        <v>2006</v>
      </c>
      <c r="B377" s="3" t="s">
        <v>470</v>
      </c>
      <c r="C377" s="3" t="s">
        <v>7</v>
      </c>
      <c r="D377" s="3" t="s">
        <v>12</v>
      </c>
      <c r="E377" s="3" t="s">
        <v>471</v>
      </c>
      <c r="F377" s="3" t="s">
        <v>329</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c r="AW377" s="57" t="str">
        <f>+IFERROR(VLOOKUP(AV377,Deflactor!$BP$298:$BU$307,6,0),"")</f>
        <v/>
      </c>
    </row>
    <row r="378" spans="1:49" x14ac:dyDescent="0.3">
      <c r="A378" s="3">
        <v>2006</v>
      </c>
      <c r="B378" s="3" t="s">
        <v>472</v>
      </c>
      <c r="C378" s="3" t="s">
        <v>7</v>
      </c>
      <c r="D378" s="3" t="s">
        <v>45</v>
      </c>
      <c r="E378" s="3" t="s">
        <v>184</v>
      </c>
      <c r="F378" s="3" t="s">
        <v>351</v>
      </c>
      <c r="G378" s="3"/>
      <c r="H378" s="12"/>
      <c r="I378" s="13"/>
      <c r="J378" s="10"/>
      <c r="K378" s="3" t="s">
        <v>2302</v>
      </c>
      <c r="L378" s="3"/>
      <c r="M378" s="3"/>
      <c r="N378" s="3"/>
      <c r="O378" s="3"/>
      <c r="P378" s="3"/>
      <c r="Q378" s="3"/>
      <c r="R378" s="3"/>
      <c r="S378" s="3"/>
      <c r="T378" s="3"/>
      <c r="U378" s="3"/>
      <c r="V378" s="3"/>
      <c r="W378" s="10" t="str">
        <f>IF( J378="s.i", "s.i", IF(ISBLANK(J378),"Actualizando información",IFERROR(J378 / VLOOKUP(A378,Deflactor!$G$3:$H$64,2,0),"Revisar error" )))</f>
        <v>Actualizando información</v>
      </c>
      <c r="AW378" s="57" t="str">
        <f>+IFERROR(VLOOKUP(AV378,Deflactor!$BP$298:$BU$307,6,0),"")</f>
        <v/>
      </c>
    </row>
    <row r="379" spans="1:49" x14ac:dyDescent="0.3">
      <c r="A379" s="3">
        <v>2006</v>
      </c>
      <c r="B379" s="3" t="s">
        <v>473</v>
      </c>
      <c r="C379" s="3" t="s">
        <v>92</v>
      </c>
      <c r="D379" s="3" t="s">
        <v>45</v>
      </c>
      <c r="E379" s="3" t="s">
        <v>407</v>
      </c>
      <c r="F379" s="3" t="s">
        <v>310</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c r="AW379" s="57" t="str">
        <f>+IFERROR(VLOOKUP(AV379,Deflactor!$BP$298:$BU$307,6,0),"")</f>
        <v/>
      </c>
    </row>
    <row r="380" spans="1:49" x14ac:dyDescent="0.3">
      <c r="A380" s="3">
        <v>2006</v>
      </c>
      <c r="B380" s="3" t="s">
        <v>474</v>
      </c>
      <c r="C380" s="3" t="s">
        <v>7</v>
      </c>
      <c r="D380" s="3" t="s">
        <v>25</v>
      </c>
      <c r="E380" s="3" t="s">
        <v>26</v>
      </c>
      <c r="F380" s="3" t="s">
        <v>310</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c r="AW380" s="57" t="str">
        <f>+IFERROR(VLOOKUP(AV380,Deflactor!$BP$298:$BU$307,6,0),"")</f>
        <v/>
      </c>
    </row>
    <row r="381" spans="1:49" x14ac:dyDescent="0.3">
      <c r="A381" s="3">
        <v>2006</v>
      </c>
      <c r="B381" s="3" t="s">
        <v>475</v>
      </c>
      <c r="C381" s="3" t="s">
        <v>155</v>
      </c>
      <c r="D381" s="3" t="s">
        <v>216</v>
      </c>
      <c r="E381" s="3" t="s">
        <v>475</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c r="AW381" s="57" t="str">
        <f>+IFERROR(VLOOKUP(AV381,Deflactor!$BP$298:$BU$307,6,0),"")</f>
        <v/>
      </c>
    </row>
    <row r="382" spans="1:49" x14ac:dyDescent="0.3">
      <c r="A382" s="3">
        <v>2006</v>
      </c>
      <c r="B382" s="3" t="s">
        <v>476</v>
      </c>
      <c r="C382" s="3" t="s">
        <v>92</v>
      </c>
      <c r="D382" s="3" t="s">
        <v>36</v>
      </c>
      <c r="E382" s="3" t="s">
        <v>94</v>
      </c>
      <c r="F382" s="3" t="s">
        <v>329</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c r="AW382" s="57" t="str">
        <f>+IFERROR(VLOOKUP(AV382,Deflactor!$BP$298:$BU$307,6,0),"")</f>
        <v/>
      </c>
    </row>
    <row r="383" spans="1:49" x14ac:dyDescent="0.3">
      <c r="A383" s="3">
        <v>2006</v>
      </c>
      <c r="B383" s="3" t="s">
        <v>477</v>
      </c>
      <c r="C383" s="3" t="s">
        <v>7</v>
      </c>
      <c r="D383" s="3" t="s">
        <v>36</v>
      </c>
      <c r="E383" s="3" t="s">
        <v>98</v>
      </c>
      <c r="F383" s="3" t="s">
        <v>329</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c r="AW383" s="57" t="str">
        <f>+IFERROR(VLOOKUP(AV383,Deflactor!$BP$298:$BU$307,6,0),"")</f>
        <v/>
      </c>
    </row>
    <row r="384" spans="1:49" x14ac:dyDescent="0.3">
      <c r="A384" s="3">
        <v>2006</v>
      </c>
      <c r="B384" s="3" t="s">
        <v>478</v>
      </c>
      <c r="C384" s="3" t="s">
        <v>92</v>
      </c>
      <c r="D384" s="3" t="s">
        <v>32</v>
      </c>
      <c r="E384" s="3" t="s">
        <v>33</v>
      </c>
      <c r="F384" s="3" t="s">
        <v>310</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c r="AW384" s="57" t="str">
        <f>+IFERROR(VLOOKUP(AV384,Deflactor!$BP$298:$BU$307,6,0),"")</f>
        <v/>
      </c>
    </row>
    <row r="385" spans="1:49" x14ac:dyDescent="0.3">
      <c r="A385" s="3">
        <v>2006</v>
      </c>
      <c r="B385" s="3" t="s">
        <v>479</v>
      </c>
      <c r="C385" s="3" t="s">
        <v>7</v>
      </c>
      <c r="D385" s="3" t="s">
        <v>32</v>
      </c>
      <c r="E385" s="3" t="s">
        <v>33</v>
      </c>
      <c r="F385" s="3" t="s">
        <v>351</v>
      </c>
      <c r="G385" s="3"/>
      <c r="H385" s="12"/>
      <c r="I385" s="13"/>
      <c r="J385" s="10"/>
      <c r="K385" s="3"/>
      <c r="L385" s="3"/>
      <c r="M385" s="3"/>
      <c r="N385" s="3"/>
      <c r="O385" s="3"/>
      <c r="P385" s="3"/>
      <c r="Q385" s="3"/>
      <c r="R385" s="3"/>
      <c r="S385" s="3"/>
      <c r="T385" s="3"/>
      <c r="U385" s="3" t="s">
        <v>1327</v>
      </c>
      <c r="V385" s="3"/>
      <c r="W385" s="10" t="str">
        <f>IF( J385="s.i", "s.i", IF(ISBLANK(J385),"Actualizando información",IFERROR(J385 / VLOOKUP(A385,Deflactor!$G$3:$H$64,2,0),"Revisar error" )))</f>
        <v>Actualizando información</v>
      </c>
      <c r="AW385" s="57" t="str">
        <f>+IFERROR(VLOOKUP(AV385,Deflactor!$BP$298:$BU$307,6,0),"")</f>
        <v/>
      </c>
    </row>
    <row r="386" spans="1:49" x14ac:dyDescent="0.3">
      <c r="A386" s="3">
        <v>2006</v>
      </c>
      <c r="B386" s="3" t="s">
        <v>209</v>
      </c>
      <c r="C386" s="3" t="s">
        <v>7</v>
      </c>
      <c r="D386" s="3" t="s">
        <v>48</v>
      </c>
      <c r="E386" s="3" t="s">
        <v>49</v>
      </c>
      <c r="F386" s="3" t="s">
        <v>351</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c r="AW386" s="57" t="str">
        <f>+IFERROR(VLOOKUP(AV386,Deflactor!$BP$298:$BU$307,6,0),"")</f>
        <v/>
      </c>
    </row>
    <row r="387" spans="1:49" x14ac:dyDescent="0.3">
      <c r="A387" s="3">
        <v>2006</v>
      </c>
      <c r="B387" s="3" t="s">
        <v>480</v>
      </c>
      <c r="C387" s="3" t="s">
        <v>92</v>
      </c>
      <c r="D387" s="3" t="s">
        <v>36</v>
      </c>
      <c r="E387" s="3" t="s">
        <v>37</v>
      </c>
      <c r="F387" s="3" t="s">
        <v>351</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c r="AW387" s="57" t="str">
        <f>+IFERROR(VLOOKUP(AV387,Deflactor!$BP$298:$BU$307,6,0),"")</f>
        <v/>
      </c>
    </row>
    <row r="388" spans="1:49" x14ac:dyDescent="0.3">
      <c r="A388" s="3">
        <v>2006</v>
      </c>
      <c r="B388" s="3" t="s">
        <v>250</v>
      </c>
      <c r="C388" s="3" t="s">
        <v>7</v>
      </c>
      <c r="D388" s="3" t="s">
        <v>397</v>
      </c>
      <c r="E388" s="3" t="s">
        <v>397</v>
      </c>
      <c r="F388" s="3" t="s">
        <v>310</v>
      </c>
      <c r="G388" s="3"/>
      <c r="H388" s="12"/>
      <c r="I388" s="13"/>
      <c r="J388" s="10"/>
      <c r="K388" s="3" t="s">
        <v>1762</v>
      </c>
      <c r="L388" s="3"/>
      <c r="M388" s="3"/>
      <c r="N388" s="3"/>
      <c r="O388" s="3"/>
      <c r="P388" s="3"/>
      <c r="Q388" s="3"/>
      <c r="R388" s="3"/>
      <c r="S388" s="3"/>
      <c r="T388" s="3"/>
      <c r="U388" s="3" t="s">
        <v>250</v>
      </c>
      <c r="V388" s="3"/>
      <c r="W388" s="10" t="str">
        <f>IF( J388="s.i", "s.i", IF(ISBLANK(J388),"Actualizando información",IFERROR(J388 / VLOOKUP(A388,Deflactor!$G$3:$H$64,2,0),"Revisar error" )))</f>
        <v>Actualizando información</v>
      </c>
      <c r="AW388" s="57" t="str">
        <f>+IFERROR(VLOOKUP(AV388,Deflactor!$BP$298:$BU$307,6,0),"")</f>
        <v/>
      </c>
    </row>
    <row r="389" spans="1:49" x14ac:dyDescent="0.3">
      <c r="A389" s="3">
        <v>2006</v>
      </c>
      <c r="B389" s="3" t="s">
        <v>481</v>
      </c>
      <c r="C389" s="3" t="s">
        <v>7</v>
      </c>
      <c r="D389" s="3" t="s">
        <v>12</v>
      </c>
      <c r="E389" s="3" t="s">
        <v>482</v>
      </c>
      <c r="F389" s="3" t="s">
        <v>310</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c r="AW389" s="57" t="str">
        <f>+IFERROR(VLOOKUP(AV389,Deflactor!$BP$298:$BU$307,6,0),"")</f>
        <v/>
      </c>
    </row>
    <row r="390" spans="1:49" x14ac:dyDescent="0.3">
      <c r="A390" s="3">
        <v>2006</v>
      </c>
      <c r="B390" s="3" t="s">
        <v>483</v>
      </c>
      <c r="C390" s="3" t="s">
        <v>7</v>
      </c>
      <c r="D390" s="3" t="s">
        <v>36</v>
      </c>
      <c r="E390" s="3" t="s">
        <v>94</v>
      </c>
      <c r="F390" s="3" t="s">
        <v>351</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c r="AW390" s="57" t="str">
        <f>+IFERROR(VLOOKUP(AV390,Deflactor!$BP$298:$BU$307,6,0),"")</f>
        <v/>
      </c>
    </row>
    <row r="391" spans="1:49" x14ac:dyDescent="0.3">
      <c r="A391" s="3">
        <v>2006</v>
      </c>
      <c r="B391" s="3" t="s">
        <v>484</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c r="AW391" s="57" t="str">
        <f>+IFERROR(VLOOKUP(AV391,Deflactor!$BP$298:$BU$307,6,0),"")</f>
        <v/>
      </c>
    </row>
    <row r="392" spans="1:49" x14ac:dyDescent="0.3">
      <c r="A392" s="3">
        <v>2006</v>
      </c>
      <c r="B392" s="3" t="s">
        <v>263</v>
      </c>
      <c r="C392" s="3" t="s">
        <v>7</v>
      </c>
      <c r="D392" s="3" t="s">
        <v>8</v>
      </c>
      <c r="E392" s="3" t="s">
        <v>264</v>
      </c>
      <c r="F392" s="3" t="s">
        <v>329</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c r="AW392" s="57" t="str">
        <f>+IFERROR(VLOOKUP(AV392,Deflactor!$BP$298:$BU$307,6,0),"")</f>
        <v/>
      </c>
    </row>
    <row r="393" spans="1:49" x14ac:dyDescent="0.3">
      <c r="A393" s="3">
        <v>2006</v>
      </c>
      <c r="B393" s="3" t="s">
        <v>485</v>
      </c>
      <c r="C393" s="3" t="s">
        <v>7</v>
      </c>
      <c r="D393" s="3" t="s">
        <v>8</v>
      </c>
      <c r="E393" s="3" t="s">
        <v>9</v>
      </c>
      <c r="F393" s="3" t="s">
        <v>329</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c r="AW393" s="57" t="str">
        <f>+IFERROR(VLOOKUP(AV393,Deflactor!$BP$298:$BU$307,6,0),"")</f>
        <v/>
      </c>
    </row>
    <row r="394" spans="1:49" x14ac:dyDescent="0.3">
      <c r="A394" s="3">
        <v>2006</v>
      </c>
      <c r="B394" s="3" t="s">
        <v>486</v>
      </c>
      <c r="C394" s="3" t="s">
        <v>7</v>
      </c>
      <c r="D394" s="3" t="s">
        <v>159</v>
      </c>
      <c r="E394" s="3" t="s">
        <v>160</v>
      </c>
      <c r="F394" s="3" t="s">
        <v>329</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c r="AW394" s="57" t="str">
        <f>+IFERROR(VLOOKUP(AV394,Deflactor!$BP$298:$BU$307,6,0),"")</f>
        <v/>
      </c>
    </row>
    <row r="395" spans="1:49" x14ac:dyDescent="0.3">
      <c r="A395" s="3">
        <v>2006</v>
      </c>
      <c r="B395" s="3" t="s">
        <v>487</v>
      </c>
      <c r="C395" s="3" t="s">
        <v>92</v>
      </c>
      <c r="D395" s="3" t="s">
        <v>290</v>
      </c>
      <c r="E395" s="3" t="s">
        <v>291</v>
      </c>
      <c r="F395" s="3" t="s">
        <v>310</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c r="AW395" s="57" t="str">
        <f>+IFERROR(VLOOKUP(AV395,Deflactor!$BP$298:$BU$307,6,0),"")</f>
        <v/>
      </c>
    </row>
    <row r="396" spans="1:49" x14ac:dyDescent="0.3">
      <c r="A396" s="3">
        <v>2006</v>
      </c>
      <c r="B396" s="3" t="s">
        <v>488</v>
      </c>
      <c r="C396" s="3" t="s">
        <v>92</v>
      </c>
      <c r="D396" s="3" t="s">
        <v>290</v>
      </c>
      <c r="E396" s="3" t="s">
        <v>291</v>
      </c>
      <c r="F396" s="3" t="s">
        <v>310</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c r="AW396" s="57" t="str">
        <f>+IFERROR(VLOOKUP(AV396,Deflactor!$BP$298:$BU$307,6,0),"")</f>
        <v/>
      </c>
    </row>
    <row r="397" spans="1:49" x14ac:dyDescent="0.3">
      <c r="A397" s="3">
        <v>2006</v>
      </c>
      <c r="B397" s="3" t="s">
        <v>489</v>
      </c>
      <c r="C397" s="3" t="s">
        <v>7</v>
      </c>
      <c r="D397" s="3" t="s">
        <v>290</v>
      </c>
      <c r="E397" s="3" t="s">
        <v>291</v>
      </c>
      <c r="F397" s="3" t="s">
        <v>399</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c r="AW397" s="57" t="str">
        <f>+IFERROR(VLOOKUP(AV397,Deflactor!$BP$298:$BU$307,6,0),"")</f>
        <v/>
      </c>
    </row>
    <row r="398" spans="1:49" x14ac:dyDescent="0.3">
      <c r="A398" s="3">
        <v>2005</v>
      </c>
      <c r="B398" s="3" t="s">
        <v>490</v>
      </c>
      <c r="C398" s="3" t="s">
        <v>92</v>
      </c>
      <c r="D398" s="3" t="s">
        <v>290</v>
      </c>
      <c r="E398" s="3" t="s">
        <v>291</v>
      </c>
      <c r="F398" s="3" t="s">
        <v>351</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c r="AW398" s="57" t="str">
        <f>+IFERROR(VLOOKUP(AV398,Deflactor!$BP$298:$BU$307,6,0),"")</f>
        <v/>
      </c>
    </row>
    <row r="399" spans="1:49" x14ac:dyDescent="0.3">
      <c r="A399" s="3">
        <v>2005</v>
      </c>
      <c r="B399" s="3" t="s">
        <v>491</v>
      </c>
      <c r="C399" s="3" t="s">
        <v>7</v>
      </c>
      <c r="D399" s="3" t="s">
        <v>12</v>
      </c>
      <c r="E399" s="3" t="s">
        <v>13</v>
      </c>
      <c r="F399" s="3" t="s">
        <v>308</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c r="AW399" s="57" t="str">
        <f>+IFERROR(VLOOKUP(AV399,Deflactor!$BP$298:$BU$307,6,0),"")</f>
        <v/>
      </c>
    </row>
    <row r="400" spans="1:49" x14ac:dyDescent="0.3">
      <c r="A400" s="3">
        <v>2005</v>
      </c>
      <c r="B400" s="3" t="s">
        <v>492</v>
      </c>
      <c r="C400" s="3" t="s">
        <v>7</v>
      </c>
      <c r="D400" s="3" t="s">
        <v>397</v>
      </c>
      <c r="E400" s="3" t="s">
        <v>398</v>
      </c>
      <c r="F400" s="3" t="s">
        <v>310</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c r="AW400" s="57" t="str">
        <f>+IFERROR(VLOOKUP(AV400,Deflactor!$BP$298:$BU$307,6,0),"")</f>
        <v/>
      </c>
    </row>
    <row r="401" spans="1:49" x14ac:dyDescent="0.3">
      <c r="A401" s="3">
        <v>2005</v>
      </c>
      <c r="B401" s="3" t="s">
        <v>493</v>
      </c>
      <c r="C401" s="3" t="s">
        <v>7</v>
      </c>
      <c r="D401" s="3" t="s">
        <v>12</v>
      </c>
      <c r="E401" s="3" t="s">
        <v>13</v>
      </c>
      <c r="F401" s="3" t="s">
        <v>329</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c r="AW401" s="57" t="str">
        <f>+IFERROR(VLOOKUP(AV401,Deflactor!$BP$298:$BU$307,6,0),"")</f>
        <v/>
      </c>
    </row>
    <row r="402" spans="1:49" x14ac:dyDescent="0.3">
      <c r="A402" s="3">
        <v>2005</v>
      </c>
      <c r="B402" s="3" t="s">
        <v>494</v>
      </c>
      <c r="C402" s="3" t="s">
        <v>7</v>
      </c>
      <c r="D402" s="3" t="s">
        <v>25</v>
      </c>
      <c r="E402" s="3" t="s">
        <v>495</v>
      </c>
      <c r="F402" s="3" t="s">
        <v>399</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c r="AW402" s="57" t="str">
        <f>+IFERROR(VLOOKUP(AV402,Deflactor!$BP$298:$BU$307,6,0),"")</f>
        <v/>
      </c>
    </row>
    <row r="403" spans="1:49" x14ac:dyDescent="0.3">
      <c r="A403" s="3">
        <v>2005</v>
      </c>
      <c r="B403" s="3" t="s">
        <v>496</v>
      </c>
      <c r="C403" s="3" t="s">
        <v>7</v>
      </c>
      <c r="D403" s="3" t="s">
        <v>25</v>
      </c>
      <c r="E403" s="3" t="s">
        <v>497</v>
      </c>
      <c r="F403" s="3" t="s">
        <v>329</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c r="AW403" s="57" t="str">
        <f>+IFERROR(VLOOKUP(AV403,Deflactor!$BP$298:$BU$307,6,0),"")</f>
        <v/>
      </c>
    </row>
    <row r="404" spans="1:49" x14ac:dyDescent="0.3">
      <c r="A404" s="3">
        <v>2005</v>
      </c>
      <c r="B404" s="3" t="s">
        <v>498</v>
      </c>
      <c r="C404" s="3" t="s">
        <v>7</v>
      </c>
      <c r="D404" s="3" t="s">
        <v>25</v>
      </c>
      <c r="E404" s="3" t="s">
        <v>26</v>
      </c>
      <c r="F404" s="3" t="s">
        <v>329</v>
      </c>
      <c r="G404" s="3"/>
      <c r="H404" s="12"/>
      <c r="I404" s="13"/>
      <c r="J404" s="10"/>
      <c r="K404" s="3"/>
      <c r="L404" s="3"/>
      <c r="M404" s="3"/>
      <c r="N404" s="3"/>
      <c r="O404" s="3"/>
      <c r="P404" s="3"/>
      <c r="Q404" s="3"/>
      <c r="R404" s="3"/>
      <c r="S404" s="3"/>
      <c r="T404" s="3"/>
      <c r="U404" s="3"/>
      <c r="V404" s="3" t="s">
        <v>1217</v>
      </c>
      <c r="W404" s="10" t="str">
        <f>IF( J404="s.i", "s.i", IF(ISBLANK(J404),"Actualizando información",IFERROR(J404 / VLOOKUP(A404,Deflactor!$G$3:$H$64,2,0),"Revisar error" )))</f>
        <v>Actualizando información</v>
      </c>
      <c r="AW404" s="57" t="str">
        <f>+IFERROR(VLOOKUP(AV404,Deflactor!$BP$298:$BU$307,6,0),"")</f>
        <v/>
      </c>
    </row>
    <row r="405" spans="1:49" x14ac:dyDescent="0.3">
      <c r="A405" s="3">
        <v>2005</v>
      </c>
      <c r="B405" s="3" t="s">
        <v>499</v>
      </c>
      <c r="C405" s="3" t="s">
        <v>7</v>
      </c>
      <c r="D405" s="3" t="s">
        <v>25</v>
      </c>
      <c r="E405" s="3" t="s">
        <v>151</v>
      </c>
      <c r="F405" s="3" t="s">
        <v>310</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c r="AW405" s="57" t="str">
        <f>+IFERROR(VLOOKUP(AV405,Deflactor!$BP$298:$BU$307,6,0),"")</f>
        <v/>
      </c>
    </row>
    <row r="406" spans="1:49" x14ac:dyDescent="0.3">
      <c r="A406" s="3">
        <v>2005</v>
      </c>
      <c r="B406" s="3" t="s">
        <v>500</v>
      </c>
      <c r="C406" s="3" t="s">
        <v>92</v>
      </c>
      <c r="D406" s="3" t="s">
        <v>36</v>
      </c>
      <c r="E406" s="3" t="s">
        <v>81</v>
      </c>
      <c r="F406" s="3" t="s">
        <v>310</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c r="AW406" s="57" t="str">
        <f>+IFERROR(VLOOKUP(AV406,Deflactor!$BP$298:$BU$307,6,0),"")</f>
        <v/>
      </c>
    </row>
    <row r="407" spans="1:49" x14ac:dyDescent="0.3">
      <c r="A407" s="3">
        <v>2005</v>
      </c>
      <c r="B407" s="3" t="s">
        <v>501</v>
      </c>
      <c r="C407" s="3" t="s">
        <v>92</v>
      </c>
      <c r="D407" s="3" t="s">
        <v>36</v>
      </c>
      <c r="E407" s="3" t="s">
        <v>81</v>
      </c>
      <c r="F407" s="3" t="s">
        <v>329</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c r="AW407" s="57" t="str">
        <f>+IFERROR(VLOOKUP(AV407,Deflactor!$BP$298:$BU$307,6,0),"")</f>
        <v/>
      </c>
    </row>
    <row r="408" spans="1:49" x14ac:dyDescent="0.3">
      <c r="A408" s="3">
        <v>2005</v>
      </c>
      <c r="B408" s="3" t="s">
        <v>502</v>
      </c>
      <c r="C408" s="3" t="s">
        <v>7</v>
      </c>
      <c r="D408" s="3" t="s">
        <v>40</v>
      </c>
      <c r="E408" s="3" t="s">
        <v>41</v>
      </c>
      <c r="F408" s="3" t="s">
        <v>351</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c r="AW408" s="57" t="str">
        <f>+IFERROR(VLOOKUP(AV408,Deflactor!$BP$298:$BU$307,6,0),"")</f>
        <v/>
      </c>
    </row>
    <row r="409" spans="1:49" x14ac:dyDescent="0.3">
      <c r="A409" s="3">
        <v>2005</v>
      </c>
      <c r="B409" s="3" t="s">
        <v>503</v>
      </c>
      <c r="C409" s="3" t="s">
        <v>7</v>
      </c>
      <c r="D409" s="3" t="s">
        <v>40</v>
      </c>
      <c r="E409" s="3" t="s">
        <v>41</v>
      </c>
      <c r="F409" s="3" t="s">
        <v>329</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c r="AW409" s="57" t="str">
        <f>+IFERROR(VLOOKUP(AV409,Deflactor!$BP$298:$BU$307,6,0),"")</f>
        <v/>
      </c>
    </row>
    <row r="410" spans="1:49" x14ac:dyDescent="0.3">
      <c r="A410" s="3">
        <v>2005</v>
      </c>
      <c r="B410" s="3" t="s">
        <v>504</v>
      </c>
      <c r="C410" s="3" t="s">
        <v>7</v>
      </c>
      <c r="D410" s="3" t="s">
        <v>12</v>
      </c>
      <c r="E410" s="3" t="s">
        <v>505</v>
      </c>
      <c r="F410" s="3" t="s">
        <v>308</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c r="AW410" s="57" t="str">
        <f>+IFERROR(VLOOKUP(AV410,Deflactor!$BP$298:$BU$307,6,0),"")</f>
        <v/>
      </c>
    </row>
    <row r="411" spans="1:49" x14ac:dyDescent="0.3">
      <c r="A411" s="3">
        <v>2005</v>
      </c>
      <c r="B411" s="3" t="s">
        <v>506</v>
      </c>
      <c r="C411" s="3" t="s">
        <v>7</v>
      </c>
      <c r="D411" s="3" t="s">
        <v>40</v>
      </c>
      <c r="E411" s="3" t="s">
        <v>41</v>
      </c>
      <c r="F411" s="3" t="s">
        <v>310</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c r="AW411" s="57" t="str">
        <f>+IFERROR(VLOOKUP(AV411,Deflactor!$BP$298:$BU$307,6,0),"")</f>
        <v/>
      </c>
    </row>
    <row r="412" spans="1:49" x14ac:dyDescent="0.3">
      <c r="A412" s="3">
        <v>2005</v>
      </c>
      <c r="B412" s="3" t="s">
        <v>507</v>
      </c>
      <c r="C412" s="3" t="s">
        <v>155</v>
      </c>
      <c r="D412" s="3" t="s">
        <v>8</v>
      </c>
      <c r="E412" s="3" t="s">
        <v>264</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c r="AW412" s="57" t="str">
        <f>+IFERROR(VLOOKUP(AV412,Deflactor!$BP$298:$BU$307,6,0),"")</f>
        <v/>
      </c>
    </row>
    <row r="413" spans="1:49" x14ac:dyDescent="0.3">
      <c r="A413" s="3">
        <v>2005</v>
      </c>
      <c r="B413" s="3" t="s">
        <v>508</v>
      </c>
      <c r="C413" s="3" t="s">
        <v>7</v>
      </c>
      <c r="D413" s="3" t="s">
        <v>8</v>
      </c>
      <c r="E413" s="3" t="s">
        <v>214</v>
      </c>
      <c r="F413" s="3" t="s">
        <v>329</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c r="AW413" s="57" t="str">
        <f>+IFERROR(VLOOKUP(AV413,Deflactor!$BP$298:$BU$307,6,0),"")</f>
        <v/>
      </c>
    </row>
    <row r="414" spans="1:49" x14ac:dyDescent="0.3">
      <c r="A414" s="3">
        <v>2005</v>
      </c>
      <c r="B414" s="3" t="s">
        <v>252</v>
      </c>
      <c r="C414" s="3" t="s">
        <v>7</v>
      </c>
      <c r="D414" s="3" t="s">
        <v>8</v>
      </c>
      <c r="E414" s="3" t="s">
        <v>51</v>
      </c>
      <c r="F414" s="3" t="s">
        <v>329</v>
      </c>
      <c r="G414" s="3"/>
      <c r="H414" s="12"/>
      <c r="I414" s="13"/>
      <c r="J414" s="10"/>
      <c r="K414" s="3"/>
      <c r="L414" s="3"/>
      <c r="M414" s="3"/>
      <c r="N414" s="3"/>
      <c r="O414" s="3"/>
      <c r="P414" s="3"/>
      <c r="Q414" s="3"/>
      <c r="R414" s="3"/>
      <c r="S414" s="3"/>
      <c r="T414" s="3"/>
      <c r="U414" s="3" t="s">
        <v>252</v>
      </c>
      <c r="V414" s="3"/>
      <c r="W414" s="10" t="str">
        <f>IF( J414="s.i", "s.i", IF(ISBLANK(J414),"Actualizando información",IFERROR(J414 / VLOOKUP(A414,Deflactor!$G$3:$H$64,2,0),"Revisar error" )))</f>
        <v>Actualizando información</v>
      </c>
      <c r="AW414" s="57" t="str">
        <f>+IFERROR(VLOOKUP(AV414,Deflactor!$BP$298:$BU$307,6,0),"")</f>
        <v/>
      </c>
    </row>
    <row r="415" spans="1:49" x14ac:dyDescent="0.3">
      <c r="A415" s="3">
        <v>2005</v>
      </c>
      <c r="B415" s="3" t="s">
        <v>509</v>
      </c>
      <c r="C415" s="3" t="s">
        <v>92</v>
      </c>
      <c r="D415" s="3" t="s">
        <v>8</v>
      </c>
      <c r="E415" s="3" t="s">
        <v>214</v>
      </c>
      <c r="F415" s="3" t="s">
        <v>310</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c r="AW415" s="57" t="str">
        <f>+IFERROR(VLOOKUP(AV415,Deflactor!$BP$298:$BU$307,6,0),"")</f>
        <v/>
      </c>
    </row>
    <row r="416" spans="1:49" x14ac:dyDescent="0.3">
      <c r="A416" s="3">
        <v>2005</v>
      </c>
      <c r="B416" s="3" t="s">
        <v>510</v>
      </c>
      <c r="C416" s="3" t="s">
        <v>7</v>
      </c>
      <c r="D416" s="3" t="s">
        <v>216</v>
      </c>
      <c r="E416" s="3" t="s">
        <v>475</v>
      </c>
      <c r="F416" s="3" t="s">
        <v>310</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c r="AW416" s="57" t="str">
        <f>+IFERROR(VLOOKUP(AV416,Deflactor!$BP$298:$BU$307,6,0),"")</f>
        <v/>
      </c>
    </row>
    <row r="417" spans="1:49" x14ac:dyDescent="0.3">
      <c r="A417" s="3">
        <v>2005</v>
      </c>
      <c r="B417" s="3" t="s">
        <v>511</v>
      </c>
      <c r="C417" s="3" t="s">
        <v>92</v>
      </c>
      <c r="D417" s="3" t="s">
        <v>36</v>
      </c>
      <c r="E417" s="3" t="s">
        <v>37</v>
      </c>
      <c r="F417" s="3" t="s">
        <v>329</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c r="AW417" s="57" t="str">
        <f>+IFERROR(VLOOKUP(AV417,Deflactor!$BP$298:$BU$307,6,0),"")</f>
        <v/>
      </c>
    </row>
    <row r="418" spans="1:49" x14ac:dyDescent="0.3">
      <c r="A418" s="3">
        <v>2005</v>
      </c>
      <c r="B418" s="3" t="s">
        <v>512</v>
      </c>
      <c r="C418" s="3" t="s">
        <v>7</v>
      </c>
      <c r="D418" s="3" t="s">
        <v>36</v>
      </c>
      <c r="E418" s="3" t="s">
        <v>130</v>
      </c>
      <c r="F418" s="3" t="s">
        <v>351</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c r="AW418" s="57" t="str">
        <f>+IFERROR(VLOOKUP(AV418,Deflactor!$BP$298:$BU$307,6,0),"")</f>
        <v/>
      </c>
    </row>
    <row r="419" spans="1:49" x14ac:dyDescent="0.3">
      <c r="A419" s="3">
        <v>2005</v>
      </c>
      <c r="B419" s="3" t="s">
        <v>513</v>
      </c>
      <c r="C419" s="3" t="s">
        <v>92</v>
      </c>
      <c r="D419" s="3" t="s">
        <v>36</v>
      </c>
      <c r="E419" s="3" t="s">
        <v>81</v>
      </c>
      <c r="F419" s="3" t="s">
        <v>329</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c r="AW419" s="57" t="str">
        <f>+IFERROR(VLOOKUP(AV419,Deflactor!$BP$298:$BU$307,6,0),"")</f>
        <v/>
      </c>
    </row>
    <row r="420" spans="1:49" x14ac:dyDescent="0.3">
      <c r="A420" s="3">
        <v>2005</v>
      </c>
      <c r="B420" s="3" t="s">
        <v>514</v>
      </c>
      <c r="C420" s="3" t="s">
        <v>7</v>
      </c>
      <c r="D420" s="3" t="s">
        <v>71</v>
      </c>
      <c r="E420" s="3" t="s">
        <v>167</v>
      </c>
      <c r="F420" s="3" t="s">
        <v>351</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c r="AW420" s="57" t="str">
        <f>+IFERROR(VLOOKUP(AV420,Deflactor!$BP$298:$BU$307,6,0),"")</f>
        <v/>
      </c>
    </row>
    <row r="421" spans="1:49" x14ac:dyDescent="0.3">
      <c r="A421" s="3">
        <v>2004</v>
      </c>
      <c r="B421" s="3" t="s">
        <v>515</v>
      </c>
      <c r="C421" s="3" t="s">
        <v>7</v>
      </c>
      <c r="D421" s="3" t="s">
        <v>25</v>
      </c>
      <c r="E421" s="3" t="s">
        <v>409</v>
      </c>
      <c r="F421" s="3" t="s">
        <v>329</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c r="AW421" s="57" t="str">
        <f>+IFERROR(VLOOKUP(AV421,Deflactor!$BP$298:$BU$307,6,0),"")</f>
        <v/>
      </c>
    </row>
    <row r="422" spans="1:49" x14ac:dyDescent="0.3">
      <c r="A422" s="3">
        <v>2004</v>
      </c>
      <c r="B422" s="3" t="s">
        <v>516</v>
      </c>
      <c r="C422" s="3" t="s">
        <v>7</v>
      </c>
      <c r="D422" s="3" t="s">
        <v>45</v>
      </c>
      <c r="E422" s="3" t="s">
        <v>517</v>
      </c>
      <c r="F422" s="3" t="s">
        <v>329</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c r="AW422" s="57" t="str">
        <f>+IFERROR(VLOOKUP(AV422,Deflactor!$BP$298:$BU$307,6,0),"")</f>
        <v/>
      </c>
    </row>
    <row r="423" spans="1:49" x14ac:dyDescent="0.3">
      <c r="A423" s="3">
        <v>2004</v>
      </c>
      <c r="B423" s="3" t="s">
        <v>518</v>
      </c>
      <c r="C423" s="3" t="s">
        <v>7</v>
      </c>
      <c r="D423" s="3" t="s">
        <v>45</v>
      </c>
      <c r="E423" s="3" t="s">
        <v>519</v>
      </c>
      <c r="F423" s="3" t="s">
        <v>399</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c r="AW423" s="57" t="str">
        <f>+IFERROR(VLOOKUP(AV423,Deflactor!$BP$298:$BU$307,6,0),"")</f>
        <v/>
      </c>
    </row>
    <row r="424" spans="1:49" x14ac:dyDescent="0.3">
      <c r="A424" s="3">
        <v>2004</v>
      </c>
      <c r="B424" s="3" t="s">
        <v>520</v>
      </c>
      <c r="C424" s="3" t="s">
        <v>7</v>
      </c>
      <c r="D424" s="3" t="s">
        <v>25</v>
      </c>
      <c r="E424" s="3" t="s">
        <v>26</v>
      </c>
      <c r="F424" s="3" t="s">
        <v>310</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c r="AW424" s="57" t="str">
        <f>+IFERROR(VLOOKUP(AV424,Deflactor!$BP$298:$BU$307,6,0),"")</f>
        <v/>
      </c>
    </row>
    <row r="425" spans="1:49" x14ac:dyDescent="0.3">
      <c r="A425" s="3">
        <v>2004</v>
      </c>
      <c r="B425" s="3" t="s">
        <v>521</v>
      </c>
      <c r="C425" s="3" t="s">
        <v>7</v>
      </c>
      <c r="D425" s="3" t="s">
        <v>36</v>
      </c>
      <c r="E425" s="3" t="s">
        <v>37</v>
      </c>
      <c r="F425" s="3" t="s">
        <v>329</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c r="AW425" s="57" t="str">
        <f>+IFERROR(VLOOKUP(AV425,Deflactor!$BP$298:$BU$307,6,0),"")</f>
        <v/>
      </c>
    </row>
    <row r="426" spans="1:49" x14ac:dyDescent="0.3">
      <c r="A426" s="3">
        <v>2004</v>
      </c>
      <c r="B426" s="3" t="s">
        <v>522</v>
      </c>
      <c r="C426" s="3" t="s">
        <v>7</v>
      </c>
      <c r="D426" s="3" t="s">
        <v>36</v>
      </c>
      <c r="E426" s="3" t="s">
        <v>81</v>
      </c>
      <c r="F426" s="3" t="s">
        <v>351</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c r="AW426" s="57" t="str">
        <f>+IFERROR(VLOOKUP(AV426,Deflactor!$BP$298:$BU$307,6,0),"")</f>
        <v/>
      </c>
    </row>
    <row r="427" spans="1:49" x14ac:dyDescent="0.3">
      <c r="A427" s="3">
        <v>2004</v>
      </c>
      <c r="B427" s="3" t="s">
        <v>523</v>
      </c>
      <c r="C427" s="3" t="s">
        <v>7</v>
      </c>
      <c r="D427" s="3" t="s">
        <v>444</v>
      </c>
      <c r="E427" s="3" t="s">
        <v>524</v>
      </c>
      <c r="F427" s="3" t="s">
        <v>329</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c r="AW427" s="57" t="str">
        <f>+IFERROR(VLOOKUP(AV427,Deflactor!$BP$298:$BU$307,6,0),"")</f>
        <v/>
      </c>
    </row>
    <row r="428" spans="1:49" x14ac:dyDescent="0.3">
      <c r="A428" s="3">
        <v>2004</v>
      </c>
      <c r="B428" s="3" t="s">
        <v>525</v>
      </c>
      <c r="C428" s="3" t="s">
        <v>7</v>
      </c>
      <c r="D428" s="3" t="s">
        <v>290</v>
      </c>
      <c r="E428" s="3" t="s">
        <v>21</v>
      </c>
      <c r="F428" s="3" t="s">
        <v>310</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c r="AW428" s="57" t="str">
        <f>+IFERROR(VLOOKUP(AV428,Deflactor!$BP$298:$BU$307,6,0),"")</f>
        <v/>
      </c>
    </row>
    <row r="429" spans="1:49" x14ac:dyDescent="0.3">
      <c r="A429" s="3">
        <v>2004</v>
      </c>
      <c r="B429" s="3" t="s">
        <v>526</v>
      </c>
      <c r="C429" s="3" t="s">
        <v>7</v>
      </c>
      <c r="D429" s="3" t="s">
        <v>71</v>
      </c>
      <c r="E429" s="3" t="s">
        <v>167</v>
      </c>
      <c r="F429" s="3" t="s">
        <v>310</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c r="AW429" s="57" t="str">
        <f>+IFERROR(VLOOKUP(AV429,Deflactor!$BP$298:$BU$307,6,0),"")</f>
        <v/>
      </c>
    </row>
    <row r="430" spans="1:49" x14ac:dyDescent="0.3">
      <c r="A430" s="3">
        <v>2004</v>
      </c>
      <c r="B430" s="3" t="s">
        <v>527</v>
      </c>
      <c r="C430" s="3" t="s">
        <v>92</v>
      </c>
      <c r="D430" s="3" t="s">
        <v>64</v>
      </c>
      <c r="E430" s="3" t="s">
        <v>128</v>
      </c>
      <c r="F430" s="3" t="s">
        <v>310</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c r="AW430" s="57" t="str">
        <f>+IFERROR(VLOOKUP(AV430,Deflactor!$BP$298:$BU$307,6,0),"")</f>
        <v/>
      </c>
    </row>
    <row r="431" spans="1:49" x14ac:dyDescent="0.3">
      <c r="A431" s="3">
        <v>2004</v>
      </c>
      <c r="B431" s="3" t="s">
        <v>528</v>
      </c>
      <c r="C431" s="3" t="s">
        <v>92</v>
      </c>
      <c r="D431" s="3" t="s">
        <v>12</v>
      </c>
      <c r="E431" s="3" t="s">
        <v>13</v>
      </c>
      <c r="F431" s="3" t="s">
        <v>310</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c r="AW431" s="57" t="str">
        <f>+IFERROR(VLOOKUP(AV431,Deflactor!$BP$298:$BU$307,6,0),"")</f>
        <v/>
      </c>
    </row>
    <row r="432" spans="1:49" x14ac:dyDescent="0.3">
      <c r="A432" s="3">
        <v>2004</v>
      </c>
      <c r="B432" s="3" t="s">
        <v>529</v>
      </c>
      <c r="C432" s="3" t="s">
        <v>92</v>
      </c>
      <c r="D432" s="3" t="s">
        <v>20</v>
      </c>
      <c r="E432" s="3" t="s">
        <v>120</v>
      </c>
      <c r="F432" s="3" t="s">
        <v>329</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c r="AW432" s="57" t="str">
        <f>+IFERROR(VLOOKUP(AV432,Deflactor!$BP$298:$BU$307,6,0),"")</f>
        <v/>
      </c>
    </row>
    <row r="433" spans="1:49" x14ac:dyDescent="0.3">
      <c r="A433" s="3">
        <v>2004</v>
      </c>
      <c r="B433" s="3" t="s">
        <v>530</v>
      </c>
      <c r="C433" s="3" t="s">
        <v>92</v>
      </c>
      <c r="D433" s="3" t="s">
        <v>12</v>
      </c>
      <c r="E433" s="3" t="s">
        <v>61</v>
      </c>
      <c r="F433" s="3" t="s">
        <v>310</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c r="AW433" s="57" t="str">
        <f>+IFERROR(VLOOKUP(AV433,Deflactor!$BP$298:$BU$307,6,0),"")</f>
        <v/>
      </c>
    </row>
    <row r="434" spans="1:49" x14ac:dyDescent="0.3">
      <c r="A434" s="3">
        <v>2004</v>
      </c>
      <c r="B434" s="3" t="s">
        <v>531</v>
      </c>
      <c r="C434" s="3" t="s">
        <v>92</v>
      </c>
      <c r="D434" s="3" t="s">
        <v>8</v>
      </c>
      <c r="E434" s="3" t="s">
        <v>214</v>
      </c>
      <c r="F434" s="3" t="s">
        <v>310</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c r="AW434" s="57" t="str">
        <f>+IFERROR(VLOOKUP(AV434,Deflactor!$BP$298:$BU$307,6,0),"")</f>
        <v/>
      </c>
    </row>
    <row r="435" spans="1:49" x14ac:dyDescent="0.3">
      <c r="A435" s="3">
        <v>2004</v>
      </c>
      <c r="B435" s="3" t="s">
        <v>532</v>
      </c>
      <c r="C435" s="3" t="s">
        <v>155</v>
      </c>
      <c r="D435" s="3" t="s">
        <v>290</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c r="AW435" s="57" t="str">
        <f>+IFERROR(VLOOKUP(AV435,Deflactor!$BP$298:$BU$307,6,0),"")</f>
        <v/>
      </c>
    </row>
    <row r="436" spans="1:49" x14ac:dyDescent="0.3">
      <c r="A436" s="3">
        <v>2004</v>
      </c>
      <c r="B436" s="3" t="s">
        <v>533</v>
      </c>
      <c r="C436" s="3" t="s">
        <v>7</v>
      </c>
      <c r="D436" s="3" t="s">
        <v>233</v>
      </c>
      <c r="E436" s="3" t="s">
        <v>234</v>
      </c>
      <c r="F436" s="3" t="s">
        <v>329</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c r="AW436" s="57" t="str">
        <f>+IFERROR(VLOOKUP(AV436,Deflactor!$BP$298:$BU$307,6,0),"")</f>
        <v/>
      </c>
    </row>
    <row r="437" spans="1:49" x14ac:dyDescent="0.3">
      <c r="A437" s="3">
        <v>2004</v>
      </c>
      <c r="B437" s="3" t="s">
        <v>534</v>
      </c>
      <c r="C437" s="3" t="s">
        <v>7</v>
      </c>
      <c r="D437" s="3" t="s">
        <v>32</v>
      </c>
      <c r="E437" s="3" t="s">
        <v>33</v>
      </c>
      <c r="F437" s="3" t="s">
        <v>399</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c r="AW437" s="57" t="str">
        <f>+IFERROR(VLOOKUP(AV437,Deflactor!$BP$298:$BU$307,6,0),"")</f>
        <v/>
      </c>
    </row>
    <row r="438" spans="1:49" x14ac:dyDescent="0.3">
      <c r="A438" s="3">
        <v>2004</v>
      </c>
      <c r="B438" s="3" t="s">
        <v>535</v>
      </c>
      <c r="C438" s="3" t="s">
        <v>92</v>
      </c>
      <c r="D438" s="3" t="s">
        <v>54</v>
      </c>
      <c r="E438" s="3" t="s">
        <v>55</v>
      </c>
      <c r="F438" s="3" t="s">
        <v>329</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c r="AW438" s="57" t="str">
        <f>+IFERROR(VLOOKUP(AV438,Deflactor!$BP$298:$BU$307,6,0),"")</f>
        <v/>
      </c>
    </row>
    <row r="439" spans="1:49" x14ac:dyDescent="0.3">
      <c r="A439" s="3">
        <v>2004</v>
      </c>
      <c r="B439" s="3" t="s">
        <v>536</v>
      </c>
      <c r="C439" s="3" t="s">
        <v>92</v>
      </c>
      <c r="D439" s="3" t="s">
        <v>54</v>
      </c>
      <c r="E439" s="3" t="s">
        <v>55</v>
      </c>
      <c r="F439" s="3" t="s">
        <v>329</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c r="AW439" s="57" t="str">
        <f>+IFERROR(VLOOKUP(AV439,Deflactor!$BP$298:$BU$307,6,0),"")</f>
        <v/>
      </c>
    </row>
    <row r="440" spans="1:49" x14ac:dyDescent="0.3">
      <c r="A440" s="3">
        <v>2004</v>
      </c>
      <c r="B440" s="3" t="s">
        <v>537</v>
      </c>
      <c r="C440" s="3" t="s">
        <v>92</v>
      </c>
      <c r="D440" s="3" t="s">
        <v>54</v>
      </c>
      <c r="E440" s="3" t="s">
        <v>55</v>
      </c>
      <c r="F440" s="3" t="s">
        <v>329</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c r="AW440" s="57" t="str">
        <f>+IFERROR(VLOOKUP(AV440,Deflactor!$BP$298:$BU$307,6,0),"")</f>
        <v/>
      </c>
    </row>
    <row r="441" spans="1:49" x14ac:dyDescent="0.3">
      <c r="A441" s="3">
        <v>2004</v>
      </c>
      <c r="B441" s="3" t="s">
        <v>538</v>
      </c>
      <c r="C441" s="3" t="s">
        <v>92</v>
      </c>
      <c r="D441" s="3" t="s">
        <v>54</v>
      </c>
      <c r="E441" s="3" t="s">
        <v>55</v>
      </c>
      <c r="F441" s="3" t="s">
        <v>351</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c r="AW441" s="57" t="str">
        <f>+IFERROR(VLOOKUP(AV441,Deflactor!$BP$298:$BU$307,6,0),"")</f>
        <v/>
      </c>
    </row>
    <row r="442" spans="1:49" x14ac:dyDescent="0.3">
      <c r="A442" s="3">
        <v>2004</v>
      </c>
      <c r="B442" s="3" t="s">
        <v>539</v>
      </c>
      <c r="C442" s="3" t="s">
        <v>92</v>
      </c>
      <c r="D442" s="3" t="s">
        <v>54</v>
      </c>
      <c r="E442" s="3" t="s">
        <v>55</v>
      </c>
      <c r="F442" s="3" t="s">
        <v>310</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c r="AW442" s="57" t="str">
        <f>+IFERROR(VLOOKUP(AV442,Deflactor!$BP$298:$BU$307,6,0),"")</f>
        <v/>
      </c>
    </row>
    <row r="443" spans="1:49" x14ac:dyDescent="0.3">
      <c r="A443" s="3">
        <v>2004</v>
      </c>
      <c r="B443" s="3" t="s">
        <v>540</v>
      </c>
      <c r="C443" s="3" t="s">
        <v>92</v>
      </c>
      <c r="D443" s="3" t="s">
        <v>54</v>
      </c>
      <c r="E443" s="3" t="s">
        <v>55</v>
      </c>
      <c r="F443" s="3" t="s">
        <v>351</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c r="AW443" s="57" t="str">
        <f>+IFERROR(VLOOKUP(AV443,Deflactor!$BP$298:$BU$307,6,0),"")</f>
        <v/>
      </c>
    </row>
    <row r="444" spans="1:49" x14ac:dyDescent="0.3">
      <c r="A444" s="3">
        <v>2004</v>
      </c>
      <c r="B444" s="3" t="s">
        <v>541</v>
      </c>
      <c r="C444" s="3" t="s">
        <v>92</v>
      </c>
      <c r="D444" s="3" t="s">
        <v>64</v>
      </c>
      <c r="E444" s="3" t="s">
        <v>65</v>
      </c>
      <c r="F444" s="3" t="s">
        <v>329</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c r="AW444" s="57" t="str">
        <f>+IFERROR(VLOOKUP(AV444,Deflactor!$BP$298:$BU$307,6,0),"")</f>
        <v/>
      </c>
    </row>
    <row r="445" spans="1:49" x14ac:dyDescent="0.3">
      <c r="A445" s="3">
        <v>2004</v>
      </c>
      <c r="B445" s="3" t="s">
        <v>542</v>
      </c>
      <c r="C445" s="3" t="s">
        <v>7</v>
      </c>
      <c r="D445" s="3" t="s">
        <v>64</v>
      </c>
      <c r="E445" s="3" t="s">
        <v>128</v>
      </c>
      <c r="F445" s="3" t="s">
        <v>351</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c r="AW445" s="57" t="str">
        <f>+IFERROR(VLOOKUP(AV445,Deflactor!$BP$298:$BU$307,6,0),"")</f>
        <v/>
      </c>
    </row>
    <row r="446" spans="1:49" x14ac:dyDescent="0.3">
      <c r="A446" s="3">
        <v>2004</v>
      </c>
      <c r="B446" s="3" t="s">
        <v>543</v>
      </c>
      <c r="C446" s="3" t="s">
        <v>155</v>
      </c>
      <c r="D446" s="3" t="s">
        <v>444</v>
      </c>
      <c r="E446" s="3" t="s">
        <v>544</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c r="AW446" s="57" t="str">
        <f>+IFERROR(VLOOKUP(AV446,Deflactor!$BP$298:$BU$307,6,0),"")</f>
        <v/>
      </c>
    </row>
    <row r="447" spans="1:49" x14ac:dyDescent="0.3">
      <c r="A447" s="3">
        <v>2004</v>
      </c>
      <c r="B447" s="3" t="s">
        <v>545</v>
      </c>
      <c r="C447" s="3" t="s">
        <v>155</v>
      </c>
      <c r="D447" s="3" t="s">
        <v>444</v>
      </c>
      <c r="E447" s="3" t="s">
        <v>546</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c r="AW447" s="57" t="str">
        <f>+IFERROR(VLOOKUP(AV447,Deflactor!$BP$298:$BU$307,6,0),"")</f>
        <v/>
      </c>
    </row>
    <row r="448" spans="1:49" x14ac:dyDescent="0.3">
      <c r="A448" s="3">
        <v>2004</v>
      </c>
      <c r="B448" s="3" t="s">
        <v>547</v>
      </c>
      <c r="C448" s="3" t="s">
        <v>155</v>
      </c>
      <c r="D448" s="3" t="s">
        <v>444</v>
      </c>
      <c r="E448" s="3" t="s">
        <v>547</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c r="AW448" s="57" t="str">
        <f>+IFERROR(VLOOKUP(AV448,Deflactor!$BP$298:$BU$307,6,0),"")</f>
        <v/>
      </c>
    </row>
    <row r="449" spans="1:49" x14ac:dyDescent="0.3">
      <c r="A449" s="3">
        <v>2004</v>
      </c>
      <c r="B449" s="3" t="s">
        <v>548</v>
      </c>
      <c r="C449" s="3" t="s">
        <v>92</v>
      </c>
      <c r="D449" s="3" t="s">
        <v>36</v>
      </c>
      <c r="E449" s="3" t="s">
        <v>37</v>
      </c>
      <c r="F449" s="3" t="s">
        <v>351</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c r="AW449" s="57" t="str">
        <f>+IFERROR(VLOOKUP(AV449,Deflactor!$BP$298:$BU$307,6,0),"")</f>
        <v/>
      </c>
    </row>
    <row r="450" spans="1:49" x14ac:dyDescent="0.3">
      <c r="A450" s="3">
        <v>2004</v>
      </c>
      <c r="B450" s="3" t="s">
        <v>549</v>
      </c>
      <c r="C450" s="3" t="s">
        <v>92</v>
      </c>
      <c r="D450" s="3" t="s">
        <v>216</v>
      </c>
      <c r="E450" s="3" t="s">
        <v>456</v>
      </c>
      <c r="F450" s="3" t="s">
        <v>351</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c r="AW450" s="57" t="str">
        <f>+IFERROR(VLOOKUP(AV450,Deflactor!$BP$298:$BU$307,6,0),"")</f>
        <v/>
      </c>
    </row>
    <row r="451" spans="1:49" x14ac:dyDescent="0.3">
      <c r="A451" s="3">
        <v>2004</v>
      </c>
      <c r="B451" s="3" t="s">
        <v>550</v>
      </c>
      <c r="C451" s="3" t="s">
        <v>7</v>
      </c>
      <c r="D451" s="3" t="s">
        <v>25</v>
      </c>
      <c r="E451" s="3" t="s">
        <v>26</v>
      </c>
      <c r="F451" s="3" t="s">
        <v>351</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c r="AW451" s="57" t="str">
        <f>+IFERROR(VLOOKUP(AV451,Deflactor!$BP$298:$BU$307,6,0),"")</f>
        <v/>
      </c>
    </row>
    <row r="452" spans="1:49" x14ac:dyDescent="0.3">
      <c r="A452" s="3">
        <v>2003</v>
      </c>
      <c r="B452" s="3" t="s">
        <v>208</v>
      </c>
      <c r="C452" s="3" t="s">
        <v>7</v>
      </c>
      <c r="D452" s="3" t="s">
        <v>40</v>
      </c>
      <c r="E452" s="3" t="s">
        <v>160</v>
      </c>
      <c r="F452" s="3" t="s">
        <v>329</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c r="AW452" s="57" t="str">
        <f>+IFERROR(VLOOKUP(AV452,Deflactor!$BP$298:$BU$307,6,0),"")</f>
        <v/>
      </c>
    </row>
    <row r="453" spans="1:49" x14ac:dyDescent="0.3">
      <c r="A453" s="3">
        <v>2003</v>
      </c>
      <c r="B453" s="3" t="s">
        <v>551</v>
      </c>
      <c r="C453" s="3" t="s">
        <v>7</v>
      </c>
      <c r="D453" s="3" t="s">
        <v>290</v>
      </c>
      <c r="E453" s="3" t="s">
        <v>552</v>
      </c>
      <c r="F453" s="3" t="s">
        <v>310</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c r="AW453" s="57" t="str">
        <f>+IFERROR(VLOOKUP(AV453,Deflactor!$BP$298:$BU$307,6,0),"")</f>
        <v/>
      </c>
    </row>
    <row r="454" spans="1:49" x14ac:dyDescent="0.3">
      <c r="A454" s="3">
        <v>2003</v>
      </c>
      <c r="B454" s="3" t="s">
        <v>553</v>
      </c>
      <c r="C454" s="3" t="s">
        <v>7</v>
      </c>
      <c r="D454" s="3" t="s">
        <v>290</v>
      </c>
      <c r="E454" s="3" t="s">
        <v>176</v>
      </c>
      <c r="F454" s="3" t="s">
        <v>399</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c r="AW454" s="57" t="str">
        <f>+IFERROR(VLOOKUP(AV454,Deflactor!$BP$298:$BU$307,6,0),"")</f>
        <v/>
      </c>
    </row>
    <row r="455" spans="1:49" x14ac:dyDescent="0.3">
      <c r="A455" s="3">
        <v>2003</v>
      </c>
      <c r="B455" s="3" t="s">
        <v>554</v>
      </c>
      <c r="C455" s="3" t="s">
        <v>7</v>
      </c>
      <c r="D455" s="3" t="s">
        <v>290</v>
      </c>
      <c r="E455" s="3" t="s">
        <v>176</v>
      </c>
      <c r="F455" s="3" t="s">
        <v>310</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c r="AW455" s="57" t="str">
        <f>+IFERROR(VLOOKUP(AV455,Deflactor!$BP$298:$BU$307,6,0),"")</f>
        <v/>
      </c>
    </row>
    <row r="456" spans="1:49" x14ac:dyDescent="0.3">
      <c r="A456" s="3">
        <v>2003</v>
      </c>
      <c r="B456" s="3" t="s">
        <v>555</v>
      </c>
      <c r="C456" s="3" t="s">
        <v>92</v>
      </c>
      <c r="D456" s="3" t="s">
        <v>290</v>
      </c>
      <c r="E456" s="3" t="s">
        <v>120</v>
      </c>
      <c r="F456" s="3" t="s">
        <v>329</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c r="AW456" s="57" t="str">
        <f>+IFERROR(VLOOKUP(AV456,Deflactor!$BP$298:$BU$307,6,0),"")</f>
        <v/>
      </c>
    </row>
    <row r="457" spans="1:49" x14ac:dyDescent="0.3">
      <c r="A457" s="3">
        <v>2003</v>
      </c>
      <c r="B457" s="3" t="s">
        <v>556</v>
      </c>
      <c r="C457" s="3" t="s">
        <v>7</v>
      </c>
      <c r="D457" s="3" t="s">
        <v>233</v>
      </c>
      <c r="E457" s="3" t="s">
        <v>344</v>
      </c>
      <c r="F457" s="3" t="s">
        <v>310</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c r="AW457" s="57" t="str">
        <f>+IFERROR(VLOOKUP(AV457,Deflactor!$BP$298:$BU$307,6,0),"")</f>
        <v/>
      </c>
    </row>
    <row r="458" spans="1:49" x14ac:dyDescent="0.3">
      <c r="A458" s="3">
        <v>2003</v>
      </c>
      <c r="B458" s="3" t="s">
        <v>557</v>
      </c>
      <c r="C458" s="3" t="s">
        <v>7</v>
      </c>
      <c r="D458" s="3" t="s">
        <v>54</v>
      </c>
      <c r="E458" s="3" t="s">
        <v>243</v>
      </c>
      <c r="F458" s="3" t="s">
        <v>329</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c r="AW458" s="57" t="str">
        <f>+IFERROR(VLOOKUP(AV458,Deflactor!$BP$298:$BU$307,6,0),"")</f>
        <v/>
      </c>
    </row>
    <row r="459" spans="1:49" x14ac:dyDescent="0.3">
      <c r="A459" s="3">
        <v>2003</v>
      </c>
      <c r="B459" s="3" t="s">
        <v>558</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c r="AW459" s="57" t="str">
        <f>+IFERROR(VLOOKUP(AV459,Deflactor!$BP$298:$BU$307,6,0),"")</f>
        <v/>
      </c>
    </row>
    <row r="460" spans="1:49" x14ac:dyDescent="0.3">
      <c r="A460" s="3">
        <v>2003</v>
      </c>
      <c r="B460" s="3" t="s">
        <v>559</v>
      </c>
      <c r="C460" s="3" t="s">
        <v>155</v>
      </c>
      <c r="D460" s="3" t="s">
        <v>444</v>
      </c>
      <c r="E460" s="3" t="s">
        <v>559</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c r="AW460" s="57" t="str">
        <f>+IFERROR(VLOOKUP(AV460,Deflactor!$BP$298:$BU$307,6,0),"")</f>
        <v/>
      </c>
    </row>
    <row r="461" spans="1:49" x14ac:dyDescent="0.3">
      <c r="A461" s="3">
        <v>2003</v>
      </c>
      <c r="B461" s="3" t="s">
        <v>560</v>
      </c>
      <c r="C461" s="3" t="s">
        <v>7</v>
      </c>
      <c r="D461" s="3" t="s">
        <v>40</v>
      </c>
      <c r="E461" s="3" t="s">
        <v>41</v>
      </c>
      <c r="F461" s="3" t="s">
        <v>308</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c r="AW461" s="57" t="str">
        <f>+IFERROR(VLOOKUP(AV461,Deflactor!$BP$298:$BU$307,6,0),"")</f>
        <v/>
      </c>
    </row>
    <row r="462" spans="1:49" x14ac:dyDescent="0.3">
      <c r="A462" s="3">
        <v>2003</v>
      </c>
      <c r="B462" s="3" t="s">
        <v>561</v>
      </c>
      <c r="C462" s="3" t="s">
        <v>7</v>
      </c>
      <c r="D462" s="3" t="s">
        <v>36</v>
      </c>
      <c r="E462" s="3" t="s">
        <v>37</v>
      </c>
      <c r="F462" s="3" t="s">
        <v>329</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c r="AW462" s="57" t="str">
        <f>+IFERROR(VLOOKUP(AV462,Deflactor!$BP$298:$BU$307,6,0),"")</f>
        <v/>
      </c>
    </row>
    <row r="463" spans="1:49" x14ac:dyDescent="0.3">
      <c r="A463" s="3">
        <v>2003</v>
      </c>
      <c r="B463" s="3" t="s">
        <v>562</v>
      </c>
      <c r="C463" s="3" t="s">
        <v>7</v>
      </c>
      <c r="D463" s="3" t="s">
        <v>36</v>
      </c>
      <c r="E463" s="3" t="s">
        <v>37</v>
      </c>
      <c r="F463" s="3" t="s">
        <v>310</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c r="AW463" s="57" t="str">
        <f>+IFERROR(VLOOKUP(AV463,Deflactor!$BP$298:$BU$307,6,0),"")</f>
        <v/>
      </c>
    </row>
    <row r="464" spans="1:49" x14ac:dyDescent="0.3">
      <c r="A464" s="3">
        <v>2003</v>
      </c>
      <c r="B464" s="3" t="s">
        <v>563</v>
      </c>
      <c r="C464" s="3" t="s">
        <v>92</v>
      </c>
      <c r="D464" s="3" t="s">
        <v>25</v>
      </c>
      <c r="E464" s="3" t="s">
        <v>26</v>
      </c>
      <c r="F464" s="3" t="s">
        <v>308</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c r="AW464" s="57" t="str">
        <f>+IFERROR(VLOOKUP(AV464,Deflactor!$BP$298:$BU$307,6,0),"")</f>
        <v/>
      </c>
    </row>
    <row r="465" spans="1:49" x14ac:dyDescent="0.3">
      <c r="A465" s="3">
        <v>2003</v>
      </c>
      <c r="B465" s="3" t="s">
        <v>564</v>
      </c>
      <c r="C465" s="3" t="s">
        <v>92</v>
      </c>
      <c r="D465" s="3" t="s">
        <v>25</v>
      </c>
      <c r="E465" s="3" t="s">
        <v>26</v>
      </c>
      <c r="F465" s="3" t="s">
        <v>310</v>
      </c>
      <c r="G465" s="3"/>
      <c r="H465" s="12"/>
      <c r="I465" s="13"/>
      <c r="J465" s="10"/>
      <c r="K465" s="3"/>
      <c r="L465" s="3"/>
      <c r="M465" s="3"/>
      <c r="N465" s="3"/>
      <c r="O465" s="3"/>
      <c r="P465" s="3"/>
      <c r="Q465" s="3"/>
      <c r="R465" s="3"/>
      <c r="S465" s="3"/>
      <c r="T465" s="3"/>
      <c r="U465" s="3" t="s">
        <v>564</v>
      </c>
      <c r="V465" s="3"/>
      <c r="W465" s="10" t="str">
        <f>IF( J465="s.i", "s.i", IF(ISBLANK(J465),"Actualizando información",IFERROR(J465 / VLOOKUP(A465,Deflactor!$G$3:$H$64,2,0),"Revisar error" )))</f>
        <v>Actualizando información</v>
      </c>
      <c r="AW465" s="57" t="str">
        <f>+IFERROR(VLOOKUP(AV465,Deflactor!$BP$298:$BU$307,6,0),"")</f>
        <v/>
      </c>
    </row>
    <row r="466" spans="1:49" x14ac:dyDescent="0.3">
      <c r="A466" s="3">
        <v>2003</v>
      </c>
      <c r="B466" s="3" t="s">
        <v>565</v>
      </c>
      <c r="C466" s="3" t="s">
        <v>7</v>
      </c>
      <c r="D466" s="3" t="s">
        <v>25</v>
      </c>
      <c r="E466" s="3" t="s">
        <v>26</v>
      </c>
      <c r="F466" s="3" t="s">
        <v>308</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c r="AW466" s="57" t="str">
        <f>+IFERROR(VLOOKUP(AV466,Deflactor!$BP$298:$BU$307,6,0),"")</f>
        <v/>
      </c>
    </row>
    <row r="467" spans="1:49" x14ac:dyDescent="0.3">
      <c r="A467" s="3">
        <v>2003</v>
      </c>
      <c r="B467" s="3" t="s">
        <v>566</v>
      </c>
      <c r="C467" s="3" t="s">
        <v>7</v>
      </c>
      <c r="D467" s="3" t="s">
        <v>12</v>
      </c>
      <c r="E467" s="3" t="s">
        <v>403</v>
      </c>
      <c r="F467" s="3" t="s">
        <v>329</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c r="AW467" s="57" t="str">
        <f>+IFERROR(VLOOKUP(AV467,Deflactor!$BP$298:$BU$307,6,0),"")</f>
        <v/>
      </c>
    </row>
    <row r="468" spans="1:49" x14ac:dyDescent="0.3">
      <c r="A468" s="3">
        <v>2003</v>
      </c>
      <c r="B468" s="3" t="s">
        <v>567</v>
      </c>
      <c r="C468" s="3" t="s">
        <v>7</v>
      </c>
      <c r="D468" s="3" t="s">
        <v>25</v>
      </c>
      <c r="E468" s="3" t="s">
        <v>151</v>
      </c>
      <c r="F468" s="3" t="s">
        <v>351</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c r="AW468" s="57" t="str">
        <f>+IFERROR(VLOOKUP(AV468,Deflactor!$BP$298:$BU$307,6,0),"")</f>
        <v/>
      </c>
    </row>
    <row r="469" spans="1:49" x14ac:dyDescent="0.3">
      <c r="A469" s="3">
        <v>2003</v>
      </c>
      <c r="B469" s="3" t="s">
        <v>568</v>
      </c>
      <c r="C469" s="3" t="s">
        <v>92</v>
      </c>
      <c r="D469" s="3" t="s">
        <v>36</v>
      </c>
      <c r="E469" s="3" t="s">
        <v>37</v>
      </c>
      <c r="F469" s="3" t="s">
        <v>329</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c r="AW469" s="57" t="str">
        <f>+IFERROR(VLOOKUP(AV469,Deflactor!$BP$298:$BU$307,6,0),"")</f>
        <v/>
      </c>
    </row>
    <row r="470" spans="1:49" x14ac:dyDescent="0.3">
      <c r="A470" s="3">
        <v>2003</v>
      </c>
      <c r="B470" s="3" t="s">
        <v>569</v>
      </c>
      <c r="C470" s="3" t="s">
        <v>7</v>
      </c>
      <c r="D470" s="3" t="s">
        <v>64</v>
      </c>
      <c r="E470" s="3" t="s">
        <v>570</v>
      </c>
      <c r="F470" s="3" t="s">
        <v>351</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c r="AW470" s="57" t="str">
        <f>+IFERROR(VLOOKUP(AV470,Deflactor!$BP$298:$BU$307,6,0),"")</f>
        <v/>
      </c>
    </row>
    <row r="471" spans="1:49" x14ac:dyDescent="0.3">
      <c r="A471" s="3">
        <v>2002</v>
      </c>
      <c r="B471" s="3" t="s">
        <v>571</v>
      </c>
      <c r="C471" s="3" t="s">
        <v>7</v>
      </c>
      <c r="D471" s="3" t="s">
        <v>45</v>
      </c>
      <c r="E471" s="3" t="s">
        <v>519</v>
      </c>
      <c r="F471" s="3" t="s">
        <v>351</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c r="AW471" s="57" t="str">
        <f>+IFERROR(VLOOKUP(AV471,Deflactor!$BP$298:$BU$307,6,0),"")</f>
        <v/>
      </c>
    </row>
    <row r="472" spans="1:49" x14ac:dyDescent="0.3">
      <c r="A472" s="3">
        <v>2002</v>
      </c>
      <c r="B472" s="3" t="s">
        <v>572</v>
      </c>
      <c r="C472" s="3" t="s">
        <v>7</v>
      </c>
      <c r="D472" s="3" t="s">
        <v>12</v>
      </c>
      <c r="E472" s="3" t="s">
        <v>471</v>
      </c>
      <c r="F472" s="3" t="s">
        <v>399</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c r="AW472" s="57" t="str">
        <f>+IFERROR(VLOOKUP(AV472,Deflactor!$BP$298:$BU$307,6,0),"")</f>
        <v/>
      </c>
    </row>
    <row r="473" spans="1:49" x14ac:dyDescent="0.3">
      <c r="A473" s="3">
        <v>2002</v>
      </c>
      <c r="B473" s="3" t="s">
        <v>573</v>
      </c>
      <c r="C473" s="3" t="s">
        <v>7</v>
      </c>
      <c r="D473" s="3" t="s">
        <v>36</v>
      </c>
      <c r="E473" s="3" t="s">
        <v>37</v>
      </c>
      <c r="F473" s="3" t="s">
        <v>351</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c r="AW473" s="57" t="str">
        <f>+IFERROR(VLOOKUP(AV473,Deflactor!$BP$298:$BU$307,6,0),"")</f>
        <v/>
      </c>
    </row>
    <row r="474" spans="1:49" x14ac:dyDescent="0.3">
      <c r="A474" s="3">
        <v>2002</v>
      </c>
      <c r="B474" s="3" t="s">
        <v>574</v>
      </c>
      <c r="C474" s="3" t="s">
        <v>7</v>
      </c>
      <c r="D474" s="3" t="s">
        <v>36</v>
      </c>
      <c r="E474" s="3" t="s">
        <v>37</v>
      </c>
      <c r="F474" s="3" t="s">
        <v>308</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c r="AW474" s="57" t="str">
        <f>+IFERROR(VLOOKUP(AV474,Deflactor!$BP$298:$BU$307,6,0),"")</f>
        <v/>
      </c>
    </row>
    <row r="475" spans="1:49" x14ac:dyDescent="0.3">
      <c r="A475" s="3">
        <v>2002</v>
      </c>
      <c r="B475" s="3" t="s">
        <v>575</v>
      </c>
      <c r="C475" s="3" t="s">
        <v>155</v>
      </c>
      <c r="D475" s="3" t="s">
        <v>8</v>
      </c>
      <c r="E475" s="3" t="s">
        <v>264</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c r="AW475" s="57" t="str">
        <f>+IFERROR(VLOOKUP(AV475,Deflactor!$BP$298:$BU$307,6,0),"")</f>
        <v/>
      </c>
    </row>
    <row r="476" spans="1:49" x14ac:dyDescent="0.3">
      <c r="A476" s="3">
        <v>2002</v>
      </c>
      <c r="B476" s="3" t="s">
        <v>576</v>
      </c>
      <c r="C476" s="3" t="s">
        <v>155</v>
      </c>
      <c r="D476" s="3" t="s">
        <v>8</v>
      </c>
      <c r="E476" s="3" t="s">
        <v>264</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c r="AW476" s="57" t="str">
        <f>+IFERROR(VLOOKUP(AV476,Deflactor!$BP$298:$BU$307,6,0),"")</f>
        <v/>
      </c>
    </row>
    <row r="477" spans="1:49" x14ac:dyDescent="0.3">
      <c r="A477" s="3">
        <v>2002</v>
      </c>
      <c r="B477" s="3" t="s">
        <v>577</v>
      </c>
      <c r="C477" s="3" t="s">
        <v>155</v>
      </c>
      <c r="D477" s="3" t="s">
        <v>8</v>
      </c>
      <c r="E477" s="3" t="s">
        <v>264</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c r="AW477" s="57" t="str">
        <f>+IFERROR(VLOOKUP(AV477,Deflactor!$BP$298:$BU$307,6,0),"")</f>
        <v/>
      </c>
    </row>
    <row r="478" spans="1:49" x14ac:dyDescent="0.3">
      <c r="A478" s="3">
        <v>2002</v>
      </c>
      <c r="B478" s="3" t="s">
        <v>578</v>
      </c>
      <c r="C478" s="3" t="s">
        <v>155</v>
      </c>
      <c r="D478" s="3" t="s">
        <v>8</v>
      </c>
      <c r="E478" s="3" t="s">
        <v>264</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c r="AW478" s="57" t="str">
        <f>+IFERROR(VLOOKUP(AV478,Deflactor!$BP$298:$BU$307,6,0),"")</f>
        <v/>
      </c>
    </row>
    <row r="479" spans="1:49" x14ac:dyDescent="0.3">
      <c r="A479" s="3">
        <v>2002</v>
      </c>
      <c r="B479" s="3" t="s">
        <v>579</v>
      </c>
      <c r="C479" s="3" t="s">
        <v>155</v>
      </c>
      <c r="D479" s="3" t="s">
        <v>8</v>
      </c>
      <c r="E479" s="3" t="s">
        <v>264</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c r="AW479" s="57" t="str">
        <f>+IFERROR(VLOOKUP(AV479,Deflactor!$BP$298:$BU$307,6,0),"")</f>
        <v/>
      </c>
    </row>
    <row r="480" spans="1:49" x14ac:dyDescent="0.3">
      <c r="A480" s="3">
        <v>2002</v>
      </c>
      <c r="B480" s="3" t="s">
        <v>580</v>
      </c>
      <c r="C480" s="3" t="s">
        <v>155</v>
      </c>
      <c r="D480" s="3" t="s">
        <v>8</v>
      </c>
      <c r="E480" s="3" t="s">
        <v>264</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c r="AW480" s="57" t="str">
        <f>+IFERROR(VLOOKUP(AV480,Deflactor!$BP$298:$BU$307,6,0),"")</f>
        <v/>
      </c>
    </row>
    <row r="481" spans="1:49" x14ac:dyDescent="0.3">
      <c r="A481" s="3">
        <v>2002</v>
      </c>
      <c r="B481" s="3" t="s">
        <v>581</v>
      </c>
      <c r="C481" s="3" t="s">
        <v>7</v>
      </c>
      <c r="D481" s="3" t="s">
        <v>64</v>
      </c>
      <c r="E481" s="3" t="s">
        <v>582</v>
      </c>
      <c r="F481" s="3" t="s">
        <v>399</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c r="AW481" s="57" t="str">
        <f>+IFERROR(VLOOKUP(AV481,Deflactor!$BP$298:$BU$307,6,0),"")</f>
        <v/>
      </c>
    </row>
    <row r="482" spans="1:49" x14ac:dyDescent="0.3">
      <c r="A482" s="3">
        <v>2002</v>
      </c>
      <c r="B482" s="3" t="s">
        <v>583</v>
      </c>
      <c r="C482" s="3" t="s">
        <v>7</v>
      </c>
      <c r="D482" s="3" t="s">
        <v>54</v>
      </c>
      <c r="E482" s="3" t="s">
        <v>236</v>
      </c>
      <c r="F482" s="3" t="s">
        <v>310</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c r="AW482" s="57" t="str">
        <f>+IFERROR(VLOOKUP(AV482,Deflactor!$BP$298:$BU$307,6,0),"")</f>
        <v/>
      </c>
    </row>
    <row r="483" spans="1:49" x14ac:dyDescent="0.3">
      <c r="A483" s="3">
        <v>2002</v>
      </c>
      <c r="B483" s="3" t="s">
        <v>584</v>
      </c>
      <c r="C483" s="3" t="s">
        <v>92</v>
      </c>
      <c r="D483" s="3" t="s">
        <v>159</v>
      </c>
      <c r="E483" s="3" t="s">
        <v>160</v>
      </c>
      <c r="F483" s="3" t="s">
        <v>310</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c r="AW483" s="57" t="str">
        <f>+IFERROR(VLOOKUP(AV483,Deflactor!$BP$298:$BU$307,6,0),"")</f>
        <v/>
      </c>
    </row>
    <row r="484" spans="1:49" x14ac:dyDescent="0.3">
      <c r="A484" s="3">
        <v>2002</v>
      </c>
      <c r="B484" s="3" t="s">
        <v>585</v>
      </c>
      <c r="C484" s="3" t="s">
        <v>7</v>
      </c>
      <c r="D484" s="3" t="s">
        <v>32</v>
      </c>
      <c r="E484" s="3" t="s">
        <v>33</v>
      </c>
      <c r="F484" s="3" t="s">
        <v>329</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c r="AW484" s="57" t="str">
        <f>+IFERROR(VLOOKUP(AV484,Deflactor!$BP$298:$BU$307,6,0),"")</f>
        <v/>
      </c>
    </row>
    <row r="485" spans="1:49" x14ac:dyDescent="0.3">
      <c r="A485" s="3">
        <v>2002</v>
      </c>
      <c r="B485" s="3" t="s">
        <v>586</v>
      </c>
      <c r="C485" s="3" t="s">
        <v>7</v>
      </c>
      <c r="D485" s="3" t="s">
        <v>290</v>
      </c>
      <c r="E485" s="3" t="s">
        <v>120</v>
      </c>
      <c r="F485" s="3" t="s">
        <v>351</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c r="AW485" s="57" t="str">
        <f>+IFERROR(VLOOKUP(AV485,Deflactor!$BP$298:$BU$307,6,0),"")</f>
        <v/>
      </c>
    </row>
    <row r="486" spans="1:49" x14ac:dyDescent="0.3">
      <c r="A486" s="3">
        <v>2002</v>
      </c>
      <c r="B486" s="3" t="s">
        <v>587</v>
      </c>
      <c r="C486" s="3" t="s">
        <v>7</v>
      </c>
      <c r="D486" s="3" t="s">
        <v>12</v>
      </c>
      <c r="E486" s="3" t="s">
        <v>13</v>
      </c>
      <c r="F486" s="3" t="s">
        <v>308</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c r="AW486" s="57" t="str">
        <f>+IFERROR(VLOOKUP(AV486,Deflactor!$BP$298:$BU$307,6,0),"")</f>
        <v/>
      </c>
    </row>
    <row r="487" spans="1:49" x14ac:dyDescent="0.3">
      <c r="A487" s="3">
        <v>2002</v>
      </c>
      <c r="B487" s="3" t="s">
        <v>588</v>
      </c>
      <c r="C487" s="3" t="s">
        <v>92</v>
      </c>
      <c r="D487" s="3" t="s">
        <v>12</v>
      </c>
      <c r="E487" s="3" t="s">
        <v>13</v>
      </c>
      <c r="F487" s="3" t="s">
        <v>329</v>
      </c>
      <c r="G487" s="3"/>
      <c r="H487" s="12"/>
      <c r="I487" s="13"/>
      <c r="J487" s="10"/>
      <c r="K487" s="3"/>
      <c r="L487" s="3"/>
      <c r="M487" s="3"/>
      <c r="N487" s="3"/>
      <c r="O487" s="3"/>
      <c r="P487" s="3"/>
      <c r="Q487" s="3"/>
      <c r="R487" s="3"/>
      <c r="S487" s="3"/>
      <c r="T487" s="3"/>
      <c r="U487" s="3" t="s">
        <v>1324</v>
      </c>
      <c r="V487" s="3"/>
      <c r="W487" s="10" t="str">
        <f>IF( J487="s.i", "s.i", IF(ISBLANK(J487),"Actualizando información",IFERROR(J487 / VLOOKUP(A487,Deflactor!$G$3:$H$64,2,0),"Revisar error" )))</f>
        <v>Actualizando información</v>
      </c>
      <c r="AW487" s="57" t="str">
        <f>+IFERROR(VLOOKUP(AV487,Deflactor!$BP$298:$BU$307,6,0),"")</f>
        <v/>
      </c>
    </row>
    <row r="488" spans="1:49" x14ac:dyDescent="0.3">
      <c r="A488" s="3">
        <v>2002</v>
      </c>
      <c r="B488" s="3" t="s">
        <v>589</v>
      </c>
      <c r="C488" s="3" t="s">
        <v>7</v>
      </c>
      <c r="D488" s="3" t="s">
        <v>25</v>
      </c>
      <c r="E488" s="3" t="s">
        <v>26</v>
      </c>
      <c r="F488" s="3" t="s">
        <v>329</v>
      </c>
      <c r="G488" s="3"/>
      <c r="H488" s="12"/>
      <c r="I488" s="13"/>
      <c r="J488" s="10"/>
      <c r="K488" s="3" t="s">
        <v>2167</v>
      </c>
      <c r="L488" s="3"/>
      <c r="M488" s="3"/>
      <c r="N488" s="3"/>
      <c r="O488" s="3"/>
      <c r="P488" s="3"/>
      <c r="Q488" s="3"/>
      <c r="R488" s="3"/>
      <c r="S488" s="3"/>
      <c r="T488" s="3"/>
      <c r="U488" s="3" t="s">
        <v>1150</v>
      </c>
      <c r="V488" s="3"/>
      <c r="W488" s="10" t="str">
        <f>IF( J488="s.i", "s.i", IF(ISBLANK(J488),"Actualizando información",IFERROR(J488 / VLOOKUP(A488,Deflactor!$G$3:$H$64,2,0),"Revisar error" )))</f>
        <v>Actualizando información</v>
      </c>
      <c r="AW488" s="57" t="str">
        <f>+IFERROR(VLOOKUP(AV488,Deflactor!$BP$298:$BU$307,6,0),"")</f>
        <v/>
      </c>
    </row>
    <row r="489" spans="1:49" x14ac:dyDescent="0.3">
      <c r="A489" s="3">
        <v>2002</v>
      </c>
      <c r="B489" s="3" t="s">
        <v>590</v>
      </c>
      <c r="C489" s="3" t="s">
        <v>7</v>
      </c>
      <c r="D489" s="3" t="s">
        <v>216</v>
      </c>
      <c r="E489" s="3" t="s">
        <v>217</v>
      </c>
      <c r="F489" s="3" t="s">
        <v>329</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VLOOKUP(A489,Deflactor!$G$3:$H$64,2,0),"Revisar error" )))</f>
        <v>Actualizando información</v>
      </c>
      <c r="AW489" s="57" t="str">
        <f>+IFERROR(VLOOKUP(AV489,Deflactor!$BP$298:$BU$307,6,0),"")</f>
        <v/>
      </c>
    </row>
    <row r="490" spans="1:49" x14ac:dyDescent="0.3">
      <c r="A490" s="3">
        <v>2002</v>
      </c>
      <c r="B490" s="3" t="s">
        <v>591</v>
      </c>
      <c r="C490" s="3" t="s">
        <v>7</v>
      </c>
      <c r="D490" s="3" t="s">
        <v>36</v>
      </c>
      <c r="E490" s="3" t="s">
        <v>94</v>
      </c>
      <c r="F490" s="3" t="s">
        <v>351</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c r="AW490" s="57" t="str">
        <f>+IFERROR(VLOOKUP(AV490,Deflactor!$BP$298:$BU$307,6,0),"")</f>
        <v/>
      </c>
    </row>
    <row r="491" spans="1:49" x14ac:dyDescent="0.3">
      <c r="A491" s="3">
        <v>2002</v>
      </c>
      <c r="B491" s="3" t="s">
        <v>478</v>
      </c>
      <c r="C491" s="3" t="s">
        <v>7</v>
      </c>
      <c r="D491" s="3" t="s">
        <v>32</v>
      </c>
      <c r="E491" s="3" t="s">
        <v>33</v>
      </c>
      <c r="F491" s="3" t="s">
        <v>329</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c r="AW491" s="57" t="str">
        <f>+IFERROR(VLOOKUP(AV491,Deflactor!$BP$298:$BU$307,6,0),"")</f>
        <v/>
      </c>
    </row>
    <row r="492" spans="1:49" x14ac:dyDescent="0.3">
      <c r="A492" s="3">
        <v>2002</v>
      </c>
      <c r="B492" s="3" t="s">
        <v>592</v>
      </c>
      <c r="C492" s="3" t="s">
        <v>7</v>
      </c>
      <c r="D492" s="3" t="s">
        <v>233</v>
      </c>
      <c r="E492" s="3" t="s">
        <v>234</v>
      </c>
      <c r="F492" s="3" t="s">
        <v>329</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c r="AW492" s="57" t="str">
        <f>+IFERROR(VLOOKUP(AV492,Deflactor!$BP$298:$BU$307,6,0),"")</f>
        <v/>
      </c>
    </row>
    <row r="493" spans="1:49" x14ac:dyDescent="0.3">
      <c r="A493" s="3">
        <v>2002</v>
      </c>
      <c r="B493" s="3" t="s">
        <v>593</v>
      </c>
      <c r="C493" s="3" t="s">
        <v>92</v>
      </c>
      <c r="D493" s="3" t="s">
        <v>25</v>
      </c>
      <c r="E493" s="3" t="s">
        <v>26</v>
      </c>
      <c r="F493" s="3" t="s">
        <v>351</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c r="AW493" s="57" t="str">
        <f>+IFERROR(VLOOKUP(AV493,Deflactor!$BP$298:$BU$307,6,0),"")</f>
        <v/>
      </c>
    </row>
    <row r="494" spans="1:49" x14ac:dyDescent="0.3">
      <c r="A494" s="3">
        <v>2002</v>
      </c>
      <c r="B494" s="3" t="s">
        <v>594</v>
      </c>
      <c r="C494" s="3" t="s">
        <v>92</v>
      </c>
      <c r="D494" s="3" t="s">
        <v>45</v>
      </c>
      <c r="E494" s="3" t="s">
        <v>184</v>
      </c>
      <c r="F494" s="3" t="s">
        <v>329</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c r="AW494" s="57" t="str">
        <f>+IFERROR(VLOOKUP(AV494,Deflactor!$BP$298:$BU$307,6,0),"")</f>
        <v/>
      </c>
    </row>
    <row r="495" spans="1:49" x14ac:dyDescent="0.3">
      <c r="A495" s="3">
        <v>2002</v>
      </c>
      <c r="B495" s="3" t="s">
        <v>595</v>
      </c>
      <c r="C495" s="3" t="s">
        <v>7</v>
      </c>
      <c r="D495" s="3" t="s">
        <v>45</v>
      </c>
      <c r="E495" s="3" t="s">
        <v>519</v>
      </c>
      <c r="F495" s="3" t="s">
        <v>351</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c r="AW495" s="57" t="str">
        <f>+IFERROR(VLOOKUP(AV495,Deflactor!$BP$298:$BU$307,6,0),"")</f>
        <v/>
      </c>
    </row>
    <row r="496" spans="1:49" x14ac:dyDescent="0.3">
      <c r="A496" s="3">
        <v>2001</v>
      </c>
      <c r="B496" s="3" t="s">
        <v>596</v>
      </c>
      <c r="C496" s="3" t="s">
        <v>7</v>
      </c>
      <c r="D496" s="3" t="s">
        <v>12</v>
      </c>
      <c r="E496" s="3" t="s">
        <v>403</v>
      </c>
      <c r="F496" s="3" t="s">
        <v>329</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c r="AW496" s="57" t="str">
        <f>+IFERROR(VLOOKUP(AV496,Deflactor!$BP$298:$BU$307,6,0),"")</f>
        <v/>
      </c>
    </row>
    <row r="497" spans="1:49" x14ac:dyDescent="0.3">
      <c r="A497" s="3">
        <v>2001</v>
      </c>
      <c r="B497" s="3" t="s">
        <v>597</v>
      </c>
      <c r="C497" s="3" t="s">
        <v>7</v>
      </c>
      <c r="D497" s="3" t="s">
        <v>290</v>
      </c>
      <c r="E497" s="3" t="s">
        <v>120</v>
      </c>
      <c r="F497" s="3" t="s">
        <v>329</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c r="AW497" s="57" t="str">
        <f>+IFERROR(VLOOKUP(AV497,Deflactor!$BP$298:$BU$307,6,0),"")</f>
        <v/>
      </c>
    </row>
    <row r="498" spans="1:49" x14ac:dyDescent="0.3">
      <c r="A498" s="3">
        <v>2001</v>
      </c>
      <c r="B498" s="3" t="s">
        <v>598</v>
      </c>
      <c r="C498" s="3" t="s">
        <v>7</v>
      </c>
      <c r="D498" s="3" t="s">
        <v>12</v>
      </c>
      <c r="E498" s="3" t="s">
        <v>13</v>
      </c>
      <c r="F498" s="3" t="s">
        <v>329</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c r="AW498" s="57" t="str">
        <f>+IFERROR(VLOOKUP(AV498,Deflactor!$BP$298:$BU$307,6,0),"")</f>
        <v/>
      </c>
    </row>
    <row r="499" spans="1:49" x14ac:dyDescent="0.3">
      <c r="A499" s="3">
        <v>2001</v>
      </c>
      <c r="B499" s="3" t="s">
        <v>599</v>
      </c>
      <c r="C499" s="3" t="s">
        <v>7</v>
      </c>
      <c r="D499" s="3" t="s">
        <v>36</v>
      </c>
      <c r="E499" s="3" t="s">
        <v>37</v>
      </c>
      <c r="F499" s="3" t="s">
        <v>308</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c r="AW499" s="57" t="str">
        <f>+IFERROR(VLOOKUP(AV499,Deflactor!$BP$298:$BU$307,6,0),"")</f>
        <v/>
      </c>
    </row>
    <row r="500" spans="1:49" x14ac:dyDescent="0.3">
      <c r="A500" s="3">
        <v>2001</v>
      </c>
      <c r="B500" s="3" t="s">
        <v>600</v>
      </c>
      <c r="C500" s="3" t="s">
        <v>7</v>
      </c>
      <c r="D500" s="3" t="s">
        <v>71</v>
      </c>
      <c r="E500" s="3" t="s">
        <v>167</v>
      </c>
      <c r="F500" s="3" t="s">
        <v>310</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c r="AW500" s="57" t="str">
        <f>+IFERROR(VLOOKUP(AV500,Deflactor!$BP$298:$BU$307,6,0),"")</f>
        <v/>
      </c>
    </row>
    <row r="501" spans="1:49" x14ac:dyDescent="0.3">
      <c r="A501" s="3">
        <v>2001</v>
      </c>
      <c r="B501" s="3" t="s">
        <v>601</v>
      </c>
      <c r="C501" s="3" t="s">
        <v>7</v>
      </c>
      <c r="D501" s="3" t="s">
        <v>64</v>
      </c>
      <c r="E501" s="3" t="s">
        <v>65</v>
      </c>
      <c r="F501" s="3" t="s">
        <v>351</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c r="AW501" s="57" t="str">
        <f>+IFERROR(VLOOKUP(AV501,Deflactor!$BP$298:$BU$307,6,0),"")</f>
        <v/>
      </c>
    </row>
    <row r="502" spans="1:49" x14ac:dyDescent="0.3">
      <c r="A502" s="3">
        <v>2001</v>
      </c>
      <c r="B502" s="3" t="s">
        <v>602</v>
      </c>
      <c r="C502" s="3" t="s">
        <v>7</v>
      </c>
      <c r="D502" s="3" t="s">
        <v>32</v>
      </c>
      <c r="E502" s="3" t="s">
        <v>33</v>
      </c>
      <c r="F502" s="3" t="s">
        <v>310</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c r="AW502" s="57" t="str">
        <f>+IFERROR(VLOOKUP(AV502,Deflactor!$BP$298:$BU$307,6,0),"")</f>
        <v/>
      </c>
    </row>
    <row r="503" spans="1:49" x14ac:dyDescent="0.3">
      <c r="A503" s="3">
        <v>2001</v>
      </c>
      <c r="B503" s="3" t="s">
        <v>603</v>
      </c>
      <c r="C503" s="3" t="s">
        <v>7</v>
      </c>
      <c r="D503" s="3" t="s">
        <v>290</v>
      </c>
      <c r="E503" s="3" t="s">
        <v>120</v>
      </c>
      <c r="F503" s="3" t="s">
        <v>329</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c r="AW503" s="57" t="str">
        <f>+IFERROR(VLOOKUP(AV503,Deflactor!$BP$298:$BU$307,6,0),"")</f>
        <v/>
      </c>
    </row>
    <row r="504" spans="1:49" x14ac:dyDescent="0.3">
      <c r="A504" s="3">
        <v>2001</v>
      </c>
      <c r="B504" s="3" t="s">
        <v>604</v>
      </c>
      <c r="C504" s="3" t="s">
        <v>7</v>
      </c>
      <c r="D504" s="3" t="s">
        <v>397</v>
      </c>
      <c r="E504" s="3" t="s">
        <v>398</v>
      </c>
      <c r="F504" s="3" t="s">
        <v>351</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c r="AW504" s="57" t="str">
        <f>+IFERROR(VLOOKUP(AV504,Deflactor!$BP$298:$BU$307,6,0),"")</f>
        <v/>
      </c>
    </row>
    <row r="505" spans="1:49" x14ac:dyDescent="0.3">
      <c r="A505" s="3">
        <v>2001</v>
      </c>
      <c r="B505" s="3" t="s">
        <v>605</v>
      </c>
      <c r="C505" s="3" t="s">
        <v>7</v>
      </c>
      <c r="D505" s="3" t="s">
        <v>397</v>
      </c>
      <c r="E505" s="3" t="s">
        <v>398</v>
      </c>
      <c r="F505" s="3" t="s">
        <v>351</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c r="AW505" s="57" t="str">
        <f>+IFERROR(VLOOKUP(AV505,Deflactor!$BP$298:$BU$307,6,0),"")</f>
        <v/>
      </c>
    </row>
    <row r="506" spans="1:49" x14ac:dyDescent="0.3">
      <c r="A506" s="3">
        <v>2001</v>
      </c>
      <c r="B506" s="3" t="s">
        <v>606</v>
      </c>
      <c r="C506" s="3" t="s">
        <v>92</v>
      </c>
      <c r="D506" s="3" t="s">
        <v>290</v>
      </c>
      <c r="E506" s="3" t="s">
        <v>21</v>
      </c>
      <c r="F506" s="3" t="s">
        <v>329</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c r="AW506" s="57" t="str">
        <f>+IFERROR(VLOOKUP(AV506,Deflactor!$BP$298:$BU$307,6,0),"")</f>
        <v/>
      </c>
    </row>
    <row r="507" spans="1:49" x14ac:dyDescent="0.3">
      <c r="A507" s="3">
        <v>2001</v>
      </c>
      <c r="B507" s="3" t="s">
        <v>607</v>
      </c>
      <c r="C507" s="3" t="s">
        <v>92</v>
      </c>
      <c r="D507" s="3" t="s">
        <v>48</v>
      </c>
      <c r="E507" s="3" t="s">
        <v>88</v>
      </c>
      <c r="F507" s="3" t="s">
        <v>329</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c r="AW507" s="57" t="str">
        <f>+IFERROR(VLOOKUP(AV507,Deflactor!$BP$298:$BU$307,6,0),"")</f>
        <v/>
      </c>
    </row>
    <row r="508" spans="1:49" x14ac:dyDescent="0.3">
      <c r="A508" s="3">
        <v>2001</v>
      </c>
      <c r="B508" s="3" t="s">
        <v>608</v>
      </c>
      <c r="C508" s="3" t="s">
        <v>7</v>
      </c>
      <c r="D508" s="3" t="s">
        <v>54</v>
      </c>
      <c r="E508" s="3" t="s">
        <v>55</v>
      </c>
      <c r="F508" s="3" t="s">
        <v>310</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c r="AW508" s="57" t="str">
        <f>+IFERROR(VLOOKUP(AV508,Deflactor!$BP$298:$BU$307,6,0),"")</f>
        <v/>
      </c>
    </row>
    <row r="509" spans="1:49" x14ac:dyDescent="0.3">
      <c r="A509" s="3">
        <v>2001</v>
      </c>
      <c r="B509" s="3" t="s">
        <v>609</v>
      </c>
      <c r="C509" s="3" t="s">
        <v>7</v>
      </c>
      <c r="D509" s="3" t="s">
        <v>64</v>
      </c>
      <c r="E509" s="3" t="s">
        <v>65</v>
      </c>
      <c r="F509" s="3" t="s">
        <v>310</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c r="AW509" s="57" t="str">
        <f>+IFERROR(VLOOKUP(AV509,Deflactor!$BP$298:$BU$307,6,0),"")</f>
        <v/>
      </c>
    </row>
    <row r="510" spans="1:49" x14ac:dyDescent="0.3">
      <c r="A510" s="3">
        <v>2001</v>
      </c>
      <c r="B510" s="3" t="s">
        <v>610</v>
      </c>
      <c r="C510" s="3" t="s">
        <v>7</v>
      </c>
      <c r="D510" s="3" t="s">
        <v>64</v>
      </c>
      <c r="E510" s="3" t="s">
        <v>65</v>
      </c>
      <c r="F510" s="3" t="s">
        <v>329</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c r="AW510" s="57" t="str">
        <f>+IFERROR(VLOOKUP(AV510,Deflactor!$BP$298:$BU$307,6,0),"")</f>
        <v/>
      </c>
    </row>
    <row r="511" spans="1:49" x14ac:dyDescent="0.3">
      <c r="A511" s="3">
        <v>2001</v>
      </c>
      <c r="B511" s="3" t="s">
        <v>611</v>
      </c>
      <c r="C511" s="3" t="s">
        <v>7</v>
      </c>
      <c r="D511" s="3" t="s">
        <v>164</v>
      </c>
      <c r="E511" s="3" t="s">
        <v>165</v>
      </c>
      <c r="F511" s="3" t="s">
        <v>308</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c r="AW511" s="57" t="str">
        <f>+IFERROR(VLOOKUP(AV511,Deflactor!$BP$298:$BU$307,6,0),"")</f>
        <v/>
      </c>
    </row>
    <row r="512" spans="1:49" x14ac:dyDescent="0.3">
      <c r="A512" s="3">
        <v>2001</v>
      </c>
      <c r="B512" s="3" t="s">
        <v>612</v>
      </c>
      <c r="C512" s="3" t="s">
        <v>7</v>
      </c>
      <c r="D512" s="3" t="s">
        <v>8</v>
      </c>
      <c r="E512" s="3" t="s">
        <v>156</v>
      </c>
      <c r="F512" s="3" t="s">
        <v>351</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c r="AW512" s="57" t="str">
        <f>+IFERROR(VLOOKUP(AV512,Deflactor!$BP$298:$BU$307,6,0),"")</f>
        <v/>
      </c>
    </row>
    <row r="513" spans="1:49" x14ac:dyDescent="0.3">
      <c r="A513" s="3">
        <v>2001</v>
      </c>
      <c r="B513" s="3" t="s">
        <v>613</v>
      </c>
      <c r="C513" s="3" t="s">
        <v>7</v>
      </c>
      <c r="D513" s="3" t="s">
        <v>71</v>
      </c>
      <c r="E513" s="3" t="s">
        <v>614</v>
      </c>
      <c r="F513" s="3" t="s">
        <v>351</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c r="AW513" s="57" t="str">
        <f>+IFERROR(VLOOKUP(AV513,Deflactor!$BP$298:$BU$307,6,0),"")</f>
        <v/>
      </c>
    </row>
    <row r="514" spans="1:49" x14ac:dyDescent="0.3">
      <c r="A514" s="3">
        <v>2001</v>
      </c>
      <c r="B514" s="3" t="s">
        <v>615</v>
      </c>
      <c r="C514" s="3" t="s">
        <v>7</v>
      </c>
      <c r="D514" s="3" t="s">
        <v>36</v>
      </c>
      <c r="E514" s="3" t="s">
        <v>37</v>
      </c>
      <c r="F514" s="3" t="s">
        <v>308</v>
      </c>
      <c r="G514" s="3"/>
      <c r="H514" s="12"/>
      <c r="I514" s="13"/>
      <c r="J514" s="10"/>
      <c r="K514" s="3" t="s">
        <v>2162</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c r="AW514" s="57" t="str">
        <f>+IFERROR(VLOOKUP(AV514,Deflactor!$BP$298:$BU$307,6,0),"")</f>
        <v/>
      </c>
    </row>
    <row r="515" spans="1:49" x14ac:dyDescent="0.3">
      <c r="A515" s="3">
        <v>2001</v>
      </c>
      <c r="B515" s="3" t="s">
        <v>616</v>
      </c>
      <c r="C515" s="3" t="s">
        <v>7</v>
      </c>
      <c r="D515" s="3" t="s">
        <v>36</v>
      </c>
      <c r="E515" s="3" t="s">
        <v>37</v>
      </c>
      <c r="F515" s="3" t="s">
        <v>329</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c r="AW515" s="57" t="str">
        <f>+IFERROR(VLOOKUP(AV515,Deflactor!$BP$298:$BU$307,6,0),"")</f>
        <v/>
      </c>
    </row>
    <row r="516" spans="1:49" x14ac:dyDescent="0.3">
      <c r="A516" s="3">
        <v>2001</v>
      </c>
      <c r="B516" s="3" t="s">
        <v>617</v>
      </c>
      <c r="C516" s="3" t="s">
        <v>7</v>
      </c>
      <c r="D516" s="3" t="s">
        <v>12</v>
      </c>
      <c r="E516" s="3" t="s">
        <v>403</v>
      </c>
      <c r="F516" s="3" t="s">
        <v>329</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c r="AW516" s="57" t="str">
        <f>+IFERROR(VLOOKUP(AV516,Deflactor!$BP$298:$BU$307,6,0),"")</f>
        <v/>
      </c>
    </row>
    <row r="517" spans="1:49" x14ac:dyDescent="0.3">
      <c r="A517" s="3">
        <v>2000</v>
      </c>
      <c r="B517" s="3" t="s">
        <v>618</v>
      </c>
      <c r="C517" s="3" t="s">
        <v>7</v>
      </c>
      <c r="D517" s="3" t="s">
        <v>36</v>
      </c>
      <c r="E517" s="3" t="s">
        <v>37</v>
      </c>
      <c r="F517" s="3" t="s">
        <v>351</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c r="AW517" s="57" t="str">
        <f>+IFERROR(VLOOKUP(AV517,Deflactor!$BP$298:$BU$307,6,0),"")</f>
        <v/>
      </c>
    </row>
    <row r="518" spans="1:49" x14ac:dyDescent="0.3">
      <c r="A518" s="3">
        <v>2000</v>
      </c>
      <c r="B518" s="3" t="s">
        <v>619</v>
      </c>
      <c r="C518" s="3" t="s">
        <v>7</v>
      </c>
      <c r="D518" s="3" t="s">
        <v>36</v>
      </c>
      <c r="E518" s="3" t="s">
        <v>37</v>
      </c>
      <c r="F518" s="3" t="s">
        <v>351</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c r="AW518" s="57" t="str">
        <f>+IFERROR(VLOOKUP(AV518,Deflactor!$BP$298:$BU$307,6,0),"")</f>
        <v/>
      </c>
    </row>
    <row r="519" spans="1:49" x14ac:dyDescent="0.3">
      <c r="A519" s="3">
        <v>2000</v>
      </c>
      <c r="B519" s="3" t="s">
        <v>620</v>
      </c>
      <c r="C519" s="3" t="s">
        <v>7</v>
      </c>
      <c r="D519" s="3" t="s">
        <v>36</v>
      </c>
      <c r="E519" s="3" t="s">
        <v>37</v>
      </c>
      <c r="F519" s="3" t="s">
        <v>310</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c r="AW519" s="57" t="str">
        <f>+IFERROR(VLOOKUP(AV519,Deflactor!$BP$298:$BU$307,6,0),"")</f>
        <v/>
      </c>
    </row>
    <row r="520" spans="1:49" x14ac:dyDescent="0.3">
      <c r="A520" s="3">
        <v>2000</v>
      </c>
      <c r="B520" s="3" t="s">
        <v>621</v>
      </c>
      <c r="C520" s="3" t="s">
        <v>7</v>
      </c>
      <c r="D520" s="3" t="s">
        <v>45</v>
      </c>
      <c r="E520" s="3" t="s">
        <v>407</v>
      </c>
      <c r="F520" s="3" t="s">
        <v>329</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c r="AW520" s="57" t="str">
        <f>+IFERROR(VLOOKUP(AV520,Deflactor!$BP$298:$BU$307,6,0),"")</f>
        <v/>
      </c>
    </row>
    <row r="521" spans="1:49" x14ac:dyDescent="0.3">
      <c r="A521" s="3">
        <v>2000</v>
      </c>
      <c r="B521" s="3" t="s">
        <v>622</v>
      </c>
      <c r="C521" s="3" t="s">
        <v>7</v>
      </c>
      <c r="D521" s="3" t="s">
        <v>397</v>
      </c>
      <c r="E521" s="3" t="s">
        <v>398</v>
      </c>
      <c r="F521" s="3" t="s">
        <v>623</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c r="AW521" s="57" t="str">
        <f>+IFERROR(VLOOKUP(AV521,Deflactor!$BP$298:$BU$307,6,0),"")</f>
        <v/>
      </c>
    </row>
    <row r="522" spans="1:49" x14ac:dyDescent="0.3">
      <c r="A522" s="3">
        <v>2000</v>
      </c>
      <c r="B522" s="3" t="s">
        <v>624</v>
      </c>
      <c r="C522" s="3" t="s">
        <v>7</v>
      </c>
      <c r="D522" s="3" t="s">
        <v>32</v>
      </c>
      <c r="E522" s="3" t="s">
        <v>33</v>
      </c>
      <c r="F522" s="3" t="s">
        <v>310</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c r="AW522" s="57" t="str">
        <f>+IFERROR(VLOOKUP(AV522,Deflactor!$BP$298:$BU$307,6,0),"")</f>
        <v/>
      </c>
    </row>
    <row r="523" spans="1:49" x14ac:dyDescent="0.3">
      <c r="A523" s="3">
        <v>2000</v>
      </c>
      <c r="B523" s="3" t="s">
        <v>206</v>
      </c>
      <c r="C523" s="3" t="s">
        <v>7</v>
      </c>
      <c r="D523" s="3" t="s">
        <v>36</v>
      </c>
      <c r="E523" s="3" t="s">
        <v>81</v>
      </c>
      <c r="F523" s="3" t="s">
        <v>329</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c r="AW523" s="57" t="str">
        <f>+IFERROR(VLOOKUP(AV523,Deflactor!$BP$298:$BU$307,6,0),"")</f>
        <v/>
      </c>
    </row>
    <row r="524" spans="1:49" x14ac:dyDescent="0.3">
      <c r="A524" s="3">
        <v>2000</v>
      </c>
      <c r="B524" s="3" t="s">
        <v>625</v>
      </c>
      <c r="C524" s="3" t="s">
        <v>7</v>
      </c>
      <c r="D524" s="3" t="s">
        <v>444</v>
      </c>
      <c r="E524" s="3" t="s">
        <v>626</v>
      </c>
      <c r="F524" s="3" t="s">
        <v>329</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c r="AW524" s="57" t="str">
        <f>+IFERROR(VLOOKUP(AV524,Deflactor!$BP$298:$BU$307,6,0),"")</f>
        <v/>
      </c>
    </row>
    <row r="525" spans="1:49" x14ac:dyDescent="0.3">
      <c r="A525" s="3">
        <v>2000</v>
      </c>
      <c r="B525" s="3" t="s">
        <v>627</v>
      </c>
      <c r="C525" s="3" t="s">
        <v>7</v>
      </c>
      <c r="D525" s="3" t="s">
        <v>54</v>
      </c>
      <c r="E525" s="3" t="s">
        <v>243</v>
      </c>
      <c r="F525" s="3" t="s">
        <v>329</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c r="AW525" s="57" t="str">
        <f>+IFERROR(VLOOKUP(AV525,Deflactor!$BP$298:$BU$307,6,0),"")</f>
        <v/>
      </c>
    </row>
    <row r="526" spans="1:49" x14ac:dyDescent="0.3">
      <c r="A526" s="3">
        <v>2000</v>
      </c>
      <c r="B526" s="3" t="s">
        <v>628</v>
      </c>
      <c r="C526" s="3" t="s">
        <v>7</v>
      </c>
      <c r="D526" s="3" t="s">
        <v>40</v>
      </c>
      <c r="E526" s="3" t="s">
        <v>43</v>
      </c>
      <c r="F526" s="3" t="s">
        <v>329</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c r="AW526" s="57" t="str">
        <f>+IFERROR(VLOOKUP(AV526,Deflactor!$BP$298:$BU$307,6,0),"")</f>
        <v/>
      </c>
    </row>
    <row r="527" spans="1:49" x14ac:dyDescent="0.3">
      <c r="A527" s="3">
        <v>2000</v>
      </c>
      <c r="B527" s="3" t="s">
        <v>629</v>
      </c>
      <c r="C527" s="3" t="s">
        <v>7</v>
      </c>
      <c r="D527" s="3" t="s">
        <v>290</v>
      </c>
      <c r="E527" s="3" t="s">
        <v>176</v>
      </c>
      <c r="F527" s="3" t="s">
        <v>310</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c r="AW527" s="57" t="str">
        <f>+IFERROR(VLOOKUP(AV527,Deflactor!$BP$298:$BU$307,6,0),"")</f>
        <v/>
      </c>
    </row>
    <row r="528" spans="1:49" x14ac:dyDescent="0.3">
      <c r="A528" s="3">
        <v>2000</v>
      </c>
      <c r="B528" s="3" t="s">
        <v>630</v>
      </c>
      <c r="C528" s="3" t="s">
        <v>7</v>
      </c>
      <c r="D528" s="3" t="s">
        <v>233</v>
      </c>
      <c r="E528" s="3" t="s">
        <v>234</v>
      </c>
      <c r="F528" s="3" t="s">
        <v>351</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c r="AW528" s="57" t="str">
        <f>+IFERROR(VLOOKUP(AV528,Deflactor!$BP$298:$BU$307,6,0),"")</f>
        <v/>
      </c>
    </row>
    <row r="529" spans="1:49" x14ac:dyDescent="0.3">
      <c r="A529" s="3">
        <v>2000</v>
      </c>
      <c r="B529" s="3" t="s">
        <v>631</v>
      </c>
      <c r="C529" s="3" t="s">
        <v>7</v>
      </c>
      <c r="D529" s="3" t="s">
        <v>32</v>
      </c>
      <c r="E529" s="3" t="s">
        <v>33</v>
      </c>
      <c r="F529" s="3" t="s">
        <v>310</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c r="AW529" s="57" t="str">
        <f>+IFERROR(VLOOKUP(AV529,Deflactor!$BP$298:$BU$307,6,0),"")</f>
        <v/>
      </c>
    </row>
    <row r="530" spans="1:49" x14ac:dyDescent="0.3">
      <c r="A530" s="3">
        <v>2000</v>
      </c>
      <c r="B530" s="3" t="s">
        <v>632</v>
      </c>
      <c r="C530" s="3" t="s">
        <v>7</v>
      </c>
      <c r="D530" s="3" t="s">
        <v>25</v>
      </c>
      <c r="E530" s="3" t="s">
        <v>29</v>
      </c>
      <c r="F530" s="3" t="s">
        <v>329</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c r="AW530" s="57" t="str">
        <f>+IFERROR(VLOOKUP(AV530,Deflactor!$BP$298:$BU$307,6,0),"")</f>
        <v/>
      </c>
    </row>
    <row r="531" spans="1:49" x14ac:dyDescent="0.3">
      <c r="A531" s="3">
        <v>2000</v>
      </c>
      <c r="B531" s="3" t="s">
        <v>633</v>
      </c>
      <c r="C531" s="3" t="s">
        <v>7</v>
      </c>
      <c r="D531" s="3" t="s">
        <v>32</v>
      </c>
      <c r="E531" s="3" t="s">
        <v>33</v>
      </c>
      <c r="F531" s="3" t="s">
        <v>310</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c r="AW531" s="57" t="str">
        <f>+IFERROR(VLOOKUP(AV531,Deflactor!$BP$298:$BU$307,6,0),"")</f>
        <v/>
      </c>
    </row>
    <row r="532" spans="1:49" x14ac:dyDescent="0.3">
      <c r="A532" s="3">
        <v>2000</v>
      </c>
      <c r="B532" s="3" t="s">
        <v>634</v>
      </c>
      <c r="C532" s="3" t="s">
        <v>7</v>
      </c>
      <c r="D532" s="3" t="s">
        <v>54</v>
      </c>
      <c r="E532" s="3" t="s">
        <v>236</v>
      </c>
      <c r="F532" s="3" t="s">
        <v>329</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c r="AW532" s="57" t="str">
        <f>+IFERROR(VLOOKUP(AV532,Deflactor!$BP$298:$BU$307,6,0),"")</f>
        <v/>
      </c>
    </row>
    <row r="533" spans="1:49" x14ac:dyDescent="0.3">
      <c r="A533" s="3">
        <v>2000</v>
      </c>
      <c r="B533" s="3" t="s">
        <v>635</v>
      </c>
      <c r="C533" s="3" t="s">
        <v>7</v>
      </c>
      <c r="D533" s="3" t="s">
        <v>8</v>
      </c>
      <c r="E533" s="3" t="s">
        <v>51</v>
      </c>
      <c r="F533" s="3" t="s">
        <v>351</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c r="AW533" s="57" t="str">
        <f>+IFERROR(VLOOKUP(AV533,Deflactor!$BP$298:$BU$307,6,0),"")</f>
        <v/>
      </c>
    </row>
    <row r="534" spans="1:49" x14ac:dyDescent="0.3">
      <c r="A534" s="3">
        <v>2000</v>
      </c>
      <c r="B534" s="3" t="s">
        <v>636</v>
      </c>
      <c r="C534" s="3" t="s">
        <v>7</v>
      </c>
      <c r="D534" s="3" t="s">
        <v>71</v>
      </c>
      <c r="E534" s="3" t="s">
        <v>167</v>
      </c>
      <c r="F534" s="3" t="s">
        <v>310</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c r="AW534" s="57" t="str">
        <f>+IFERROR(VLOOKUP(AV534,Deflactor!$BP$298:$BU$307,6,0),"")</f>
        <v/>
      </c>
    </row>
    <row r="535" spans="1:49" x14ac:dyDescent="0.3">
      <c r="A535" s="3">
        <v>2000</v>
      </c>
      <c r="B535" s="3" t="s">
        <v>637</v>
      </c>
      <c r="C535" s="3" t="s">
        <v>7</v>
      </c>
      <c r="D535" s="3" t="s">
        <v>71</v>
      </c>
      <c r="E535" s="3" t="s">
        <v>167</v>
      </c>
      <c r="F535" s="3" t="s">
        <v>329</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c r="AW535" s="57" t="str">
        <f>+IFERROR(VLOOKUP(AV535,Deflactor!$BP$298:$BU$307,6,0),"")</f>
        <v/>
      </c>
    </row>
    <row r="536" spans="1:49" x14ac:dyDescent="0.3">
      <c r="A536" s="3">
        <v>2000</v>
      </c>
      <c r="B536" s="3" t="s">
        <v>638</v>
      </c>
      <c r="C536" s="3" t="s">
        <v>7</v>
      </c>
      <c r="D536" s="3" t="s">
        <v>444</v>
      </c>
      <c r="E536" s="3" t="s">
        <v>639</v>
      </c>
      <c r="F536" s="3" t="s">
        <v>623</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c r="AW536" s="57" t="str">
        <f>+IFERROR(VLOOKUP(AV536,Deflactor!$BP$298:$BU$307,6,0),"")</f>
        <v/>
      </c>
    </row>
    <row r="537" spans="1:49" x14ac:dyDescent="0.3">
      <c r="A537" s="3">
        <v>1999</v>
      </c>
      <c r="B537" s="3" t="s">
        <v>640</v>
      </c>
      <c r="C537" s="3" t="s">
        <v>7</v>
      </c>
      <c r="D537" s="3" t="s">
        <v>40</v>
      </c>
      <c r="E537" s="3" t="s">
        <v>43</v>
      </c>
      <c r="F537" s="3" t="s">
        <v>623</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c r="AW537" s="57" t="str">
        <f>+IFERROR(VLOOKUP(AV537,Deflactor!$BP$298:$BU$307,6,0),"")</f>
        <v/>
      </c>
    </row>
    <row r="538" spans="1:49" x14ac:dyDescent="0.3">
      <c r="A538" s="3">
        <v>1999</v>
      </c>
      <c r="B538" s="3" t="s">
        <v>641</v>
      </c>
      <c r="C538" s="3" t="s">
        <v>7</v>
      </c>
      <c r="D538" s="3" t="s">
        <v>290</v>
      </c>
      <c r="E538" s="3" t="s">
        <v>21</v>
      </c>
      <c r="F538" s="3" t="s">
        <v>623</v>
      </c>
      <c r="G538" s="3" t="s">
        <v>903</v>
      </c>
      <c r="H538" s="12">
        <v>1994</v>
      </c>
      <c r="I538" s="13">
        <v>2011</v>
      </c>
      <c r="J538" s="10">
        <f xml:space="preserve"> (898000 + 462000) * 1000</f>
        <v>1360000000</v>
      </c>
      <c r="K538" s="3" t="s">
        <v>861</v>
      </c>
      <c r="L538" s="3" t="s">
        <v>929</v>
      </c>
      <c r="M538" s="3" t="s">
        <v>930</v>
      </c>
      <c r="N538" s="3" t="s">
        <v>931</v>
      </c>
      <c r="O538" s="3" t="s">
        <v>932</v>
      </c>
      <c r="P538" s="3" t="s">
        <v>933</v>
      </c>
      <c r="Q538" s="3"/>
      <c r="R538" s="11" t="s">
        <v>934</v>
      </c>
      <c r="S538" s="11" t="s">
        <v>935</v>
      </c>
      <c r="T538" s="3"/>
      <c r="U538" s="3" t="s">
        <v>1142</v>
      </c>
      <c r="V538" s="3"/>
      <c r="W538" s="10">
        <f>IF( J538="s.i", "s.i", IF(ISBLANK(J538),"Actualizando información",IFERROR(J538 / VLOOKUP(A538,Deflactor!$G$3:$H$64,2,0),"Revisar error" )))</f>
        <v>2647413713.3990426</v>
      </c>
      <c r="AW538" s="57" t="str">
        <f>+IFERROR(VLOOKUP(AV538,Deflactor!$BP$298:$BU$307,6,0),"")</f>
        <v/>
      </c>
    </row>
    <row r="539" spans="1:49" x14ac:dyDescent="0.3">
      <c r="A539" s="3">
        <v>1999</v>
      </c>
      <c r="B539" s="3" t="s">
        <v>642</v>
      </c>
      <c r="C539" s="3" t="s">
        <v>7</v>
      </c>
      <c r="D539" s="3" t="s">
        <v>290</v>
      </c>
      <c r="E539" s="3" t="s">
        <v>120</v>
      </c>
      <c r="F539" s="3" t="s">
        <v>623</v>
      </c>
      <c r="G539" s="3"/>
      <c r="H539" s="12"/>
      <c r="I539" s="13"/>
      <c r="J539" s="10"/>
      <c r="K539" s="3" t="s">
        <v>1762</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c r="AW539" s="57" t="str">
        <f>+IFERROR(VLOOKUP(AV539,Deflactor!$BP$298:$BU$307,6,0),"")</f>
        <v/>
      </c>
    </row>
    <row r="540" spans="1:49" x14ac:dyDescent="0.3">
      <c r="A540" s="3">
        <v>1999</v>
      </c>
      <c r="B540" s="3" t="s">
        <v>490</v>
      </c>
      <c r="C540" s="3" t="s">
        <v>7</v>
      </c>
      <c r="D540" s="3" t="s">
        <v>290</v>
      </c>
      <c r="E540" s="3" t="s">
        <v>291</v>
      </c>
      <c r="F540" s="3" t="s">
        <v>623</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c r="AW540" s="57" t="str">
        <f>+IFERROR(VLOOKUP(AV540,Deflactor!$BP$298:$BU$307,6,0),"")</f>
        <v/>
      </c>
    </row>
    <row r="541" spans="1:49" x14ac:dyDescent="0.3">
      <c r="A541" s="3">
        <v>1999</v>
      </c>
      <c r="B541" s="3" t="s">
        <v>643</v>
      </c>
      <c r="C541" s="3" t="s">
        <v>7</v>
      </c>
      <c r="D541" s="3" t="s">
        <v>54</v>
      </c>
      <c r="E541" s="3" t="s">
        <v>236</v>
      </c>
      <c r="F541" s="3" t="s">
        <v>623</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c r="AW541" s="57" t="str">
        <f>+IFERROR(VLOOKUP(AV541,Deflactor!$BP$298:$BU$307,6,0),"")</f>
        <v/>
      </c>
    </row>
    <row r="542" spans="1:49" x14ac:dyDescent="0.3">
      <c r="A542" s="3">
        <v>1999</v>
      </c>
      <c r="B542" s="3" t="s">
        <v>644</v>
      </c>
      <c r="C542" s="3" t="s">
        <v>7</v>
      </c>
      <c r="D542" s="3" t="s">
        <v>54</v>
      </c>
      <c r="E542" s="3" t="s">
        <v>645</v>
      </c>
      <c r="F542" s="3" t="s">
        <v>623</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c r="AW542" s="57" t="str">
        <f>+IFERROR(VLOOKUP(AV542,Deflactor!$BP$298:$BU$307,6,0),"")</f>
        <v/>
      </c>
    </row>
    <row r="543" spans="1:49" x14ac:dyDescent="0.3">
      <c r="A543" s="3">
        <v>1999</v>
      </c>
      <c r="B543" s="3" t="s">
        <v>646</v>
      </c>
      <c r="C543" s="3" t="s">
        <v>7</v>
      </c>
      <c r="D543" s="3" t="s">
        <v>8</v>
      </c>
      <c r="E543" s="3" t="s">
        <v>214</v>
      </c>
      <c r="F543" s="3" t="s">
        <v>623</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c r="AW543" s="57" t="str">
        <f>+IFERROR(VLOOKUP(AV543,Deflactor!$BP$298:$BU$307,6,0),"")</f>
        <v/>
      </c>
    </row>
    <row r="544" spans="1:49" x14ac:dyDescent="0.3">
      <c r="A544" s="3">
        <v>1999</v>
      </c>
      <c r="B544" s="3" t="s">
        <v>647</v>
      </c>
      <c r="C544" s="3" t="s">
        <v>7</v>
      </c>
      <c r="D544" s="3" t="s">
        <v>8</v>
      </c>
      <c r="E544" s="3" t="s">
        <v>51</v>
      </c>
      <c r="F544" s="3" t="s">
        <v>623</v>
      </c>
      <c r="G544" s="3"/>
      <c r="H544" s="12"/>
      <c r="I544" s="13"/>
      <c r="J544" s="10"/>
      <c r="K544" s="3"/>
      <c r="L544" s="3"/>
      <c r="M544" s="3"/>
      <c r="N544" s="3"/>
      <c r="O544" s="3"/>
      <c r="P544" s="3"/>
      <c r="Q544" s="3"/>
      <c r="R544" s="3"/>
      <c r="S544" s="3"/>
      <c r="T544" s="3"/>
      <c r="U544" s="3"/>
      <c r="V544" s="3" t="s">
        <v>1218</v>
      </c>
      <c r="W544" s="10" t="str">
        <f>IF( J544="s.i", "s.i", IF(ISBLANK(J544),"Actualizando información",IFERROR(J544 / VLOOKUP(A544,Deflactor!$G$3:$H$64,2,0),"Revisar error" )))</f>
        <v>Actualizando información</v>
      </c>
      <c r="AW544" s="57" t="str">
        <f>+IFERROR(VLOOKUP(AV544,Deflactor!$BP$298:$BU$307,6,0),"")</f>
        <v/>
      </c>
    </row>
    <row r="545" spans="1:49" x14ac:dyDescent="0.3">
      <c r="A545" s="3">
        <v>1999</v>
      </c>
      <c r="B545" s="3" t="s">
        <v>648</v>
      </c>
      <c r="C545" s="3" t="s">
        <v>7</v>
      </c>
      <c r="D545" s="3" t="s">
        <v>444</v>
      </c>
      <c r="E545" s="3" t="s">
        <v>639</v>
      </c>
      <c r="F545" s="3" t="s">
        <v>623</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c r="AW545" s="57" t="str">
        <f>+IFERROR(VLOOKUP(AV545,Deflactor!$BP$298:$BU$307,6,0),"")</f>
        <v/>
      </c>
    </row>
    <row r="546" spans="1:49" x14ac:dyDescent="0.3">
      <c r="A546" s="3">
        <v>1999</v>
      </c>
      <c r="B546" s="3" t="s">
        <v>649</v>
      </c>
      <c r="C546" s="3" t="s">
        <v>7</v>
      </c>
      <c r="D546" s="3" t="s">
        <v>40</v>
      </c>
      <c r="E546" s="3" t="s">
        <v>43</v>
      </c>
      <c r="F546" s="3" t="s">
        <v>623</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c r="AW546" s="57" t="str">
        <f>+IFERROR(VLOOKUP(AV546,Deflactor!$BP$298:$BU$307,6,0),"")</f>
        <v/>
      </c>
    </row>
    <row r="547" spans="1:49" x14ac:dyDescent="0.3">
      <c r="A547" s="3">
        <v>1999</v>
      </c>
      <c r="B547" s="3" t="s">
        <v>650</v>
      </c>
      <c r="C547" s="3" t="s">
        <v>7</v>
      </c>
      <c r="D547" s="3" t="s">
        <v>36</v>
      </c>
      <c r="E547" s="3" t="s">
        <v>37</v>
      </c>
      <c r="F547" s="3" t="s">
        <v>623</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c r="AW547" s="57" t="str">
        <f>+IFERROR(VLOOKUP(AV547,Deflactor!$BP$298:$BU$307,6,0),"")</f>
        <v/>
      </c>
    </row>
    <row r="548" spans="1:49" x14ac:dyDescent="0.3">
      <c r="A548" s="3">
        <v>1999</v>
      </c>
      <c r="B548" s="3" t="s">
        <v>651</v>
      </c>
      <c r="C548" s="3" t="s">
        <v>7</v>
      </c>
      <c r="D548" s="3" t="s">
        <v>36</v>
      </c>
      <c r="E548" s="3" t="s">
        <v>37</v>
      </c>
      <c r="F548" s="3" t="s">
        <v>623</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c r="AW548" s="57" t="str">
        <f>+IFERROR(VLOOKUP(AV548,Deflactor!$BP$298:$BU$307,6,0),"")</f>
        <v/>
      </c>
    </row>
    <row r="549" spans="1:49" x14ac:dyDescent="0.3">
      <c r="A549" s="3">
        <v>1999</v>
      </c>
      <c r="B549" s="3" t="s">
        <v>652</v>
      </c>
      <c r="C549" s="3" t="s">
        <v>7</v>
      </c>
      <c r="D549" s="3" t="s">
        <v>25</v>
      </c>
      <c r="E549" s="3" t="s">
        <v>151</v>
      </c>
      <c r="F549" s="3" t="s">
        <v>623</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c r="AW549" s="57" t="str">
        <f>+IFERROR(VLOOKUP(AV549,Deflactor!$BP$298:$BU$307,6,0),"")</f>
        <v/>
      </c>
    </row>
    <row r="550" spans="1:49" x14ac:dyDescent="0.3">
      <c r="A550" s="3">
        <v>1999</v>
      </c>
      <c r="B550" s="3" t="s">
        <v>564</v>
      </c>
      <c r="C550" s="3" t="s">
        <v>7</v>
      </c>
      <c r="D550" s="3" t="s">
        <v>25</v>
      </c>
      <c r="E550" s="3" t="s">
        <v>26</v>
      </c>
      <c r="F550" s="3" t="s">
        <v>623</v>
      </c>
      <c r="G550" s="3"/>
      <c r="H550" s="12"/>
      <c r="I550" s="13"/>
      <c r="J550" s="10"/>
      <c r="K550" s="3"/>
      <c r="L550" s="3"/>
      <c r="M550" s="3"/>
      <c r="N550" s="3"/>
      <c r="O550" s="3"/>
      <c r="P550" s="3"/>
      <c r="Q550" s="3"/>
      <c r="R550" s="3"/>
      <c r="S550" s="3"/>
      <c r="T550" s="3"/>
      <c r="U550" s="3" t="s">
        <v>564</v>
      </c>
      <c r="V550" s="3"/>
      <c r="W550" s="10" t="str">
        <f>IF( J550="s.i", "s.i", IF(ISBLANK(J550),"Actualizando información",IFERROR(J550 / VLOOKUP(A550,Deflactor!$G$3:$H$64,2,0),"Revisar error" )))</f>
        <v>Actualizando información</v>
      </c>
      <c r="AW550" s="57" t="str">
        <f>+IFERROR(VLOOKUP(AV550,Deflactor!$BP$298:$BU$307,6,0),"")</f>
        <v/>
      </c>
    </row>
    <row r="551" spans="1:49" x14ac:dyDescent="0.3">
      <c r="A551" s="3">
        <v>1999</v>
      </c>
      <c r="B551" s="3" t="s">
        <v>653</v>
      </c>
      <c r="C551" s="3" t="s">
        <v>7</v>
      </c>
      <c r="D551" s="3" t="s">
        <v>12</v>
      </c>
      <c r="E551" s="3" t="s">
        <v>13</v>
      </c>
      <c r="F551" s="3" t="s">
        <v>623</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c r="AW551" s="57" t="str">
        <f>+IFERROR(VLOOKUP(AV551,Deflactor!$BP$298:$BU$307,6,0),"")</f>
        <v/>
      </c>
    </row>
    <row r="552" spans="1:49" x14ac:dyDescent="0.3">
      <c r="A552" s="3">
        <v>1999</v>
      </c>
      <c r="B552" s="3" t="s">
        <v>654</v>
      </c>
      <c r="C552" s="3" t="s">
        <v>7</v>
      </c>
      <c r="D552" s="3" t="s">
        <v>290</v>
      </c>
      <c r="E552" s="3" t="s">
        <v>120</v>
      </c>
      <c r="F552" s="3" t="s">
        <v>623</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c r="AW552" s="57" t="str">
        <f>+IFERROR(VLOOKUP(AV552,Deflactor!$BP$298:$BU$307,6,0),"")</f>
        <v/>
      </c>
    </row>
    <row r="553" spans="1:49" x14ac:dyDescent="0.3">
      <c r="A553" s="3">
        <v>1999</v>
      </c>
      <c r="B553" s="3" t="s">
        <v>655</v>
      </c>
      <c r="C553" s="3" t="s">
        <v>7</v>
      </c>
      <c r="D553" s="3" t="s">
        <v>32</v>
      </c>
      <c r="E553" s="3" t="s">
        <v>33</v>
      </c>
      <c r="F553" s="3" t="s">
        <v>623</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c r="AW553" s="57" t="str">
        <f>+IFERROR(VLOOKUP(AV553,Deflactor!$BP$298:$BU$307,6,0),"")</f>
        <v/>
      </c>
    </row>
    <row r="554" spans="1:49" x14ac:dyDescent="0.3">
      <c r="A554" s="3">
        <v>1999</v>
      </c>
      <c r="B554" s="3" t="s">
        <v>656</v>
      </c>
      <c r="C554" s="3" t="s">
        <v>7</v>
      </c>
      <c r="D554" s="3" t="s">
        <v>54</v>
      </c>
      <c r="E554" s="3" t="s">
        <v>236</v>
      </c>
      <c r="F554" s="3" t="s">
        <v>623</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c r="AW554" s="57" t="str">
        <f>+IFERROR(VLOOKUP(AV554,Deflactor!$BP$298:$BU$307,6,0),"")</f>
        <v/>
      </c>
    </row>
    <row r="555" spans="1:49" x14ac:dyDescent="0.3">
      <c r="A555" s="3">
        <v>1999</v>
      </c>
      <c r="B555" s="3" t="s">
        <v>657</v>
      </c>
      <c r="C555" s="3" t="s">
        <v>7</v>
      </c>
      <c r="D555" s="3" t="s">
        <v>54</v>
      </c>
      <c r="E555" s="3" t="s">
        <v>236</v>
      </c>
      <c r="F555" s="3" t="s">
        <v>623</v>
      </c>
      <c r="G555" s="3"/>
      <c r="H555" s="12"/>
      <c r="I555" s="13"/>
      <c r="J555" s="10"/>
      <c r="K555" s="3" t="s">
        <v>1762</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c r="AW555" s="57" t="str">
        <f>+IFERROR(VLOOKUP(AV555,Deflactor!$BP$298:$BU$307,6,0),"")</f>
        <v/>
      </c>
    </row>
    <row r="556" spans="1:49" x14ac:dyDescent="0.3">
      <c r="A556" s="3">
        <v>1999</v>
      </c>
      <c r="B556" s="3" t="s">
        <v>658</v>
      </c>
      <c r="C556" s="3" t="s">
        <v>7</v>
      </c>
      <c r="D556" s="3" t="s">
        <v>12</v>
      </c>
      <c r="E556" s="3" t="s">
        <v>13</v>
      </c>
      <c r="F556" s="3" t="s">
        <v>623</v>
      </c>
      <c r="G556" s="3"/>
      <c r="H556" s="12"/>
      <c r="I556" s="13"/>
      <c r="J556" s="10"/>
      <c r="K556" s="3"/>
      <c r="L556" s="3"/>
      <c r="M556" s="3"/>
      <c r="N556" s="3"/>
      <c r="O556" s="3"/>
      <c r="P556" s="3"/>
      <c r="Q556" s="3"/>
      <c r="R556" s="3"/>
      <c r="S556" s="3"/>
      <c r="T556" s="3"/>
      <c r="U556" s="3" t="s">
        <v>1324</v>
      </c>
      <c r="V556" s="3"/>
      <c r="W556" s="10" t="str">
        <f>IF( J556="s.i", "s.i", IF(ISBLANK(J556),"Actualizando información",IFERROR(J556 / VLOOKUP(A556,Deflactor!$G$3:$H$64,2,0),"Revisar error" )))</f>
        <v>Actualizando información</v>
      </c>
      <c r="AW556" s="57" t="str">
        <f>+IFERROR(VLOOKUP(AV556,Deflactor!$BP$298:$BU$307,6,0),"")</f>
        <v/>
      </c>
    </row>
    <row r="557" spans="1:49" x14ac:dyDescent="0.3">
      <c r="A557" s="3">
        <v>1999</v>
      </c>
      <c r="B557" s="3" t="s">
        <v>659</v>
      </c>
      <c r="C557" s="3" t="s">
        <v>7</v>
      </c>
      <c r="D557" s="3" t="s">
        <v>12</v>
      </c>
      <c r="E557" s="3" t="s">
        <v>403</v>
      </c>
      <c r="F557" s="3" t="s">
        <v>623</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c r="AW557" s="57" t="str">
        <f>+IFERROR(VLOOKUP(AV557,Deflactor!$BP$298:$BU$307,6,0),"")</f>
        <v/>
      </c>
    </row>
    <row r="558" spans="1:49" x14ac:dyDescent="0.3">
      <c r="A558" s="3">
        <v>1998</v>
      </c>
      <c r="B558" s="3" t="s">
        <v>660</v>
      </c>
      <c r="C558" s="3" t="s">
        <v>7</v>
      </c>
      <c r="D558" s="3" t="s">
        <v>12</v>
      </c>
      <c r="E558" s="3" t="s">
        <v>13</v>
      </c>
      <c r="F558" s="3" t="s">
        <v>623</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c r="AW558" s="57" t="str">
        <f>+IFERROR(VLOOKUP(AV558,Deflactor!$BP$298:$BU$307,6,0),"")</f>
        <v/>
      </c>
    </row>
    <row r="559" spans="1:49" x14ac:dyDescent="0.3">
      <c r="A559" s="3">
        <v>1998</v>
      </c>
      <c r="B559" s="3" t="s">
        <v>661</v>
      </c>
      <c r="C559" s="3" t="s">
        <v>7</v>
      </c>
      <c r="D559" s="3" t="s">
        <v>32</v>
      </c>
      <c r="E559" s="3" t="s">
        <v>33</v>
      </c>
      <c r="F559" s="3" t="s">
        <v>623</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c r="AW559" s="57" t="str">
        <f>+IFERROR(VLOOKUP(AV559,Deflactor!$BP$298:$BU$307,6,0),"")</f>
        <v/>
      </c>
    </row>
    <row r="560" spans="1:49" x14ac:dyDescent="0.3">
      <c r="A560" s="3">
        <v>1998</v>
      </c>
      <c r="B560" s="3" t="s">
        <v>662</v>
      </c>
      <c r="C560" s="3" t="s">
        <v>7</v>
      </c>
      <c r="D560" s="3" t="s">
        <v>233</v>
      </c>
      <c r="E560" s="3" t="s">
        <v>344</v>
      </c>
      <c r="F560" s="3" t="s">
        <v>623</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c r="AW560" s="57" t="str">
        <f>+IFERROR(VLOOKUP(AV560,Deflactor!$BP$298:$BU$307,6,0),"")</f>
        <v/>
      </c>
    </row>
    <row r="561" spans="1:49" x14ac:dyDescent="0.3">
      <c r="A561" s="3">
        <v>1998</v>
      </c>
      <c r="B561" s="3" t="s">
        <v>663</v>
      </c>
      <c r="C561" s="3" t="s">
        <v>7</v>
      </c>
      <c r="D561" s="3" t="s">
        <v>290</v>
      </c>
      <c r="E561" s="3" t="s">
        <v>291</v>
      </c>
      <c r="F561" s="3" t="s">
        <v>623</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c r="AW561" s="57" t="str">
        <f>+IFERROR(VLOOKUP(AV561,Deflactor!$BP$298:$BU$307,6,0),"")</f>
        <v/>
      </c>
    </row>
    <row r="562" spans="1:49" x14ac:dyDescent="0.3">
      <c r="A562" s="3">
        <v>1998</v>
      </c>
      <c r="B562" s="3" t="s">
        <v>586</v>
      </c>
      <c r="C562" s="3" t="s">
        <v>7</v>
      </c>
      <c r="D562" s="3" t="s">
        <v>290</v>
      </c>
      <c r="E562" s="3" t="s">
        <v>120</v>
      </c>
      <c r="F562" s="3" t="s">
        <v>623</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c r="AW562" s="57" t="str">
        <f>+IFERROR(VLOOKUP(AV562,Deflactor!$BP$298:$BU$307,6,0),"")</f>
        <v/>
      </c>
    </row>
    <row r="563" spans="1:49" x14ac:dyDescent="0.3">
      <c r="A563" s="3">
        <v>1998</v>
      </c>
      <c r="B563" s="3" t="s">
        <v>664</v>
      </c>
      <c r="C563" s="3" t="s">
        <v>7</v>
      </c>
      <c r="D563" s="3" t="s">
        <v>290</v>
      </c>
      <c r="E563" s="3" t="s">
        <v>120</v>
      </c>
      <c r="F563" s="3" t="s">
        <v>623</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c r="AW563" s="57" t="str">
        <f>+IFERROR(VLOOKUP(AV563,Deflactor!$BP$298:$BU$307,6,0),"")</f>
        <v/>
      </c>
    </row>
    <row r="564" spans="1:49" x14ac:dyDescent="0.3">
      <c r="A564" s="3">
        <v>1998</v>
      </c>
      <c r="B564" s="3" t="s">
        <v>393</v>
      </c>
      <c r="C564" s="3" t="s">
        <v>7</v>
      </c>
      <c r="D564" s="3" t="s">
        <v>290</v>
      </c>
      <c r="E564" s="3" t="s">
        <v>21</v>
      </c>
      <c r="F564" s="3" t="s">
        <v>623</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c r="AW564" s="57" t="str">
        <f>+IFERROR(VLOOKUP(AV564,Deflactor!$BP$298:$BU$307,6,0),"")</f>
        <v/>
      </c>
    </row>
    <row r="565" spans="1:49" x14ac:dyDescent="0.3">
      <c r="A565" s="3">
        <v>1998</v>
      </c>
      <c r="B565" s="3" t="s">
        <v>665</v>
      </c>
      <c r="C565" s="3" t="s">
        <v>7</v>
      </c>
      <c r="D565" s="3" t="s">
        <v>290</v>
      </c>
      <c r="E565" s="3" t="s">
        <v>395</v>
      </c>
      <c r="F565" s="3" t="s">
        <v>623</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c r="AW565" s="57" t="str">
        <f>+IFERROR(VLOOKUP(AV565,Deflactor!$BP$298:$BU$307,6,0),"")</f>
        <v/>
      </c>
    </row>
    <row r="566" spans="1:49" x14ac:dyDescent="0.3">
      <c r="A566" s="3">
        <v>1998</v>
      </c>
      <c r="B566" s="3" t="s">
        <v>208</v>
      </c>
      <c r="C566" s="3" t="s">
        <v>7</v>
      </c>
      <c r="D566" s="3" t="s">
        <v>40</v>
      </c>
      <c r="E566" s="3" t="s">
        <v>160</v>
      </c>
      <c r="F566" s="3" t="s">
        <v>623</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c r="AW566" s="57" t="str">
        <f>+IFERROR(VLOOKUP(AV566,Deflactor!$BP$298:$BU$307,6,0),"")</f>
        <v/>
      </c>
    </row>
    <row r="567" spans="1:49" x14ac:dyDescent="0.3">
      <c r="A567" s="3">
        <v>1998</v>
      </c>
      <c r="B567" s="3" t="s">
        <v>666</v>
      </c>
      <c r="C567" s="3" t="s">
        <v>7</v>
      </c>
      <c r="D567" s="3" t="s">
        <v>36</v>
      </c>
      <c r="E567" s="3" t="s">
        <v>68</v>
      </c>
      <c r="F567" s="3" t="s">
        <v>623</v>
      </c>
      <c r="G567" s="3"/>
      <c r="H567" s="12"/>
      <c r="I567" s="13"/>
      <c r="J567" s="10"/>
      <c r="K567" s="3"/>
      <c r="L567" s="3"/>
      <c r="M567" s="3"/>
      <c r="N567" s="3"/>
      <c r="O567" s="3"/>
      <c r="P567" s="3"/>
      <c r="Q567" s="3"/>
      <c r="R567" s="3"/>
      <c r="S567" s="3"/>
      <c r="T567" s="3"/>
      <c r="U567" s="3" t="s">
        <v>1147</v>
      </c>
      <c r="V567" s="3"/>
      <c r="W567" s="10" t="str">
        <f>IF( J567="s.i", "s.i", IF(ISBLANK(J567),"Actualizando información",IFERROR(J567 / VLOOKUP(A567,Deflactor!$G$3:$H$64,2,0),"Revisar error" )))</f>
        <v>Actualizando información</v>
      </c>
      <c r="AW567" s="57" t="str">
        <f>+IFERROR(VLOOKUP(AV567,Deflactor!$BP$298:$BU$307,6,0),"")</f>
        <v/>
      </c>
    </row>
    <row r="568" spans="1:49" x14ac:dyDescent="0.3">
      <c r="A568" s="3">
        <v>1998</v>
      </c>
      <c r="B568" s="3" t="s">
        <v>667</v>
      </c>
      <c r="C568" s="3" t="s">
        <v>7</v>
      </c>
      <c r="D568" s="3" t="s">
        <v>25</v>
      </c>
      <c r="E568" s="3" t="s">
        <v>26</v>
      </c>
      <c r="F568" s="3" t="s">
        <v>623</v>
      </c>
      <c r="G568" s="3"/>
      <c r="H568" s="12"/>
      <c r="I568" s="13"/>
      <c r="J568" s="10"/>
      <c r="K568" s="3" t="s">
        <v>2302</v>
      </c>
      <c r="L568" s="3"/>
      <c r="M568" s="3"/>
      <c r="N568" s="3"/>
      <c r="O568" s="3"/>
      <c r="P568" s="3"/>
      <c r="Q568" s="3"/>
      <c r="R568" s="3"/>
      <c r="S568" s="3"/>
      <c r="T568" s="3"/>
      <c r="U568" s="3"/>
      <c r="V568" s="3"/>
      <c r="W568" s="10" t="str">
        <f>IF( J568="s.i", "s.i", IF(ISBLANK(J568),"Actualizando información",IFERROR(J568 / VLOOKUP(A568,Deflactor!$G$3:$H$64,2,0),"Revisar error" )))</f>
        <v>Actualizando información</v>
      </c>
      <c r="AW568" s="57" t="str">
        <f>+IFERROR(VLOOKUP(AV568,Deflactor!$BP$298:$BU$307,6,0),"")</f>
        <v/>
      </c>
    </row>
    <row r="569" spans="1:49" x14ac:dyDescent="0.3">
      <c r="A569" s="3">
        <v>1998</v>
      </c>
      <c r="B569" s="3" t="s">
        <v>668</v>
      </c>
      <c r="C569" s="3" t="s">
        <v>7</v>
      </c>
      <c r="D569" s="3" t="s">
        <v>12</v>
      </c>
      <c r="E569" s="3" t="s">
        <v>403</v>
      </c>
      <c r="F569" s="3" t="s">
        <v>623</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c r="AW569" s="57" t="str">
        <f>+IFERROR(VLOOKUP(AV569,Deflactor!$BP$298:$BU$307,6,0),"")</f>
        <v/>
      </c>
    </row>
    <row r="570" spans="1:49" x14ac:dyDescent="0.3">
      <c r="A570" s="3">
        <v>1998</v>
      </c>
      <c r="B570" s="3" t="s">
        <v>669</v>
      </c>
      <c r="C570" s="3" t="s">
        <v>7</v>
      </c>
      <c r="D570" s="3" t="s">
        <v>12</v>
      </c>
      <c r="E570" s="3" t="s">
        <v>403</v>
      </c>
      <c r="F570" s="3" t="s">
        <v>623</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c r="AW570" s="57" t="str">
        <f>+IFERROR(VLOOKUP(AV570,Deflactor!$BP$298:$BU$307,6,0),"")</f>
        <v/>
      </c>
    </row>
    <row r="571" spans="1:49" x14ac:dyDescent="0.3">
      <c r="A571" s="3">
        <v>1998</v>
      </c>
      <c r="B571" s="3" t="s">
        <v>343</v>
      </c>
      <c r="C571" s="3" t="s">
        <v>7</v>
      </c>
      <c r="D571" s="3" t="s">
        <v>233</v>
      </c>
      <c r="E571" s="3" t="s">
        <v>344</v>
      </c>
      <c r="F571" s="3" t="s">
        <v>623</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c r="AW571" s="57" t="str">
        <f>+IFERROR(VLOOKUP(AV571,Deflactor!$BP$298:$BU$307,6,0),"")</f>
        <v/>
      </c>
    </row>
    <row r="572" spans="1:49" x14ac:dyDescent="0.3">
      <c r="A572" s="3">
        <v>1998</v>
      </c>
      <c r="B572" s="3" t="s">
        <v>670</v>
      </c>
      <c r="C572" s="3" t="s">
        <v>7</v>
      </c>
      <c r="D572" s="3" t="s">
        <v>233</v>
      </c>
      <c r="E572" s="3" t="s">
        <v>234</v>
      </c>
      <c r="F572" s="3" t="s">
        <v>623</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c r="AW572" s="57" t="str">
        <f>+IFERROR(VLOOKUP(AV572,Deflactor!$BP$298:$BU$307,6,0),"")</f>
        <v/>
      </c>
    </row>
    <row r="573" spans="1:49" x14ac:dyDescent="0.3">
      <c r="A573" s="3">
        <v>1998</v>
      </c>
      <c r="B573" s="3" t="s">
        <v>671</v>
      </c>
      <c r="C573" s="3" t="s">
        <v>7</v>
      </c>
      <c r="D573" s="3" t="s">
        <v>32</v>
      </c>
      <c r="E573" s="3" t="s">
        <v>33</v>
      </c>
      <c r="F573" s="3" t="s">
        <v>623</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c r="AW573" s="57" t="str">
        <f>+IFERROR(VLOOKUP(AV573,Deflactor!$BP$298:$BU$307,6,0),"")</f>
        <v/>
      </c>
    </row>
    <row r="574" spans="1:49" x14ac:dyDescent="0.3">
      <c r="A574" s="3">
        <v>1998</v>
      </c>
      <c r="B574" s="3" t="s">
        <v>672</v>
      </c>
      <c r="C574" s="3" t="s">
        <v>7</v>
      </c>
      <c r="D574" s="3" t="s">
        <v>54</v>
      </c>
      <c r="E574" s="3" t="s">
        <v>55</v>
      </c>
      <c r="F574" s="3" t="s">
        <v>623</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c r="AW574" s="57" t="str">
        <f>+IFERROR(VLOOKUP(AV574,Deflactor!$BP$298:$BU$307,6,0),"")</f>
        <v/>
      </c>
    </row>
    <row r="575" spans="1:49" x14ac:dyDescent="0.3">
      <c r="A575" s="3">
        <v>1998</v>
      </c>
      <c r="B575" s="3" t="s">
        <v>673</v>
      </c>
      <c r="C575" s="3" t="s">
        <v>7</v>
      </c>
      <c r="D575" s="3" t="s">
        <v>8</v>
      </c>
      <c r="E575" s="3" t="s">
        <v>51</v>
      </c>
      <c r="F575" s="3" t="s">
        <v>623</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c r="AW575" s="57" t="str">
        <f>+IFERROR(VLOOKUP(AV575,Deflactor!$BP$298:$BU$307,6,0),"")</f>
        <v/>
      </c>
    </row>
    <row r="576" spans="1:49" x14ac:dyDescent="0.3">
      <c r="A576" s="3">
        <v>1998</v>
      </c>
      <c r="B576" s="3" t="s">
        <v>674</v>
      </c>
      <c r="C576" s="3" t="s">
        <v>7</v>
      </c>
      <c r="D576" s="3" t="s">
        <v>71</v>
      </c>
      <c r="E576" s="3" t="s">
        <v>167</v>
      </c>
      <c r="F576" s="3" t="s">
        <v>623</v>
      </c>
      <c r="G576" s="3"/>
      <c r="H576" s="12"/>
      <c r="I576" s="13"/>
      <c r="J576" s="10"/>
      <c r="K576" s="3" t="s">
        <v>2167</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c r="AW576" s="57" t="str">
        <f>+IFERROR(VLOOKUP(AV576,Deflactor!$BP$298:$BU$307,6,0),"")</f>
        <v/>
      </c>
    </row>
    <row r="577" spans="1:49" x14ac:dyDescent="0.3">
      <c r="A577" s="3">
        <v>1998</v>
      </c>
      <c r="B577" s="3" t="s">
        <v>675</v>
      </c>
      <c r="C577" s="3" t="s">
        <v>7</v>
      </c>
      <c r="D577" s="3" t="s">
        <v>444</v>
      </c>
      <c r="E577" s="3" t="s">
        <v>639</v>
      </c>
      <c r="F577" s="3" t="s">
        <v>623</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c r="AW577" s="57" t="str">
        <f>+IFERROR(VLOOKUP(AV577,Deflactor!$BP$298:$BU$307,6,0),"")</f>
        <v/>
      </c>
    </row>
    <row r="578" spans="1:49" x14ac:dyDescent="0.3">
      <c r="A578" s="3">
        <v>1998</v>
      </c>
      <c r="B578" s="3" t="s">
        <v>436</v>
      </c>
      <c r="C578" s="3" t="s">
        <v>7</v>
      </c>
      <c r="D578" s="3" t="s">
        <v>444</v>
      </c>
      <c r="E578" s="3" t="s">
        <v>544</v>
      </c>
      <c r="F578" s="3" t="s">
        <v>623</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c r="AW578" s="57" t="str">
        <f>+IFERROR(VLOOKUP(AV578,Deflactor!$BP$298:$BU$307,6,0),"")</f>
        <v/>
      </c>
    </row>
    <row r="579" spans="1:49" x14ac:dyDescent="0.3">
      <c r="A579" s="3">
        <v>1998</v>
      </c>
      <c r="B579" s="3" t="s">
        <v>676</v>
      </c>
      <c r="C579" s="3" t="s">
        <v>7</v>
      </c>
      <c r="D579" s="3" t="s">
        <v>25</v>
      </c>
      <c r="E579" s="3" t="s">
        <v>26</v>
      </c>
      <c r="F579" s="3" t="s">
        <v>623</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c r="AW579" s="57" t="str">
        <f>+IFERROR(VLOOKUP(AV579,Deflactor!$BP$298:$BU$307,6,0),"")</f>
        <v/>
      </c>
    </row>
    <row r="580" spans="1:49" x14ac:dyDescent="0.3">
      <c r="A580" s="3">
        <v>1998</v>
      </c>
      <c r="B580" s="3" t="s">
        <v>677</v>
      </c>
      <c r="C580" s="3" t="s">
        <v>7</v>
      </c>
      <c r="D580" s="3" t="s">
        <v>12</v>
      </c>
      <c r="E580" s="3" t="s">
        <v>403</v>
      </c>
      <c r="F580" s="3" t="s">
        <v>623</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c r="AW580" s="57" t="str">
        <f>+IFERROR(VLOOKUP(AV580,Deflactor!$BP$298:$BU$307,6,0),"")</f>
        <v/>
      </c>
    </row>
    <row r="581" spans="1:49" x14ac:dyDescent="0.3">
      <c r="A581" s="3">
        <v>1998</v>
      </c>
      <c r="B581" s="3" t="s">
        <v>678</v>
      </c>
      <c r="C581" s="3" t="s">
        <v>7</v>
      </c>
      <c r="D581" s="3" t="s">
        <v>45</v>
      </c>
      <c r="E581" s="3" t="s">
        <v>184</v>
      </c>
      <c r="F581" s="3" t="s">
        <v>623</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c r="AW581" s="57" t="str">
        <f>+IFERROR(VLOOKUP(AV581,Deflactor!$BP$298:$BU$307,6,0),"")</f>
        <v/>
      </c>
    </row>
    <row r="582" spans="1:49" x14ac:dyDescent="0.3">
      <c r="A582" s="3">
        <v>1998</v>
      </c>
      <c r="B582" s="3" t="s">
        <v>515</v>
      </c>
      <c r="C582" s="3" t="s">
        <v>7</v>
      </c>
      <c r="D582" s="3" t="s">
        <v>25</v>
      </c>
      <c r="E582" s="3" t="s">
        <v>409</v>
      </c>
      <c r="F582" s="3" t="s">
        <v>623</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c r="AW582" s="57" t="str">
        <f>+IFERROR(VLOOKUP(AV582,Deflactor!$BP$298:$BU$307,6,0),"")</f>
        <v/>
      </c>
    </row>
    <row r="583" spans="1:49" x14ac:dyDescent="0.3">
      <c r="A583" s="3">
        <v>1998</v>
      </c>
      <c r="B583" s="3" t="s">
        <v>679</v>
      </c>
      <c r="C583" s="3" t="s">
        <v>7</v>
      </c>
      <c r="D583" s="3" t="s">
        <v>25</v>
      </c>
      <c r="E583" s="3" t="s">
        <v>26</v>
      </c>
      <c r="F583" s="3" t="s">
        <v>623</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c r="AW583" s="57" t="str">
        <f>+IFERROR(VLOOKUP(AV583,Deflactor!$BP$298:$BU$307,6,0),"")</f>
        <v/>
      </c>
    </row>
    <row r="584" spans="1:49" x14ac:dyDescent="0.3">
      <c r="A584" s="3">
        <v>1998</v>
      </c>
      <c r="B584" s="3" t="s">
        <v>680</v>
      </c>
      <c r="C584" s="3" t="s">
        <v>7</v>
      </c>
      <c r="D584" s="3" t="s">
        <v>25</v>
      </c>
      <c r="E584" s="3" t="s">
        <v>26</v>
      </c>
      <c r="F584" s="3" t="s">
        <v>623</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c r="AW584" s="57" t="str">
        <f>+IFERROR(VLOOKUP(AV584,Deflactor!$BP$298:$BU$307,6,0),"")</f>
        <v/>
      </c>
    </row>
    <row r="585" spans="1:49" x14ac:dyDescent="0.3">
      <c r="A585" s="3">
        <v>1998</v>
      </c>
      <c r="B585" s="3" t="s">
        <v>681</v>
      </c>
      <c r="C585" s="3" t="s">
        <v>7</v>
      </c>
      <c r="D585" s="3" t="s">
        <v>36</v>
      </c>
      <c r="E585" s="3" t="s">
        <v>37</v>
      </c>
      <c r="F585" s="3" t="s">
        <v>623</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c r="AW585" s="57" t="str">
        <f>+IFERROR(VLOOKUP(AV585,Deflactor!$BP$298:$BU$307,6,0),"")</f>
        <v/>
      </c>
    </row>
    <row r="586" spans="1:49" x14ac:dyDescent="0.3">
      <c r="A586" s="3">
        <v>1998</v>
      </c>
      <c r="B586" s="3" t="s">
        <v>682</v>
      </c>
      <c r="C586" s="3" t="s">
        <v>7</v>
      </c>
      <c r="D586" s="3" t="s">
        <v>36</v>
      </c>
      <c r="E586" s="3" t="s">
        <v>94</v>
      </c>
      <c r="F586" s="3" t="s">
        <v>623</v>
      </c>
      <c r="G586" s="3"/>
      <c r="H586" s="12"/>
      <c r="I586" s="13"/>
      <c r="J586" s="10"/>
      <c r="K586" s="3"/>
      <c r="L586" s="3"/>
      <c r="M586" s="3"/>
      <c r="N586" s="3"/>
      <c r="O586" s="3"/>
      <c r="P586" s="3"/>
      <c r="Q586" s="3"/>
      <c r="R586" s="3"/>
      <c r="S586" s="3"/>
      <c r="T586" s="3"/>
      <c r="U586" s="3" t="s">
        <v>1149</v>
      </c>
      <c r="V586" s="3"/>
      <c r="W586" s="10" t="str">
        <f>IF( J586="s.i", "s.i", IF(ISBLANK(J586),"Actualizando información",IFERROR(J586 / VLOOKUP(A586,Deflactor!$G$3:$H$64,2,0),"Revisar error" )))</f>
        <v>Actualizando información</v>
      </c>
      <c r="AW586" s="57" t="str">
        <f>+IFERROR(VLOOKUP(AV586,Deflactor!$BP$298:$BU$307,6,0),"")</f>
        <v/>
      </c>
    </row>
    <row r="587" spans="1:49" x14ac:dyDescent="0.3">
      <c r="A587" s="3">
        <v>1998</v>
      </c>
      <c r="B587" s="3" t="s">
        <v>683</v>
      </c>
      <c r="C587" s="3" t="s">
        <v>7</v>
      </c>
      <c r="D587" s="3" t="s">
        <v>36</v>
      </c>
      <c r="E587" s="3" t="s">
        <v>98</v>
      </c>
      <c r="F587" s="3" t="s">
        <v>623</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c r="AW587" s="57" t="str">
        <f>+IFERROR(VLOOKUP(AV587,Deflactor!$BP$298:$BU$307,6,0),"")</f>
        <v/>
      </c>
    </row>
    <row r="588" spans="1:49" x14ac:dyDescent="0.3">
      <c r="A588" s="3">
        <v>1998</v>
      </c>
      <c r="B588" s="3" t="s">
        <v>684</v>
      </c>
      <c r="C588" s="3" t="s">
        <v>7</v>
      </c>
      <c r="D588" s="3" t="s">
        <v>36</v>
      </c>
      <c r="E588" s="3" t="s">
        <v>98</v>
      </c>
      <c r="F588" s="3" t="s">
        <v>623</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c r="AW588" s="57" t="str">
        <f>+IFERROR(VLOOKUP(AV588,Deflactor!$BP$298:$BU$307,6,0),"")</f>
        <v/>
      </c>
    </row>
    <row r="589" spans="1:49" x14ac:dyDescent="0.3">
      <c r="A589" s="3">
        <v>1998</v>
      </c>
      <c r="B589" s="3" t="s">
        <v>685</v>
      </c>
      <c r="C589" s="3" t="s">
        <v>7</v>
      </c>
      <c r="D589" s="3" t="s">
        <v>40</v>
      </c>
      <c r="E589" s="3" t="s">
        <v>41</v>
      </c>
      <c r="F589" s="3" t="s">
        <v>623</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c r="AW589" s="57" t="str">
        <f>+IFERROR(VLOOKUP(AV589,Deflactor!$BP$298:$BU$307,6,0),"")</f>
        <v/>
      </c>
    </row>
    <row r="590" spans="1:49" x14ac:dyDescent="0.3">
      <c r="A590" s="3">
        <v>1998</v>
      </c>
      <c r="B590" s="3" t="s">
        <v>686</v>
      </c>
      <c r="C590" s="3" t="s">
        <v>7</v>
      </c>
      <c r="D590" s="3" t="s">
        <v>40</v>
      </c>
      <c r="E590" s="3" t="s">
        <v>41</v>
      </c>
      <c r="F590" s="3" t="s">
        <v>623</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c r="AW590" s="57" t="str">
        <f>+IFERROR(VLOOKUP(AV590,Deflactor!$BP$298:$BU$307,6,0),"")</f>
        <v/>
      </c>
    </row>
    <row r="591" spans="1:49" x14ac:dyDescent="0.3">
      <c r="A591" s="3">
        <v>1998</v>
      </c>
      <c r="B591" s="3" t="s">
        <v>687</v>
      </c>
      <c r="C591" s="3" t="s">
        <v>7</v>
      </c>
      <c r="D591" s="3" t="s">
        <v>40</v>
      </c>
      <c r="E591" s="3" t="s">
        <v>41</v>
      </c>
      <c r="F591" s="3" t="s">
        <v>623</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c r="AW591" s="57" t="str">
        <f>+IFERROR(VLOOKUP(AV591,Deflactor!$BP$298:$BU$307,6,0),"")</f>
        <v/>
      </c>
    </row>
    <row r="592" spans="1:49" x14ac:dyDescent="0.3">
      <c r="A592" s="3">
        <v>1998</v>
      </c>
      <c r="B592" s="3" t="s">
        <v>688</v>
      </c>
      <c r="C592" s="3" t="s">
        <v>7</v>
      </c>
      <c r="D592" s="3" t="s">
        <v>36</v>
      </c>
      <c r="E592" s="3" t="s">
        <v>81</v>
      </c>
      <c r="F592" s="3" t="s">
        <v>623</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c r="AW592" s="57" t="str">
        <f>+IFERROR(VLOOKUP(AV592,Deflactor!$BP$298:$BU$307,6,0),"")</f>
        <v/>
      </c>
    </row>
    <row r="593" spans="1:49" x14ac:dyDescent="0.3">
      <c r="A593" s="3">
        <v>1998</v>
      </c>
      <c r="B593" s="3" t="s">
        <v>689</v>
      </c>
      <c r="C593" s="3" t="s">
        <v>7</v>
      </c>
      <c r="D593" s="3" t="s">
        <v>36</v>
      </c>
      <c r="E593" s="3" t="s">
        <v>98</v>
      </c>
      <c r="F593" s="3" t="s">
        <v>623</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c r="AW593" s="57" t="str">
        <f>+IFERROR(VLOOKUP(AV593,Deflactor!$BP$298:$BU$307,6,0),"")</f>
        <v/>
      </c>
    </row>
    <row r="594" spans="1:49" x14ac:dyDescent="0.3">
      <c r="A594" s="3">
        <v>1998</v>
      </c>
      <c r="B594" s="3" t="s">
        <v>690</v>
      </c>
      <c r="C594" s="3" t="s">
        <v>7</v>
      </c>
      <c r="D594" s="3" t="s">
        <v>40</v>
      </c>
      <c r="E594" s="3" t="s">
        <v>41</v>
      </c>
      <c r="F594" s="3" t="s">
        <v>623</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c r="AW594" s="57" t="str">
        <f>+IFERROR(VLOOKUP(AV594,Deflactor!$BP$298:$BU$307,6,0),"")</f>
        <v/>
      </c>
    </row>
    <row r="595" spans="1:49" x14ac:dyDescent="0.3">
      <c r="A595" s="3">
        <v>1998</v>
      </c>
      <c r="B595" s="3" t="s">
        <v>691</v>
      </c>
      <c r="C595" s="3" t="s">
        <v>7</v>
      </c>
      <c r="D595" s="3" t="s">
        <v>8</v>
      </c>
      <c r="E595" s="3" t="s">
        <v>692</v>
      </c>
      <c r="F595" s="3" t="s">
        <v>623</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c r="AW595" s="57" t="str">
        <f>+IFERROR(VLOOKUP(AV595,Deflactor!$BP$298:$BU$307,6,0),"")</f>
        <v/>
      </c>
    </row>
    <row r="596" spans="1:49" x14ac:dyDescent="0.3">
      <c r="A596" s="3">
        <v>1998</v>
      </c>
      <c r="B596" s="3" t="s">
        <v>693</v>
      </c>
      <c r="C596" s="3" t="s">
        <v>7</v>
      </c>
      <c r="D596" s="3" t="s">
        <v>8</v>
      </c>
      <c r="E596" s="3" t="s">
        <v>51</v>
      </c>
      <c r="F596" s="3" t="s">
        <v>623</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c r="AW596" s="57" t="str">
        <f>+IFERROR(VLOOKUP(AV596,Deflactor!$BP$298:$BU$307,6,0),"")</f>
        <v/>
      </c>
    </row>
    <row r="597" spans="1:49" x14ac:dyDescent="0.3">
      <c r="A597" s="3">
        <v>1998</v>
      </c>
      <c r="B597" s="3" t="s">
        <v>662</v>
      </c>
      <c r="C597" s="3" t="s">
        <v>7</v>
      </c>
      <c r="D597" s="3" t="s">
        <v>64</v>
      </c>
      <c r="E597" s="3" t="s">
        <v>570</v>
      </c>
      <c r="F597" s="3" t="s">
        <v>623</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c r="AW597" s="57" t="str">
        <f>+IFERROR(VLOOKUP(AV597,Deflactor!$BP$298:$BU$307,6,0),"")</f>
        <v/>
      </c>
    </row>
    <row r="598" spans="1:49" x14ac:dyDescent="0.3">
      <c r="A598" s="3">
        <v>1998</v>
      </c>
      <c r="B598" s="3" t="s">
        <v>694</v>
      </c>
      <c r="C598" s="3" t="s">
        <v>7</v>
      </c>
      <c r="D598" s="3" t="s">
        <v>64</v>
      </c>
      <c r="E598" s="3" t="s">
        <v>65</v>
      </c>
      <c r="F598" s="3" t="s">
        <v>623</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c r="AW598" s="57" t="str">
        <f>+IFERROR(VLOOKUP(AV598,Deflactor!$BP$298:$BU$307,6,0),"")</f>
        <v/>
      </c>
    </row>
    <row r="599" spans="1:49" x14ac:dyDescent="0.3">
      <c r="A599" s="3">
        <v>1998</v>
      </c>
      <c r="B599" s="3" t="s">
        <v>695</v>
      </c>
      <c r="C599" s="3" t="s">
        <v>7</v>
      </c>
      <c r="D599" s="3" t="s">
        <v>54</v>
      </c>
      <c r="E599" s="3" t="s">
        <v>243</v>
      </c>
      <c r="F599" s="3" t="s">
        <v>623</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c r="AW599" s="57" t="str">
        <f>+IFERROR(VLOOKUP(AV599,Deflactor!$BP$298:$BU$307,6,0),"")</f>
        <v/>
      </c>
    </row>
    <row r="600" spans="1:49" x14ac:dyDescent="0.3">
      <c r="A600" s="3">
        <v>1998</v>
      </c>
      <c r="B600" s="3" t="s">
        <v>696</v>
      </c>
      <c r="C600" s="3" t="s">
        <v>7</v>
      </c>
      <c r="D600" s="3" t="s">
        <v>54</v>
      </c>
      <c r="E600" s="3" t="s">
        <v>645</v>
      </c>
      <c r="F600" s="3" t="s">
        <v>623</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c r="AW600" s="57" t="str">
        <f>+IFERROR(VLOOKUP(AV600,Deflactor!$BP$298:$BU$307,6,0),"")</f>
        <v/>
      </c>
    </row>
    <row r="601" spans="1:49" x14ac:dyDescent="0.3">
      <c r="A601" s="3">
        <v>1998</v>
      </c>
      <c r="B601" s="3" t="s">
        <v>697</v>
      </c>
      <c r="C601" s="3" t="s">
        <v>7</v>
      </c>
      <c r="D601" s="3" t="s">
        <v>54</v>
      </c>
      <c r="E601" s="3" t="s">
        <v>236</v>
      </c>
      <c r="F601" s="3" t="s">
        <v>623</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c r="AW601" s="57" t="str">
        <f>+IFERROR(VLOOKUP(AV601,Deflactor!$BP$298:$BU$307,6,0),"")</f>
        <v/>
      </c>
    </row>
    <row r="602" spans="1:49" x14ac:dyDescent="0.3">
      <c r="A602" s="3">
        <v>1998</v>
      </c>
      <c r="B602" s="3" t="s">
        <v>698</v>
      </c>
      <c r="C602" s="3" t="s">
        <v>7</v>
      </c>
      <c r="D602" s="3" t="s">
        <v>32</v>
      </c>
      <c r="E602" s="3" t="s">
        <v>33</v>
      </c>
      <c r="F602" s="3" t="s">
        <v>623</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c r="AW602" s="57" t="str">
        <f>+IFERROR(VLOOKUP(AV602,Deflactor!$BP$298:$BU$307,6,0),"")</f>
        <v/>
      </c>
    </row>
    <row r="603" spans="1:49" x14ac:dyDescent="0.3">
      <c r="A603" s="3">
        <v>1997</v>
      </c>
      <c r="B603" s="3" t="s">
        <v>699</v>
      </c>
      <c r="C603" s="3" t="s">
        <v>7</v>
      </c>
      <c r="D603" s="3" t="s">
        <v>8</v>
      </c>
      <c r="E603" s="3" t="s">
        <v>51</v>
      </c>
      <c r="F603" s="3" t="s">
        <v>623</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c r="AW603" s="57" t="str">
        <f>+IFERROR(VLOOKUP(AV603,Deflactor!$BP$298:$BU$307,6,0),"")</f>
        <v/>
      </c>
    </row>
    <row r="604" spans="1:49" x14ac:dyDescent="0.3">
      <c r="A604" s="3">
        <v>1997</v>
      </c>
      <c r="B604" s="3" t="s">
        <v>700</v>
      </c>
      <c r="C604" s="3" t="s">
        <v>7</v>
      </c>
      <c r="D604" s="3" t="s">
        <v>71</v>
      </c>
      <c r="E604" s="3" t="s">
        <v>167</v>
      </c>
      <c r="F604" s="3" t="s">
        <v>623</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c r="AW604" s="57" t="str">
        <f>+IFERROR(VLOOKUP(AV604,Deflactor!$BP$298:$BU$307,6,0),"")</f>
        <v/>
      </c>
    </row>
    <row r="605" spans="1:49" x14ac:dyDescent="0.3">
      <c r="A605" s="3">
        <v>1997</v>
      </c>
      <c r="B605" s="3" t="s">
        <v>701</v>
      </c>
      <c r="C605" s="3" t="s">
        <v>7</v>
      </c>
      <c r="D605" s="3" t="s">
        <v>36</v>
      </c>
      <c r="E605" s="3" t="s">
        <v>81</v>
      </c>
      <c r="F605" s="3" t="s">
        <v>623</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c r="AW605" s="57" t="str">
        <f>+IFERROR(VLOOKUP(AV605,Deflactor!$BP$298:$BU$307,6,0),"")</f>
        <v/>
      </c>
    </row>
    <row r="606" spans="1:49" x14ac:dyDescent="0.3">
      <c r="A606" s="3">
        <v>1997</v>
      </c>
      <c r="B606" s="3" t="s">
        <v>702</v>
      </c>
      <c r="C606" s="3" t="s">
        <v>7</v>
      </c>
      <c r="D606" s="3" t="s">
        <v>36</v>
      </c>
      <c r="E606" s="3" t="s">
        <v>37</v>
      </c>
      <c r="F606" s="3" t="s">
        <v>623</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c r="AW606" s="57" t="str">
        <f>+IFERROR(VLOOKUP(AV606,Deflactor!$BP$298:$BU$307,6,0),"")</f>
        <v/>
      </c>
    </row>
    <row r="607" spans="1:49" x14ac:dyDescent="0.3">
      <c r="A607" s="3">
        <v>1997</v>
      </c>
      <c r="B607" s="3" t="s">
        <v>616</v>
      </c>
      <c r="C607" s="3" t="s">
        <v>7</v>
      </c>
      <c r="D607" s="3" t="s">
        <v>36</v>
      </c>
      <c r="E607" s="3" t="s">
        <v>37</v>
      </c>
      <c r="F607" s="3" t="s">
        <v>623</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c r="AW607" s="57" t="str">
        <f>+IFERROR(VLOOKUP(AV607,Deflactor!$BP$298:$BU$307,6,0),"")</f>
        <v/>
      </c>
    </row>
    <row r="608" spans="1:49" x14ac:dyDescent="0.3">
      <c r="A608" s="3">
        <v>1997</v>
      </c>
      <c r="B608" s="3" t="s">
        <v>703</v>
      </c>
      <c r="C608" s="3" t="s">
        <v>7</v>
      </c>
      <c r="D608" s="3" t="s">
        <v>25</v>
      </c>
      <c r="E608" s="3" t="s">
        <v>26</v>
      </c>
      <c r="F608" s="3" t="s">
        <v>623</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c r="AW608" s="57" t="str">
        <f>+IFERROR(VLOOKUP(AV608,Deflactor!$BP$298:$BU$307,6,0),"")</f>
        <v/>
      </c>
    </row>
    <row r="609" spans="1:49" x14ac:dyDescent="0.3">
      <c r="A609" s="3">
        <v>1997</v>
      </c>
      <c r="B609" s="3" t="s">
        <v>704</v>
      </c>
      <c r="C609" s="3" t="s">
        <v>7</v>
      </c>
      <c r="D609" s="3" t="s">
        <v>12</v>
      </c>
      <c r="E609" s="3" t="s">
        <v>13</v>
      </c>
      <c r="F609" s="3" t="s">
        <v>623</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c r="AW609" s="57" t="str">
        <f>+IFERROR(VLOOKUP(AV609,Deflactor!$BP$298:$BU$307,6,0),"")</f>
        <v/>
      </c>
    </row>
    <row r="610" spans="1:49" x14ac:dyDescent="0.3">
      <c r="A610" s="3">
        <v>1997</v>
      </c>
      <c r="B610" s="3" t="s">
        <v>705</v>
      </c>
      <c r="C610" s="3" t="s">
        <v>7</v>
      </c>
      <c r="D610" s="3" t="s">
        <v>64</v>
      </c>
      <c r="E610" s="3" t="s">
        <v>203</v>
      </c>
      <c r="F610" s="3" t="s">
        <v>623</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c r="AW610" s="57" t="str">
        <f>+IFERROR(VLOOKUP(AV610,Deflactor!$BP$298:$BU$307,6,0),"")</f>
        <v/>
      </c>
    </row>
    <row r="611" spans="1:49" x14ac:dyDescent="0.3">
      <c r="A611" s="3">
        <v>1997</v>
      </c>
      <c r="B611" s="3" t="s">
        <v>706</v>
      </c>
      <c r="C611" s="3" t="s">
        <v>7</v>
      </c>
      <c r="D611" s="3" t="s">
        <v>32</v>
      </c>
      <c r="E611" s="3" t="s">
        <v>33</v>
      </c>
      <c r="F611" s="3" t="s">
        <v>623</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c r="AW611" s="57" t="str">
        <f>+IFERROR(VLOOKUP(AV611,Deflactor!$BP$298:$BU$307,6,0),"")</f>
        <v/>
      </c>
    </row>
    <row r="612" spans="1:49" x14ac:dyDescent="0.3">
      <c r="A612" s="3">
        <v>1997</v>
      </c>
      <c r="B612" s="3" t="s">
        <v>707</v>
      </c>
      <c r="C612" s="3" t="s">
        <v>7</v>
      </c>
      <c r="D612" s="3" t="s">
        <v>290</v>
      </c>
      <c r="E612" s="3" t="s">
        <v>120</v>
      </c>
      <c r="F612" s="3" t="s">
        <v>623</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c r="AW612" s="57" t="str">
        <f>+IFERROR(VLOOKUP(AV612,Deflactor!$BP$298:$BU$307,6,0),"")</f>
        <v/>
      </c>
    </row>
    <row r="613" spans="1:49" x14ac:dyDescent="0.3">
      <c r="A613" s="3">
        <v>1997</v>
      </c>
      <c r="B613" s="3" t="s">
        <v>708</v>
      </c>
      <c r="C613" s="3" t="s">
        <v>7</v>
      </c>
      <c r="D613" s="3" t="s">
        <v>290</v>
      </c>
      <c r="E613" s="3" t="s">
        <v>120</v>
      </c>
      <c r="F613" s="3" t="s">
        <v>623</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c r="AW613" s="57" t="str">
        <f>+IFERROR(VLOOKUP(AV613,Deflactor!$BP$298:$BU$307,6,0),"")</f>
        <v/>
      </c>
    </row>
    <row r="614" spans="1:49" x14ac:dyDescent="0.3">
      <c r="A614" s="3">
        <v>1997</v>
      </c>
      <c r="B614" s="3" t="s">
        <v>709</v>
      </c>
      <c r="C614" s="3" t="s">
        <v>7</v>
      </c>
      <c r="D614" s="3" t="s">
        <v>290</v>
      </c>
      <c r="E614" s="3" t="s">
        <v>176</v>
      </c>
      <c r="F614" s="3" t="s">
        <v>623</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c r="AW614" s="57" t="str">
        <f>+IFERROR(VLOOKUP(AV614,Deflactor!$BP$298:$BU$307,6,0),"")</f>
        <v/>
      </c>
    </row>
    <row r="615" spans="1:49" x14ac:dyDescent="0.3">
      <c r="A615" s="3">
        <v>1997</v>
      </c>
      <c r="B615" s="3" t="s">
        <v>710</v>
      </c>
      <c r="C615" s="3" t="s">
        <v>7</v>
      </c>
      <c r="D615" s="3" t="s">
        <v>8</v>
      </c>
      <c r="E615" s="3" t="s">
        <v>9</v>
      </c>
      <c r="F615" s="3" t="s">
        <v>623</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c r="AW615" s="57" t="str">
        <f>+IFERROR(VLOOKUP(AV615,Deflactor!$BP$298:$BU$307,6,0),"")</f>
        <v/>
      </c>
    </row>
    <row r="616" spans="1:49" x14ac:dyDescent="0.3">
      <c r="A616" s="3">
        <v>1997</v>
      </c>
      <c r="B616" s="3" t="s">
        <v>711</v>
      </c>
      <c r="C616" s="3" t="s">
        <v>7</v>
      </c>
      <c r="D616" s="3" t="s">
        <v>32</v>
      </c>
      <c r="E616" s="3" t="s">
        <v>33</v>
      </c>
      <c r="F616" s="3" t="s">
        <v>623</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c r="AW616" s="57" t="str">
        <f>+IFERROR(VLOOKUP(AV616,Deflactor!$BP$298:$BU$307,6,0),"")</f>
        <v/>
      </c>
    </row>
    <row r="617" spans="1:49" x14ac:dyDescent="0.3">
      <c r="A617" s="3">
        <v>1997</v>
      </c>
      <c r="B617" s="3" t="s">
        <v>712</v>
      </c>
      <c r="C617" s="3" t="s">
        <v>7</v>
      </c>
      <c r="D617" s="3" t="s">
        <v>159</v>
      </c>
      <c r="E617" s="3" t="s">
        <v>160</v>
      </c>
      <c r="F617" s="3" t="s">
        <v>623</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c r="AW617" s="57" t="str">
        <f>+IFERROR(VLOOKUP(AV617,Deflactor!$BP$298:$BU$307,6,0),"")</f>
        <v/>
      </c>
    </row>
    <row r="618" spans="1:49" x14ac:dyDescent="0.3">
      <c r="A618" s="3">
        <v>1997</v>
      </c>
      <c r="B618" s="3" t="s">
        <v>713</v>
      </c>
      <c r="C618" s="3" t="s">
        <v>7</v>
      </c>
      <c r="D618" s="3" t="s">
        <v>164</v>
      </c>
      <c r="E618" s="3" t="s">
        <v>165</v>
      </c>
      <c r="F618" s="3" t="s">
        <v>623</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c r="AW618" s="57" t="str">
        <f>+IFERROR(VLOOKUP(AV618,Deflactor!$BP$298:$BU$307,6,0),"")</f>
        <v/>
      </c>
    </row>
    <row r="619" spans="1:49" x14ac:dyDescent="0.3">
      <c r="A619" s="3">
        <v>1997</v>
      </c>
      <c r="B619" s="3" t="s">
        <v>714</v>
      </c>
      <c r="C619" s="3" t="s">
        <v>7</v>
      </c>
      <c r="D619" s="3" t="s">
        <v>54</v>
      </c>
      <c r="E619" s="3" t="s">
        <v>645</v>
      </c>
      <c r="F619" s="3" t="s">
        <v>623</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c r="AW619" s="57" t="str">
        <f>+IFERROR(VLOOKUP(AV619,Deflactor!$BP$298:$BU$307,6,0),"")</f>
        <v/>
      </c>
    </row>
    <row r="620" spans="1:49" x14ac:dyDescent="0.3">
      <c r="A620" s="3">
        <v>1997</v>
      </c>
      <c r="B620" s="3" t="s">
        <v>715</v>
      </c>
      <c r="C620" s="3" t="s">
        <v>7</v>
      </c>
      <c r="D620" s="3" t="s">
        <v>54</v>
      </c>
      <c r="E620" s="3" t="s">
        <v>645</v>
      </c>
      <c r="F620" s="3" t="s">
        <v>623</v>
      </c>
      <c r="G620" s="3"/>
      <c r="H620" s="12"/>
      <c r="I620" s="13"/>
      <c r="J620" s="10"/>
      <c r="K620" s="3"/>
      <c r="L620" s="3"/>
      <c r="M620" s="3"/>
      <c r="N620" s="3"/>
      <c r="O620" s="3"/>
      <c r="P620" s="3"/>
      <c r="Q620" s="3"/>
      <c r="R620" s="3"/>
      <c r="S620" s="3"/>
      <c r="T620" s="3"/>
      <c r="U620" s="3" t="s">
        <v>1325</v>
      </c>
      <c r="V620" s="3"/>
      <c r="W620" s="10" t="str">
        <f>IF( J620="s.i", "s.i", IF(ISBLANK(J620),"Actualizando información",IFERROR(J620 / VLOOKUP(A620,Deflactor!$G$3:$H$64,2,0),"Revisar error" )))</f>
        <v>Actualizando información</v>
      </c>
      <c r="AW620" s="57" t="str">
        <f>+IFERROR(VLOOKUP(AV620,Deflactor!$BP$298:$BU$307,6,0),"")</f>
        <v/>
      </c>
    </row>
    <row r="621" spans="1:49" x14ac:dyDescent="0.3">
      <c r="A621" s="3">
        <v>1997</v>
      </c>
      <c r="B621" s="3" t="s">
        <v>716</v>
      </c>
      <c r="C621" s="3" t="s">
        <v>7</v>
      </c>
      <c r="D621" s="3" t="s">
        <v>64</v>
      </c>
      <c r="E621" s="3" t="s">
        <v>203</v>
      </c>
      <c r="F621" s="3" t="s">
        <v>623</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c r="AW621" s="57" t="str">
        <f>+IFERROR(VLOOKUP(AV621,Deflactor!$BP$298:$BU$307,6,0),"")</f>
        <v/>
      </c>
    </row>
    <row r="622" spans="1:49" x14ac:dyDescent="0.3">
      <c r="A622" s="3">
        <v>1997</v>
      </c>
      <c r="B622" s="3" t="s">
        <v>717</v>
      </c>
      <c r="C622" s="3" t="s">
        <v>7</v>
      </c>
      <c r="D622" s="3" t="s">
        <v>32</v>
      </c>
      <c r="E622" s="3" t="s">
        <v>33</v>
      </c>
      <c r="F622" s="3" t="s">
        <v>623</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c r="AW622" s="57" t="str">
        <f>+IFERROR(VLOOKUP(AV622,Deflactor!$BP$298:$BU$307,6,0),"")</f>
        <v/>
      </c>
    </row>
  </sheetData>
  <autoFilter ref="A1:AV622" xr:uid="{79ADDE99-7AC2-4435-AF82-A5332998E550}"/>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 ref="R40" r:id="rId255" xr:uid="{97655AA0-11C5-4B76-A4F5-8D166A678FB0}"/>
    <hyperlink ref="S40" r:id="rId256" xr:uid="{65E10135-2FED-464A-8E47-0B20BFD36D2F}"/>
    <hyperlink ref="T40" r:id="rId257" xr:uid="{9F4A0831-DBC7-47B7-AF31-46024900AA8D}"/>
  </hyperlinks>
  <pageMargins left="0.7" right="0.7" top="0.75" bottom="0.75" header="0.3" footer="0.3"/>
  <pageSetup paperSize="9" orientation="portrait" horizontalDpi="300" verticalDpi="300" r:id="rId258"/>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B875-E6D6-4D0A-835E-1820C0AF6875}">
  <dimension ref="A1:V67"/>
  <sheetViews>
    <sheetView topLeftCell="K1" workbookViewId="0"/>
  </sheetViews>
  <sheetFormatPr baseColWidth="10" defaultColWidth="10.6640625" defaultRowHeight="14.4" x14ac:dyDescent="0.3"/>
  <cols>
    <col min="1" max="1" width="10.109375" bestFit="1" customWidth="1"/>
    <col min="3" max="3" width="12.109375" bestFit="1" customWidth="1"/>
    <col min="4" max="4" width="14.33203125" customWidth="1"/>
    <col min="5" max="5" width="14.109375" customWidth="1"/>
    <col min="13" max="13" width="11.44140625" style="35"/>
    <col min="15" max="15" width="42.88671875" bestFit="1" customWidth="1"/>
    <col min="16" max="16" width="26.5546875" customWidth="1"/>
    <col min="17" max="17" width="22" bestFit="1" customWidth="1"/>
    <col min="19" max="19" width="22" bestFit="1" customWidth="1"/>
    <col min="20" max="20" width="15.5546875" bestFit="1" customWidth="1"/>
  </cols>
  <sheetData>
    <row r="1" spans="1:22" x14ac:dyDescent="0.3">
      <c r="A1" t="s">
        <v>2333</v>
      </c>
      <c r="B1" t="s">
        <v>2326</v>
      </c>
      <c r="C1" t="s">
        <v>2327</v>
      </c>
      <c r="D1" t="s">
        <v>2328</v>
      </c>
      <c r="E1" t="s">
        <v>2329</v>
      </c>
      <c r="F1" t="s">
        <v>2330</v>
      </c>
      <c r="N1" t="s">
        <v>2327</v>
      </c>
      <c r="O1" t="s">
        <v>2332</v>
      </c>
    </row>
    <row r="2" spans="1:22" x14ac:dyDescent="0.3">
      <c r="A2">
        <v>1</v>
      </c>
      <c r="B2" s="38">
        <v>44152</v>
      </c>
      <c r="C2" t="s">
        <v>2321</v>
      </c>
      <c r="D2" t="s">
        <v>2322</v>
      </c>
      <c r="E2" t="s">
        <v>2323</v>
      </c>
      <c r="F2" t="s">
        <v>2331</v>
      </c>
      <c r="N2" t="s">
        <v>2334</v>
      </c>
      <c r="O2" t="s">
        <v>0</v>
      </c>
      <c r="P2" t="s">
        <v>1</v>
      </c>
      <c r="Q2" t="s">
        <v>3</v>
      </c>
      <c r="R2" t="s">
        <v>4</v>
      </c>
      <c r="S2" t="s">
        <v>719</v>
      </c>
      <c r="T2" t="s">
        <v>2336</v>
      </c>
      <c r="U2" t="s">
        <v>2337</v>
      </c>
      <c r="V2" t="s">
        <v>2338</v>
      </c>
    </row>
    <row r="3" spans="1:22" x14ac:dyDescent="0.3">
      <c r="A3">
        <v>2</v>
      </c>
      <c r="B3" s="38">
        <v>44152</v>
      </c>
      <c r="C3" t="s">
        <v>2324</v>
      </c>
      <c r="G3" s="4" t="s">
        <v>2400</v>
      </c>
      <c r="O3">
        <v>2017</v>
      </c>
      <c r="P3" t="s">
        <v>86</v>
      </c>
      <c r="Q3" t="s">
        <v>87</v>
      </c>
      <c r="R3" t="s">
        <v>88</v>
      </c>
      <c r="S3" s="2">
        <v>13058655000000</v>
      </c>
      <c r="T3" s="2">
        <f xml:space="preserve"> 11725662 * 1000</f>
        <v>11725662000</v>
      </c>
      <c r="U3" s="4" t="s">
        <v>2335</v>
      </c>
      <c r="V3" s="4" t="s">
        <v>2339</v>
      </c>
    </row>
    <row r="4" spans="1:22" x14ac:dyDescent="0.3">
      <c r="A4">
        <v>3</v>
      </c>
      <c r="B4" s="38">
        <v>44152</v>
      </c>
      <c r="D4" t="s">
        <v>2325</v>
      </c>
      <c r="O4">
        <v>2017</v>
      </c>
      <c r="P4" t="s">
        <v>99</v>
      </c>
      <c r="Q4" t="s">
        <v>36</v>
      </c>
      <c r="R4" t="s">
        <v>81</v>
      </c>
      <c r="S4" s="2">
        <v>27041864000000</v>
      </c>
      <c r="T4" s="39">
        <f xml:space="preserve"> 26854830 * 1000</f>
        <v>26854830000</v>
      </c>
      <c r="U4" s="4" t="s">
        <v>2341</v>
      </c>
      <c r="V4" s="4" t="s">
        <v>2340</v>
      </c>
    </row>
    <row r="5" spans="1:22" x14ac:dyDescent="0.3">
      <c r="O5">
        <v>2017</v>
      </c>
      <c r="P5" t="s">
        <v>100</v>
      </c>
      <c r="Q5" t="s">
        <v>87</v>
      </c>
      <c r="R5" t="s">
        <v>88</v>
      </c>
      <c r="S5" s="2">
        <v>20334675000000</v>
      </c>
      <c r="T5" s="39">
        <f xml:space="preserve"> 19446013 * 1000</f>
        <v>19446013000</v>
      </c>
      <c r="U5" s="4" t="s">
        <v>2343</v>
      </c>
      <c r="V5" s="4" t="s">
        <v>2342</v>
      </c>
    </row>
    <row r="6" spans="1:22" x14ac:dyDescent="0.3">
      <c r="O6">
        <v>2017</v>
      </c>
      <c r="P6" t="s">
        <v>113</v>
      </c>
      <c r="Q6" t="s">
        <v>54</v>
      </c>
      <c r="R6" t="s">
        <v>55</v>
      </c>
      <c r="S6" s="2">
        <v>17015612000000</v>
      </c>
      <c r="T6" s="39">
        <f xml:space="preserve"> 3679767 * 1000</f>
        <v>3679767000</v>
      </c>
      <c r="U6" s="4" t="s">
        <v>2345</v>
      </c>
      <c r="V6" s="4" t="s">
        <v>2348</v>
      </c>
    </row>
    <row r="7" spans="1:22" x14ac:dyDescent="0.3">
      <c r="O7">
        <v>2017</v>
      </c>
      <c r="P7" t="s">
        <v>114</v>
      </c>
      <c r="Q7" t="s">
        <v>54</v>
      </c>
      <c r="R7" t="s">
        <v>55</v>
      </c>
      <c r="S7" s="2">
        <v>26622592000000</v>
      </c>
      <c r="T7" s="39">
        <f xml:space="preserve"> 17640975 * 1000</f>
        <v>17640975000</v>
      </c>
      <c r="U7" s="4" t="s">
        <v>2341</v>
      </c>
      <c r="V7" s="4" t="s">
        <v>2344</v>
      </c>
    </row>
    <row r="8" spans="1:22" x14ac:dyDescent="0.3">
      <c r="O8">
        <v>2017</v>
      </c>
      <c r="P8" t="s">
        <v>116</v>
      </c>
      <c r="Q8" t="s">
        <v>25</v>
      </c>
      <c r="R8" t="s">
        <v>117</v>
      </c>
      <c r="S8" s="40">
        <v>38171814000000</v>
      </c>
      <c r="T8" s="85">
        <f xml:space="preserve"> 40684039 * 1000</f>
        <v>40684039000</v>
      </c>
      <c r="U8" s="86" t="s">
        <v>2335</v>
      </c>
      <c r="V8" s="86" t="s">
        <v>2346</v>
      </c>
    </row>
    <row r="9" spans="1:22" x14ac:dyDescent="0.3">
      <c r="O9">
        <v>2017</v>
      </c>
      <c r="P9" t="s">
        <v>118</v>
      </c>
      <c r="Q9" t="s">
        <v>25</v>
      </c>
      <c r="R9" t="s">
        <v>117</v>
      </c>
      <c r="S9" s="40">
        <v>38171814000000</v>
      </c>
      <c r="T9" s="85"/>
      <c r="U9" s="86"/>
      <c r="V9" s="86"/>
    </row>
    <row r="10" spans="1:22" x14ac:dyDescent="0.3">
      <c r="O10">
        <v>2016</v>
      </c>
      <c r="P10" t="s">
        <v>143</v>
      </c>
      <c r="Q10" t="s">
        <v>12</v>
      </c>
      <c r="R10" t="s">
        <v>105</v>
      </c>
      <c r="S10" s="40">
        <v>4899869000000000</v>
      </c>
      <c r="T10" s="39">
        <f xml:space="preserve"> 4899869  * 1000</f>
        <v>4899869000</v>
      </c>
      <c r="U10" s="4" t="s">
        <v>2341</v>
      </c>
      <c r="V10" s="4" t="s">
        <v>2349</v>
      </c>
    </row>
    <row r="11" spans="1:22" x14ac:dyDescent="0.3">
      <c r="O11">
        <v>2015</v>
      </c>
      <c r="P11" t="s">
        <v>180</v>
      </c>
      <c r="Q11" t="s">
        <v>25</v>
      </c>
      <c r="R11" t="s">
        <v>181</v>
      </c>
      <c r="S11" s="2">
        <v>17169605000000</v>
      </c>
      <c r="T11" s="39">
        <f xml:space="preserve"> 15439654  * 1000</f>
        <v>15439654000</v>
      </c>
      <c r="U11" s="4" t="s">
        <v>2335</v>
      </c>
      <c r="V11" s="4" t="s">
        <v>2350</v>
      </c>
    </row>
    <row r="12" spans="1:22" x14ac:dyDescent="0.3">
      <c r="O12">
        <v>2015</v>
      </c>
      <c r="P12" t="s">
        <v>185</v>
      </c>
      <c r="Q12" t="s">
        <v>36</v>
      </c>
      <c r="R12" t="s">
        <v>98</v>
      </c>
      <c r="S12" s="2">
        <v>293866943000000</v>
      </c>
      <c r="T12" s="39">
        <f xml:space="preserve"> 253201137  * 1000</f>
        <v>253201137000</v>
      </c>
      <c r="U12" s="4" t="s">
        <v>2343</v>
      </c>
      <c r="V12" s="4" t="s">
        <v>2351</v>
      </c>
    </row>
    <row r="13" spans="1:22" x14ac:dyDescent="0.3">
      <c r="O13">
        <v>2014</v>
      </c>
      <c r="P13" t="s">
        <v>192</v>
      </c>
      <c r="Q13" t="s">
        <v>36</v>
      </c>
      <c r="R13" t="s">
        <v>37</v>
      </c>
      <c r="S13" s="2">
        <v>27310036000000</v>
      </c>
      <c r="T13" s="39">
        <f xml:space="preserve"> 26852009 * 1000</f>
        <v>26852009000</v>
      </c>
      <c r="U13" s="4" t="s">
        <v>2335</v>
      </c>
      <c r="V13" s="4" t="s">
        <v>2352</v>
      </c>
    </row>
    <row r="14" spans="1:22" x14ac:dyDescent="0.3">
      <c r="O14">
        <v>2014</v>
      </c>
      <c r="P14" t="s">
        <v>198</v>
      </c>
      <c r="Q14" t="s">
        <v>54</v>
      </c>
      <c r="R14" t="s">
        <v>55</v>
      </c>
      <c r="S14" s="2">
        <v>46130757000000</v>
      </c>
      <c r="T14" s="39">
        <f xml:space="preserve"> 44468210 * 1000</f>
        <v>44468210000</v>
      </c>
      <c r="U14" s="4" t="s">
        <v>2353</v>
      </c>
    </row>
    <row r="15" spans="1:22" x14ac:dyDescent="0.3">
      <c r="O15">
        <v>2014</v>
      </c>
      <c r="P15" t="s">
        <v>199</v>
      </c>
      <c r="Q15" t="s">
        <v>32</v>
      </c>
      <c r="R15" t="s">
        <v>33</v>
      </c>
      <c r="S15" s="40">
        <v>215848343000000</v>
      </c>
      <c r="T15" t="s">
        <v>2347</v>
      </c>
      <c r="U15" s="4"/>
    </row>
    <row r="16" spans="1:22" x14ac:dyDescent="0.3">
      <c r="O16">
        <v>2012</v>
      </c>
      <c r="P16" t="s">
        <v>249</v>
      </c>
      <c r="Q16" t="s">
        <v>20</v>
      </c>
      <c r="R16" t="s">
        <v>23</v>
      </c>
      <c r="S16" s="40">
        <v>3.5827751E+16</v>
      </c>
      <c r="T16" t="s">
        <v>2347</v>
      </c>
      <c r="U16" s="4"/>
    </row>
    <row r="17" spans="14:22" x14ac:dyDescent="0.3">
      <c r="O17">
        <v>2012</v>
      </c>
      <c r="P17" t="s">
        <v>261</v>
      </c>
      <c r="Q17" t="s">
        <v>64</v>
      </c>
      <c r="R17" t="s">
        <v>262</v>
      </c>
      <c r="S17" s="2">
        <v>1713932000000000</v>
      </c>
      <c r="T17" s="39">
        <f xml:space="preserve"> 1420550 * 1000</f>
        <v>1420550000</v>
      </c>
      <c r="U17" s="4" t="s">
        <v>2335</v>
      </c>
      <c r="V17" s="4" t="s">
        <v>2354</v>
      </c>
    </row>
    <row r="18" spans="14:22" x14ac:dyDescent="0.3">
      <c r="O18">
        <v>2010</v>
      </c>
      <c r="P18" t="s">
        <v>311</v>
      </c>
      <c r="Q18" t="s">
        <v>36</v>
      </c>
      <c r="R18" t="s">
        <v>37</v>
      </c>
      <c r="S18" s="40">
        <v>141370509000000</v>
      </c>
      <c r="T18" t="s">
        <v>2347</v>
      </c>
      <c r="U18" s="4"/>
    </row>
    <row r="20" spans="14:22" x14ac:dyDescent="0.3">
      <c r="N20" t="s">
        <v>2355</v>
      </c>
      <c r="O20" t="s">
        <v>2357</v>
      </c>
      <c r="P20" s="4" t="s">
        <v>2356</v>
      </c>
      <c r="Q20" t="s">
        <v>2358</v>
      </c>
    </row>
    <row r="23" spans="14:22" x14ac:dyDescent="0.3">
      <c r="N23" t="s">
        <v>2363</v>
      </c>
      <c r="O23" t="s">
        <v>0</v>
      </c>
      <c r="P23" t="s">
        <v>1</v>
      </c>
      <c r="Q23" t="s">
        <v>3</v>
      </c>
      <c r="R23" t="s">
        <v>4</v>
      </c>
      <c r="S23" t="s">
        <v>719</v>
      </c>
      <c r="T23" t="s">
        <v>2336</v>
      </c>
      <c r="U23" t="s">
        <v>2337</v>
      </c>
      <c r="V23" t="s">
        <v>2338</v>
      </c>
    </row>
    <row r="24" spans="14:22" x14ac:dyDescent="0.3">
      <c r="O24">
        <v>2020</v>
      </c>
      <c r="P24" t="s">
        <v>1298</v>
      </c>
      <c r="Q24" t="s">
        <v>20</v>
      </c>
      <c r="R24" t="s">
        <v>23</v>
      </c>
      <c r="S24" s="2">
        <f xml:space="preserve">  6572.5 * 1000000</f>
        <v>6572500000</v>
      </c>
      <c r="T24" s="2">
        <f xml:space="preserve">  6386405 * 1000</f>
        <v>6386405000</v>
      </c>
      <c r="U24" s="4" t="s">
        <v>2341</v>
      </c>
      <c r="V24" s="4" t="s">
        <v>2364</v>
      </c>
    </row>
    <row r="25" spans="14:22" x14ac:dyDescent="0.3">
      <c r="O25" s="35">
        <v>2020</v>
      </c>
      <c r="P25" s="35" t="s">
        <v>1304</v>
      </c>
      <c r="Q25" s="35" t="s">
        <v>54</v>
      </c>
      <c r="R25" s="35" t="s">
        <v>55</v>
      </c>
      <c r="S25" s="44">
        <f xml:space="preserve"> 14064 * 1000000</f>
        <v>14064000000</v>
      </c>
      <c r="T25" s="43" t="s">
        <v>623</v>
      </c>
      <c r="U25" s="45" t="s">
        <v>2341</v>
      </c>
      <c r="V25" s="45" t="s">
        <v>2365</v>
      </c>
    </row>
    <row r="26" spans="14:22" x14ac:dyDescent="0.3">
      <c r="O26">
        <v>2020</v>
      </c>
      <c r="P26" t="s">
        <v>1309</v>
      </c>
      <c r="Q26" t="s">
        <v>54</v>
      </c>
      <c r="R26" t="s">
        <v>55</v>
      </c>
      <c r="S26" s="2" t="s">
        <v>623</v>
      </c>
      <c r="T26" s="2">
        <f xml:space="preserve">  10390 * 1000000</f>
        <v>10390000000</v>
      </c>
      <c r="U26" s="4" t="s">
        <v>2341</v>
      </c>
      <c r="V26" s="4" t="s">
        <v>2366</v>
      </c>
    </row>
    <row r="27" spans="14:22" x14ac:dyDescent="0.3">
      <c r="O27">
        <v>2019</v>
      </c>
      <c r="P27" t="s">
        <v>31</v>
      </c>
      <c r="Q27" t="s">
        <v>32</v>
      </c>
      <c r="R27" t="s">
        <v>33</v>
      </c>
      <c r="S27" s="2">
        <v>50263613</v>
      </c>
      <c r="T27" s="2">
        <f xml:space="preserve">  16715 * 1000000</f>
        <v>16715000000</v>
      </c>
      <c r="U27" s="4" t="s">
        <v>2341</v>
      </c>
      <c r="V27" s="4" t="s">
        <v>2367</v>
      </c>
    </row>
    <row r="28" spans="14:22" x14ac:dyDescent="0.3">
      <c r="O28">
        <v>2019</v>
      </c>
      <c r="P28" t="s">
        <v>42</v>
      </c>
      <c r="Q28" t="s">
        <v>40</v>
      </c>
      <c r="R28" t="s">
        <v>43</v>
      </c>
      <c r="S28" s="2">
        <f xml:space="preserve"> 6224 * 1000000</f>
        <v>6224000000</v>
      </c>
      <c r="T28" s="39" t="s">
        <v>623</v>
      </c>
    </row>
    <row r="29" spans="14:22" x14ac:dyDescent="0.3">
      <c r="O29">
        <v>2018</v>
      </c>
      <c r="P29" t="s">
        <v>52</v>
      </c>
      <c r="Q29" t="s">
        <v>20</v>
      </c>
      <c r="R29" t="s">
        <v>23</v>
      </c>
      <c r="S29" s="2">
        <f xml:space="preserve"> 9622.8 * 1000000</f>
        <v>9622800000</v>
      </c>
      <c r="T29" s="2">
        <f xml:space="preserve">  8218 * 1000000</f>
        <v>8218000000</v>
      </c>
      <c r="U29" s="4" t="s">
        <v>2341</v>
      </c>
      <c r="V29" s="4" t="s">
        <v>2383</v>
      </c>
    </row>
    <row r="30" spans="14:22" x14ac:dyDescent="0.3">
      <c r="O30">
        <v>2018</v>
      </c>
      <c r="P30" t="s">
        <v>53</v>
      </c>
      <c r="Q30" t="s">
        <v>54</v>
      </c>
      <c r="R30" t="s">
        <v>55</v>
      </c>
      <c r="S30" s="2">
        <f xml:space="preserve"> 40949 * 1000000</f>
        <v>40949000000</v>
      </c>
      <c r="T30" s="2">
        <f xml:space="preserve">  37370 * 1000000</f>
        <v>37370000000</v>
      </c>
      <c r="U30" s="4" t="s">
        <v>2341</v>
      </c>
      <c r="V30" s="4" t="s">
        <v>2368</v>
      </c>
    </row>
    <row r="31" spans="14:22" x14ac:dyDescent="0.3">
      <c r="O31">
        <v>2018</v>
      </c>
      <c r="P31" t="s">
        <v>56</v>
      </c>
      <c r="Q31" t="s">
        <v>54</v>
      </c>
      <c r="R31" t="s">
        <v>55</v>
      </c>
      <c r="S31" s="2">
        <f xml:space="preserve"> 143807 * 1000000</f>
        <v>143807000000</v>
      </c>
      <c r="T31" s="2">
        <f xml:space="preserve"> 142181835 * 1000</f>
        <v>142181835000</v>
      </c>
      <c r="U31" s="4" t="s">
        <v>2343</v>
      </c>
      <c r="V31" s="4" t="s">
        <v>2369</v>
      </c>
    </row>
    <row r="32" spans="14:22" x14ac:dyDescent="0.3">
      <c r="O32">
        <v>2018</v>
      </c>
      <c r="P32" t="s">
        <v>57</v>
      </c>
      <c r="Q32" t="s">
        <v>12</v>
      </c>
      <c r="R32" t="s">
        <v>58</v>
      </c>
      <c r="S32" s="2">
        <v>7036128</v>
      </c>
      <c r="T32" s="2">
        <f xml:space="preserve"> 3000416 * 1000</f>
        <v>3000416000</v>
      </c>
      <c r="U32" s="4" t="s">
        <v>2341</v>
      </c>
      <c r="V32" s="4" t="s">
        <v>2370</v>
      </c>
    </row>
    <row r="33" spans="15:22" x14ac:dyDescent="0.3">
      <c r="O33">
        <v>2018</v>
      </c>
      <c r="P33" t="s">
        <v>59</v>
      </c>
      <c r="Q33" t="s">
        <v>12</v>
      </c>
      <c r="R33" t="s">
        <v>58</v>
      </c>
      <c r="S33" s="2">
        <v>7036128</v>
      </c>
      <c r="T33" s="2">
        <f xml:space="preserve"> 821167 * 1000</f>
        <v>821167000</v>
      </c>
      <c r="U33" s="4" t="s">
        <v>2341</v>
      </c>
      <c r="V33" s="4" t="s">
        <v>2374</v>
      </c>
    </row>
    <row r="34" spans="15:22" x14ac:dyDescent="0.3">
      <c r="O34">
        <v>2018</v>
      </c>
      <c r="P34" t="s">
        <v>70</v>
      </c>
      <c r="Q34" t="s">
        <v>71</v>
      </c>
      <c r="R34" t="s">
        <v>72</v>
      </c>
      <c r="S34" s="2">
        <f xml:space="preserve"> 61757322 * 1000</f>
        <v>61757322000</v>
      </c>
      <c r="T34" s="2">
        <f xml:space="preserve"> 54296263 * 1000</f>
        <v>54296263000</v>
      </c>
      <c r="U34" s="4" t="s">
        <v>2376</v>
      </c>
      <c r="V34" s="4" t="s">
        <v>2375</v>
      </c>
    </row>
    <row r="35" spans="15:22" x14ac:dyDescent="0.3">
      <c r="O35">
        <v>2018</v>
      </c>
      <c r="P35" t="s">
        <v>73</v>
      </c>
      <c r="Q35" t="s">
        <v>74</v>
      </c>
      <c r="R35" t="s">
        <v>75</v>
      </c>
      <c r="S35" s="2">
        <f xml:space="preserve"> 9599944 * 1000</f>
        <v>9599944000</v>
      </c>
      <c r="T35" s="39" t="s">
        <v>623</v>
      </c>
    </row>
    <row r="36" spans="15:22" x14ac:dyDescent="0.3">
      <c r="O36">
        <v>2018</v>
      </c>
      <c r="P36" t="s">
        <v>80</v>
      </c>
      <c r="Q36" t="s">
        <v>36</v>
      </c>
      <c r="R36" t="s">
        <v>81</v>
      </c>
      <c r="S36" s="2">
        <f xml:space="preserve"> 1263672 * 1000</f>
        <v>1263672000</v>
      </c>
      <c r="T36" s="2">
        <f xml:space="preserve"> 1263672 * 1000</f>
        <v>1263672000</v>
      </c>
      <c r="U36" s="4" t="s">
        <v>2341</v>
      </c>
      <c r="V36" s="4" t="s">
        <v>2377</v>
      </c>
    </row>
    <row r="37" spans="15:22" x14ac:dyDescent="0.3">
      <c r="O37">
        <v>2017</v>
      </c>
      <c r="P37" t="s">
        <v>112</v>
      </c>
      <c r="Q37" t="s">
        <v>54</v>
      </c>
      <c r="R37" t="s">
        <v>55</v>
      </c>
      <c r="S37" s="2">
        <f xml:space="preserve"> 3679766 * 1000000</f>
        <v>3679766000000</v>
      </c>
      <c r="T37" s="39">
        <f xml:space="preserve"> 3679767 * 1000</f>
        <v>3679767000</v>
      </c>
      <c r="U37" s="4" t="s">
        <v>2341</v>
      </c>
      <c r="V37" s="4" t="s">
        <v>2348</v>
      </c>
    </row>
    <row r="38" spans="15:22" x14ac:dyDescent="0.3">
      <c r="O38">
        <v>2017</v>
      </c>
      <c r="P38" t="s">
        <v>113</v>
      </c>
      <c r="Q38" t="s">
        <v>54</v>
      </c>
      <c r="R38" t="s">
        <v>55</v>
      </c>
      <c r="S38" s="2">
        <f xml:space="preserve"> 17015612 * 1000000</f>
        <v>17015612000000</v>
      </c>
      <c r="T38" s="39">
        <f t="shared" ref="T38:V39" si="0">T6</f>
        <v>3679767000</v>
      </c>
      <c r="U38" s="4" t="str">
        <f t="shared" si="0"/>
        <v>https://programassociales.ministeriodesarrollosocial.gob.cl/programas</v>
      </c>
      <c r="V38" s="4" t="str">
        <f t="shared" si="0"/>
        <v>https://programassociales.ministeriodesarrollosocial.gob.cl/pdf/2020/PRG2020_3_59464.pdf</v>
      </c>
    </row>
    <row r="39" spans="15:22" x14ac:dyDescent="0.3">
      <c r="O39">
        <v>2017</v>
      </c>
      <c r="P39" t="s">
        <v>114</v>
      </c>
      <c r="Q39" t="s">
        <v>54</v>
      </c>
      <c r="R39" t="s">
        <v>55</v>
      </c>
      <c r="S39" s="2">
        <f xml:space="preserve"> 26622592 * 1000000</f>
        <v>26622592000000</v>
      </c>
      <c r="T39" s="39">
        <f t="shared" si="0"/>
        <v>17640975000</v>
      </c>
      <c r="U39" s="4" t="str">
        <f t="shared" si="0"/>
        <v>https://programassociales.ministeriodesarrollosocial.gob.cl/</v>
      </c>
      <c r="V39" s="4" t="str">
        <f t="shared" si="0"/>
        <v>https://programassociales.ministeriodesarrollosocial.gob.cl/pdf/2018/PRG2018_3_59466.pdf</v>
      </c>
    </row>
    <row r="40" spans="15:22" x14ac:dyDescent="0.3">
      <c r="O40">
        <v>2017</v>
      </c>
      <c r="P40" t="s">
        <v>122</v>
      </c>
      <c r="Q40" t="s">
        <v>32</v>
      </c>
      <c r="R40" t="s">
        <v>33</v>
      </c>
      <c r="S40" s="2">
        <f xml:space="preserve"> 246302903 * 1000</f>
        <v>246302903000</v>
      </c>
      <c r="T40" t="s">
        <v>623</v>
      </c>
    </row>
    <row r="41" spans="15:22" x14ac:dyDescent="0.3">
      <c r="O41">
        <v>2016</v>
      </c>
      <c r="P41" t="s">
        <v>125</v>
      </c>
      <c r="Q41" t="s">
        <v>54</v>
      </c>
      <c r="R41" t="s">
        <v>55</v>
      </c>
      <c r="S41" s="2">
        <f xml:space="preserve"> 9170.9 * 1000000</f>
        <v>9170900000</v>
      </c>
      <c r="T41" s="39">
        <f xml:space="preserve"> 9363819 * 1000</f>
        <v>9363819000</v>
      </c>
      <c r="U41" s="4" t="s">
        <v>2341</v>
      </c>
      <c r="V41" s="4" t="s">
        <v>2378</v>
      </c>
    </row>
    <row r="42" spans="15:22" x14ac:dyDescent="0.3">
      <c r="O42">
        <v>2016</v>
      </c>
      <c r="P42" t="s">
        <v>135</v>
      </c>
      <c r="Q42" t="s">
        <v>32</v>
      </c>
      <c r="R42" t="s">
        <v>33</v>
      </c>
      <c r="S42" s="2">
        <f xml:space="preserve"> 23091 * 1000000</f>
        <v>23091000000</v>
      </c>
      <c r="T42" s="39">
        <f xml:space="preserve"> 13206 * 1000000</f>
        <v>13206000000</v>
      </c>
      <c r="U42" s="4" t="s">
        <v>2341</v>
      </c>
      <c r="V42" s="4" t="s">
        <v>2379</v>
      </c>
    </row>
    <row r="43" spans="15:22" x14ac:dyDescent="0.3">
      <c r="O43">
        <v>2016</v>
      </c>
      <c r="P43" t="s">
        <v>140</v>
      </c>
      <c r="Q43" t="s">
        <v>32</v>
      </c>
      <c r="R43" t="s">
        <v>33</v>
      </c>
      <c r="S43" s="2">
        <f xml:space="preserve"> 23091 * 1000000</f>
        <v>23091000000</v>
      </c>
      <c r="T43" s="39">
        <f xml:space="preserve"> 9824 * 1000000</f>
        <v>9824000000</v>
      </c>
      <c r="U43" s="4" t="s">
        <v>2341</v>
      </c>
      <c r="V43" s="4" t="s">
        <v>2380</v>
      </c>
    </row>
    <row r="44" spans="15:22" x14ac:dyDescent="0.3">
      <c r="O44" s="35">
        <v>2016</v>
      </c>
      <c r="P44" s="35" t="s">
        <v>141</v>
      </c>
      <c r="Q44" s="35" t="s">
        <v>32</v>
      </c>
      <c r="R44" s="35" t="s">
        <v>33</v>
      </c>
      <c r="S44" s="44">
        <f xml:space="preserve"> 75570 * 1000000</f>
        <v>75570000000</v>
      </c>
      <c r="T44" s="35" t="s">
        <v>623</v>
      </c>
      <c r="U44" s="45" t="s">
        <v>2341</v>
      </c>
      <c r="V44" s="45" t="s">
        <v>2381</v>
      </c>
    </row>
    <row r="45" spans="15:22" x14ac:dyDescent="0.3">
      <c r="O45">
        <v>2016</v>
      </c>
      <c r="P45" t="s">
        <v>142</v>
      </c>
      <c r="Q45" t="s">
        <v>32</v>
      </c>
      <c r="R45" t="s">
        <v>33</v>
      </c>
      <c r="S45" s="2">
        <f xml:space="preserve"> 75570 * 1000000</f>
        <v>75570000000</v>
      </c>
      <c r="T45" s="39">
        <f xml:space="preserve"> 6647388 * 1000</f>
        <v>6647388000</v>
      </c>
      <c r="U45" s="4" t="s">
        <v>2341</v>
      </c>
      <c r="V45" s="4" t="s">
        <v>2382</v>
      </c>
    </row>
    <row r="46" spans="15:22" x14ac:dyDescent="0.3">
      <c r="O46">
        <v>2015</v>
      </c>
      <c r="P46" t="s">
        <v>185</v>
      </c>
      <c r="Q46" t="s">
        <v>36</v>
      </c>
      <c r="R46" t="s">
        <v>98</v>
      </c>
      <c r="S46" s="2">
        <f xml:space="preserve"> 293866943 * 1000000</f>
        <v>293866943000000</v>
      </c>
      <c r="T46" s="39">
        <f t="shared" ref="T46:V46" si="1">T12</f>
        <v>253201137000</v>
      </c>
      <c r="U46" s="4" t="str">
        <f t="shared" si="1"/>
        <v>https://www.senado.cl/</v>
      </c>
      <c r="V46" s="4" t="str">
        <f t="shared" si="1"/>
        <v>https://www.senado.cl/site/presupuesto/2017/cumplimiento/Glosas%202017/primera_subcomision/21%20Des.%20Social/3953SES/Inf%20monitioreo%20cierre%202016/Fundaciones%20(18-7)/Fundaci%C3%B3n%20Integra%20(2-0)/Jardines%20Infantiles%20y%20Salas%20Cuna%20de%20Administraci%C3%B3n%20Directa(Seguimiento).pdf</v>
      </c>
    </row>
    <row r="47" spans="15:22" x14ac:dyDescent="0.3">
      <c r="O47">
        <v>2014</v>
      </c>
      <c r="P47" t="s">
        <v>195</v>
      </c>
      <c r="Q47" t="s">
        <v>36</v>
      </c>
      <c r="R47" t="s">
        <v>81</v>
      </c>
      <c r="S47" s="2">
        <f t="shared" ref="S47:S48" si="2" xml:space="preserve"> 11549 * 1000000</f>
        <v>11549000000</v>
      </c>
      <c r="T47" s="39" t="s">
        <v>623</v>
      </c>
    </row>
    <row r="48" spans="15:22" x14ac:dyDescent="0.3">
      <c r="O48">
        <v>2014</v>
      </c>
      <c r="P48" t="s">
        <v>205</v>
      </c>
      <c r="Q48" t="s">
        <v>36</v>
      </c>
      <c r="R48" t="s">
        <v>81</v>
      </c>
      <c r="S48" s="2">
        <f t="shared" si="2"/>
        <v>11549000000</v>
      </c>
      <c r="T48" s="39">
        <f xml:space="preserve"> 312243 * 1000</f>
        <v>312243000</v>
      </c>
      <c r="U48" s="4" t="s">
        <v>2341</v>
      </c>
      <c r="V48" s="4" t="s">
        <v>2384</v>
      </c>
    </row>
    <row r="49" spans="15:22" x14ac:dyDescent="0.3">
      <c r="O49">
        <v>2014</v>
      </c>
      <c r="P49" t="s">
        <v>198</v>
      </c>
      <c r="Q49" t="s">
        <v>54</v>
      </c>
      <c r="R49" t="s">
        <v>55</v>
      </c>
      <c r="S49" s="2">
        <f xml:space="preserve"> 46130757 * 1000000</f>
        <v>46130757000000</v>
      </c>
      <c r="T49" s="39">
        <f t="shared" ref="T49:U49" si="3">T14</f>
        <v>44468210000</v>
      </c>
      <c r="U49" s="4" t="str">
        <f t="shared" si="3"/>
        <v>https://www.minsal.cl/campana-mas-medicos-y-especialistas/</v>
      </c>
    </row>
    <row r="50" spans="15:22" x14ac:dyDescent="0.3">
      <c r="O50" s="35">
        <v>2013</v>
      </c>
      <c r="P50" s="35" t="s">
        <v>219</v>
      </c>
      <c r="Q50" s="35" t="s">
        <v>40</v>
      </c>
      <c r="R50" s="35" t="s">
        <v>160</v>
      </c>
      <c r="S50" s="44">
        <f xml:space="preserve"> 1065 * 1000000</f>
        <v>1065000000</v>
      </c>
      <c r="T50" s="43">
        <f xml:space="preserve"> 44850000 * 1000</f>
        <v>44850000000</v>
      </c>
      <c r="U50" s="45" t="s">
        <v>2385</v>
      </c>
      <c r="V50" s="35"/>
    </row>
    <row r="51" spans="15:22" x14ac:dyDescent="0.3">
      <c r="O51">
        <v>2013</v>
      </c>
      <c r="P51" t="s">
        <v>223</v>
      </c>
      <c r="Q51" t="s">
        <v>54</v>
      </c>
      <c r="R51" t="s">
        <v>55</v>
      </c>
      <c r="S51" s="2" t="s">
        <v>623</v>
      </c>
      <c r="T51" s="39" t="s">
        <v>623</v>
      </c>
      <c r="U51" s="4" t="s">
        <v>2341</v>
      </c>
      <c r="V51" s="4" t="s">
        <v>2386</v>
      </c>
    </row>
    <row r="52" spans="15:22" x14ac:dyDescent="0.3">
      <c r="O52">
        <v>2013</v>
      </c>
      <c r="P52" t="s">
        <v>226</v>
      </c>
      <c r="Q52" t="s">
        <v>54</v>
      </c>
      <c r="R52" t="s">
        <v>55</v>
      </c>
      <c r="S52" s="2"/>
      <c r="T52" s="39" t="s">
        <v>623</v>
      </c>
    </row>
    <row r="53" spans="15:22" x14ac:dyDescent="0.3">
      <c r="O53">
        <v>2013</v>
      </c>
      <c r="P53" t="s">
        <v>227</v>
      </c>
      <c r="Q53" t="s">
        <v>54</v>
      </c>
      <c r="R53" t="s">
        <v>55</v>
      </c>
      <c r="S53" s="2"/>
      <c r="T53" s="39" t="s">
        <v>623</v>
      </c>
    </row>
    <row r="54" spans="15:22" x14ac:dyDescent="0.3">
      <c r="O54">
        <v>2013</v>
      </c>
      <c r="P54" t="s">
        <v>228</v>
      </c>
      <c r="Q54" t="s">
        <v>54</v>
      </c>
      <c r="R54" t="s">
        <v>55</v>
      </c>
      <c r="S54" s="2"/>
      <c r="T54" s="39" t="s">
        <v>623</v>
      </c>
    </row>
    <row r="55" spans="15:22" x14ac:dyDescent="0.3">
      <c r="O55">
        <v>2013</v>
      </c>
      <c r="P55" t="s">
        <v>2359</v>
      </c>
      <c r="Q55" t="s">
        <v>20</v>
      </c>
      <c r="R55" t="s">
        <v>21</v>
      </c>
      <c r="S55" s="2"/>
      <c r="T55" s="39">
        <f xml:space="preserve"> 187288 * 1000</f>
        <v>187288000</v>
      </c>
      <c r="U55" s="4" t="s">
        <v>2341</v>
      </c>
      <c r="V55" s="4" t="s">
        <v>2387</v>
      </c>
    </row>
    <row r="56" spans="15:22" x14ac:dyDescent="0.3">
      <c r="O56">
        <v>2012</v>
      </c>
      <c r="P56" t="s">
        <v>247</v>
      </c>
      <c r="Q56" t="s">
        <v>40</v>
      </c>
      <c r="R56" t="s">
        <v>43</v>
      </c>
      <c r="S56" s="2">
        <f xml:space="preserve"> 4992810 * 1000000</f>
        <v>4992810000000</v>
      </c>
      <c r="T56" s="39" t="s">
        <v>623</v>
      </c>
    </row>
    <row r="57" spans="15:22" x14ac:dyDescent="0.3">
      <c r="O57">
        <v>2010</v>
      </c>
      <c r="P57" t="s">
        <v>247</v>
      </c>
      <c r="Q57" t="s">
        <v>40</v>
      </c>
      <c r="R57" t="s">
        <v>43</v>
      </c>
      <c r="S57" s="2" t="s">
        <v>623</v>
      </c>
      <c r="T57" s="39">
        <f xml:space="preserve"> 1443171 * 1000</f>
        <v>1443171000</v>
      </c>
      <c r="U57" s="4" t="s">
        <v>2389</v>
      </c>
      <c r="V57" s="4" t="s">
        <v>2388</v>
      </c>
    </row>
    <row r="58" spans="15:22" x14ac:dyDescent="0.3">
      <c r="O58" s="35">
        <v>2010</v>
      </c>
      <c r="P58" s="35" t="s">
        <v>327</v>
      </c>
      <c r="Q58" s="35" t="s">
        <v>36</v>
      </c>
      <c r="R58" s="35" t="s">
        <v>37</v>
      </c>
      <c r="S58" s="44" t="s">
        <v>623</v>
      </c>
      <c r="T58" s="43" t="s">
        <v>623</v>
      </c>
      <c r="U58" s="45" t="s">
        <v>2391</v>
      </c>
      <c r="V58" s="45" t="s">
        <v>2390</v>
      </c>
    </row>
    <row r="59" spans="15:22" x14ac:dyDescent="0.3">
      <c r="O59">
        <v>2010</v>
      </c>
      <c r="P59" t="s">
        <v>333</v>
      </c>
      <c r="Q59" t="s">
        <v>71</v>
      </c>
      <c r="R59" t="s">
        <v>167</v>
      </c>
      <c r="S59" s="2"/>
      <c r="T59" t="s">
        <v>623</v>
      </c>
    </row>
    <row r="60" spans="15:22" x14ac:dyDescent="0.3">
      <c r="O60">
        <v>2010</v>
      </c>
      <c r="P60" t="s">
        <v>334</v>
      </c>
      <c r="Q60" t="s">
        <v>54</v>
      </c>
      <c r="R60" t="s">
        <v>335</v>
      </c>
      <c r="S60" s="2"/>
      <c r="T60" s="39">
        <f xml:space="preserve"> 6210093 * 1000</f>
        <v>6210093000</v>
      </c>
      <c r="U60" s="4" t="s">
        <v>2394</v>
      </c>
      <c r="V60" s="4" t="s">
        <v>2393</v>
      </c>
    </row>
    <row r="61" spans="15:22" x14ac:dyDescent="0.3">
      <c r="O61">
        <v>2010</v>
      </c>
      <c r="P61" t="s">
        <v>336</v>
      </c>
      <c r="Q61" t="s">
        <v>54</v>
      </c>
      <c r="R61" t="s">
        <v>236</v>
      </c>
      <c r="S61" s="2"/>
      <c r="T61" t="s">
        <v>623</v>
      </c>
    </row>
    <row r="62" spans="15:22" x14ac:dyDescent="0.3">
      <c r="O62">
        <v>2010</v>
      </c>
      <c r="P62" t="s">
        <v>339</v>
      </c>
      <c r="Q62" t="s">
        <v>32</v>
      </c>
      <c r="R62" t="s">
        <v>33</v>
      </c>
      <c r="S62" s="2"/>
      <c r="T62" t="s">
        <v>623</v>
      </c>
    </row>
    <row r="63" spans="15:22" x14ac:dyDescent="0.3">
      <c r="O63">
        <v>2009</v>
      </c>
      <c r="P63" t="s">
        <v>362</v>
      </c>
      <c r="Q63" t="s">
        <v>71</v>
      </c>
      <c r="R63" t="s">
        <v>167</v>
      </c>
      <c r="S63" s="2"/>
      <c r="T63" t="s">
        <v>623</v>
      </c>
    </row>
    <row r="64" spans="15:22" x14ac:dyDescent="0.3">
      <c r="O64" s="35">
        <v>2009</v>
      </c>
      <c r="P64" s="35" t="s">
        <v>365</v>
      </c>
      <c r="Q64" s="35" t="s">
        <v>164</v>
      </c>
      <c r="R64" s="35" t="s">
        <v>165</v>
      </c>
      <c r="S64" s="44"/>
      <c r="T64" s="35" t="s">
        <v>623</v>
      </c>
      <c r="U64" s="45" t="s">
        <v>2341</v>
      </c>
      <c r="V64" s="45" t="s">
        <v>2395</v>
      </c>
    </row>
    <row r="65" spans="15:22" x14ac:dyDescent="0.3">
      <c r="O65">
        <v>2009</v>
      </c>
      <c r="P65" t="s">
        <v>376</v>
      </c>
      <c r="Q65" t="s">
        <v>64</v>
      </c>
      <c r="R65" t="s">
        <v>262</v>
      </c>
      <c r="S65" s="2"/>
      <c r="T65" t="s">
        <v>623</v>
      </c>
    </row>
    <row r="66" spans="15:22" x14ac:dyDescent="0.3">
      <c r="O66">
        <v>2009</v>
      </c>
      <c r="P66" t="s">
        <v>377</v>
      </c>
      <c r="Q66" t="s">
        <v>64</v>
      </c>
      <c r="R66" t="s">
        <v>262</v>
      </c>
      <c r="S66" s="2"/>
      <c r="T66" t="s">
        <v>623</v>
      </c>
    </row>
    <row r="67" spans="15:22" x14ac:dyDescent="0.3">
      <c r="V67" s="4" t="s">
        <v>2392</v>
      </c>
    </row>
  </sheetData>
  <mergeCells count="3">
    <mergeCell ref="T8:T9"/>
    <mergeCell ref="U8:U9"/>
    <mergeCell ref="V8:V9"/>
  </mergeCells>
  <phoneticPr fontId="18" type="noConversion"/>
  <hyperlinks>
    <hyperlink ref="V3" r:id="rId1" xr:uid="{57F717A0-1AB9-4347-AE09-60BDEAA1E912}"/>
    <hyperlink ref="V4" r:id="rId2" xr:uid="{3E230FA5-067A-46DF-AEDA-23C9480202B6}"/>
    <hyperlink ref="U4" r:id="rId3" xr:uid="{796C5839-8F38-4627-91DA-69B42AEB1A77}"/>
    <hyperlink ref="V5" r:id="rId4" xr:uid="{D17E18AC-8449-4C43-A417-E7695841C32C}"/>
    <hyperlink ref="U5" r:id="rId5" xr:uid="{E98DCD2C-379C-47F7-B68D-D1CAE1639E72}"/>
    <hyperlink ref="U7" r:id="rId6" xr:uid="{C590341C-5F12-4193-B995-CB6D396813B0}"/>
    <hyperlink ref="V7" r:id="rId7" xr:uid="{E641F838-9E46-48AA-B364-64CF438C8876}"/>
    <hyperlink ref="V8" r:id="rId8" xr:uid="{BE3FD043-9040-4993-ACAE-B935E8B0BA87}"/>
    <hyperlink ref="V6" r:id="rId9" xr:uid="{B94ED17A-6AF7-40A1-AEEF-341B45562D31}"/>
    <hyperlink ref="U10" r:id="rId10" xr:uid="{769C1AE5-42FC-4279-9506-018F93148139}"/>
    <hyperlink ref="V10" r:id="rId11" xr:uid="{BB01BF5C-1CB2-4FC4-8D6D-5A9E76612CA6}"/>
    <hyperlink ref="U12" r:id="rId12" xr:uid="{6AC56E08-76F5-428B-B220-E2F25FF086BF}"/>
    <hyperlink ref="V11" r:id="rId13" xr:uid="{C6AA08BC-6AF2-4896-8220-EBF403A9D510}"/>
    <hyperlink ref="V12" r:id="rId14" display="https://www.senado.cl/site/presupuesto/2017/cumplimiento/Glosas%202017/primera_subcomision/21%20Des.%20Social/3953SES/Inf%20monitioreo%20cierre%202016/Fundaciones%20(18-7)/Fundaci%C3%B3n%20Integra%20(2-0)/Jardines%20Infantiles%20y%20Salas%20Cuna%20de%20Administraci%C3%B3n%20Directa(Seguimiento).pdf" xr:uid="{2DD61C44-1FA5-41D5-B414-2A938FA570DB}"/>
    <hyperlink ref="V13" r:id="rId15" xr:uid="{E22084D1-898A-4B12-8735-621A98C5D5E9}"/>
    <hyperlink ref="U14" r:id="rId16" xr:uid="{7AFC842B-BE8D-4F75-A544-794FA04B7E55}"/>
    <hyperlink ref="V17" r:id="rId17" xr:uid="{60320C2E-904B-43EA-A60A-7C16280F9FB0}"/>
    <hyperlink ref="P20" r:id="rId18" xr:uid="{EC2FECBF-B3B1-4081-8A24-DC2CED1AB85A}"/>
    <hyperlink ref="U3" r:id="rId19" location="presupuesto_anios" xr:uid="{3A0FD81A-9DF2-431F-9DE7-ABB33C1C8520}"/>
    <hyperlink ref="V37" r:id="rId20" xr:uid="{AE0B1A8F-A84F-4700-B7FD-4CEB69AEA26C}"/>
    <hyperlink ref="U37" r:id="rId21" xr:uid="{B1A67FE0-FC62-4C44-94C4-AA6AF05B22C8}"/>
    <hyperlink ref="V24" r:id="rId22" xr:uid="{AB33647C-8E45-416C-814C-327B67442B40}"/>
    <hyperlink ref="U24" r:id="rId23" xr:uid="{030BC8FE-AD48-432B-B9EC-3D535FE6EAEC}"/>
    <hyperlink ref="V25" r:id="rId24" xr:uid="{4AF5EA81-704F-4CAC-9891-8CAFFB2C02EC}"/>
    <hyperlink ref="U25" r:id="rId25" xr:uid="{728C4B77-8E43-4706-914B-DA950A483879}"/>
    <hyperlink ref="V26" r:id="rId26" xr:uid="{8FB591E9-D989-4676-9599-F214A68D3617}"/>
    <hyperlink ref="U26" r:id="rId27" xr:uid="{93D22DAC-8343-4C93-B5D2-EFD0E99DD236}"/>
    <hyperlink ref="V27" r:id="rId28" xr:uid="{08546CBA-2D7B-4A7C-9F71-2B7B160CCC97}"/>
    <hyperlink ref="U27" r:id="rId29" xr:uid="{8771383A-3BAF-48E1-BF2B-FD3AAFD5B312}"/>
    <hyperlink ref="U30" r:id="rId30" xr:uid="{EC9D7735-4F95-46BE-98B5-E7C815A39A42}"/>
    <hyperlink ref="V30" r:id="rId31" xr:uid="{4F1AEF5C-020F-4C8B-B595-DAA05593C99D}"/>
    <hyperlink ref="V31" r:id="rId32" xr:uid="{B5D011EB-EABA-4C63-8DED-538363C50F16}"/>
    <hyperlink ref="U31" r:id="rId33" xr:uid="{2BBB2C8B-675B-4B6C-8A8C-7B144D865FBB}"/>
    <hyperlink ref="V32" r:id="rId34" xr:uid="{1870D7D4-3608-4458-A64F-BB787646DC12}"/>
    <hyperlink ref="U32" r:id="rId35" xr:uid="{D45BBB59-A182-41C2-957F-BF1A50CBFCEC}"/>
    <hyperlink ref="V33" r:id="rId36" xr:uid="{F219FBDA-BB80-4E6E-9148-D53A120DC6E5}"/>
    <hyperlink ref="U33" r:id="rId37" xr:uid="{1E5037AA-9206-4827-A7E4-AD70B0757E6C}"/>
    <hyperlink ref="V34" r:id="rId38" xr:uid="{D5345BE2-6E10-4374-9405-7EB778915161}"/>
    <hyperlink ref="U34" r:id="rId39" xr:uid="{162C052B-32E7-40E1-A59D-86807ACFA55F}"/>
    <hyperlink ref="V36" r:id="rId40" xr:uid="{1620DCD2-E662-4AA5-8A88-6D48C7B6A969}"/>
    <hyperlink ref="U36" r:id="rId41" xr:uid="{059594DB-9906-486B-8297-F2FC4D651776}"/>
    <hyperlink ref="V41" r:id="rId42" xr:uid="{E9AFB2BF-8CA0-467C-BBD6-E5C021117619}"/>
    <hyperlink ref="U41" r:id="rId43" xr:uid="{C6770D00-E978-4FD2-9980-783384EC196B}"/>
    <hyperlink ref="V42" r:id="rId44" xr:uid="{EFC67A9E-9787-46D4-93FF-90A72AE9DB28}"/>
    <hyperlink ref="U42" r:id="rId45" xr:uid="{6F350B3B-E005-4354-9157-19C49AD93A67}"/>
    <hyperlink ref="V43" r:id="rId46" xr:uid="{E51E4DD1-0C3E-4C84-8822-DE683B08BDB3}"/>
    <hyperlink ref="U43" r:id="rId47" xr:uid="{73A12D9E-9B6E-4C29-A1BF-346A83F785AC}"/>
    <hyperlink ref="V44" r:id="rId48" xr:uid="{65CCA62B-1300-4E35-81EE-65F4538A9B4A}"/>
    <hyperlink ref="U44" r:id="rId49" xr:uid="{766421AA-E3BA-4887-9F44-87CEFE52A159}"/>
    <hyperlink ref="V45" r:id="rId50" xr:uid="{F745A7B3-9CA9-430F-810B-1A6DB28AF16C}"/>
    <hyperlink ref="U45" r:id="rId51" xr:uid="{2F4C9D2F-392E-4657-B45A-8AD8E8C947CE}"/>
    <hyperlink ref="V29" r:id="rId52" xr:uid="{A56E6632-CAC5-4902-B3EE-F750C7CA3C8C}"/>
    <hyperlink ref="U29" r:id="rId53" xr:uid="{D1BC021E-F14D-4349-9B79-BDC118C2C3A4}"/>
    <hyperlink ref="U48" r:id="rId54" xr:uid="{474028DC-E920-4E48-AE9F-D7CF3BEEEDE3}"/>
    <hyperlink ref="V48" r:id="rId55" xr:uid="{BFA7FB8D-48E7-45CC-B9A7-984F440E784E}"/>
    <hyperlink ref="U50" r:id="rId56" xr:uid="{ABBEB5AE-7452-4A47-9086-926429B5636B}"/>
    <hyperlink ref="V51" r:id="rId57" xr:uid="{929891B2-430F-4F0E-A458-A211AE9168DE}"/>
    <hyperlink ref="U51" r:id="rId58" xr:uid="{71D377FF-31CB-4414-A25A-8166E3861FDF}"/>
    <hyperlink ref="V55" r:id="rId59" xr:uid="{4E125876-91C8-EB4B-AD5F-F78696DDCEE6}"/>
    <hyperlink ref="U55" r:id="rId60" xr:uid="{FDB58431-110A-4A4B-A27E-D2DD0D11C630}"/>
    <hyperlink ref="V58" r:id="rId61" xr:uid="{840C3A69-E067-4CA4-A3DE-B95DDCAD601C}"/>
    <hyperlink ref="U58" r:id="rId62" xr:uid="{A3F67F3F-6B32-4AD8-85F6-CEB5A8FE54A8}"/>
    <hyperlink ref="V57" r:id="rId63" xr:uid="{8F27FD19-A552-49D0-A01F-809C39FA8C08}"/>
    <hyperlink ref="U57" r:id="rId64" xr:uid="{CA93CDB5-4056-464F-8E6D-3DCA49F7B796}"/>
    <hyperlink ref="V67" r:id="rId65" xr:uid="{7C28661D-E94C-4C80-B950-B2A9727B2953}"/>
    <hyperlink ref="V60" r:id="rId66" xr:uid="{C92C6413-88BE-4A6B-B2E6-A8C0D341FD23}"/>
    <hyperlink ref="U60" r:id="rId67" xr:uid="{B0D1EBAD-4DCC-4F44-B86F-C05F0527A37F}"/>
    <hyperlink ref="V64" r:id="rId68" xr:uid="{D7D77E46-BD95-4A3A-9509-BBB47E72DAF3}"/>
    <hyperlink ref="U64" r:id="rId69" xr:uid="{6D57A6A9-864B-463E-97C2-E5C68A99E7AE}"/>
    <hyperlink ref="G3" r:id="rId70" xr:uid="{C863C295-5F51-4A4C-8465-B90D3EB68A4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70"/>
  <sheetViews>
    <sheetView topLeftCell="A9" zoomScale="60" zoomScaleNormal="60" workbookViewId="0">
      <selection activeCell="B44" sqref="B44"/>
    </sheetView>
  </sheetViews>
  <sheetFormatPr baseColWidth="10" defaultColWidth="10.6640625" defaultRowHeight="14.4" x14ac:dyDescent="0.3"/>
  <cols>
    <col min="1" max="1" width="41.109375" style="15" customWidth="1"/>
    <col min="2" max="2" width="48" style="15" bestFit="1" customWidth="1"/>
    <col min="3" max="3" width="47.109375" style="15" customWidth="1"/>
    <col min="4" max="4" width="89.88671875" style="67" customWidth="1"/>
    <col min="5" max="5" width="12" bestFit="1" customWidth="1"/>
    <col min="6" max="6" width="14.6640625" bestFit="1" customWidth="1"/>
    <col min="9" max="9" width="12" bestFit="1" customWidth="1"/>
    <col min="10" max="10" width="14.6640625" bestFit="1" customWidth="1"/>
    <col min="13" max="13" width="17.88671875" bestFit="1" customWidth="1"/>
  </cols>
  <sheetData>
    <row r="1" spans="1:4" x14ac:dyDescent="0.3">
      <c r="A1" s="63" t="s">
        <v>5</v>
      </c>
      <c r="B1" s="63" t="s">
        <v>2414</v>
      </c>
      <c r="C1" s="70" t="s">
        <v>1316</v>
      </c>
      <c r="D1" s="66" t="s">
        <v>2422</v>
      </c>
    </row>
    <row r="2" spans="1:4" x14ac:dyDescent="0.3">
      <c r="A2" s="15" t="s">
        <v>2415</v>
      </c>
      <c r="B2" s="15" t="s">
        <v>0</v>
      </c>
      <c r="C2" s="15" t="s">
        <v>2456</v>
      </c>
    </row>
    <row r="3" spans="1:4" x14ac:dyDescent="0.3">
      <c r="A3" s="15" t="s">
        <v>2415</v>
      </c>
      <c r="B3" s="15" t="s">
        <v>1</v>
      </c>
      <c r="C3" s="15" t="s">
        <v>2457</v>
      </c>
    </row>
    <row r="4" spans="1:4" ht="403.2" x14ac:dyDescent="0.3">
      <c r="A4" s="15" t="s">
        <v>2</v>
      </c>
      <c r="B4" s="15" t="s">
        <v>2</v>
      </c>
      <c r="C4" s="15" t="s">
        <v>2312</v>
      </c>
      <c r="D4" s="67" t="s">
        <v>2460</v>
      </c>
    </row>
    <row r="5" spans="1:4" s="57" customFormat="1" ht="115.2" x14ac:dyDescent="0.3">
      <c r="A5" s="15" t="s">
        <v>2</v>
      </c>
      <c r="B5" s="15" t="s">
        <v>7</v>
      </c>
      <c r="C5" s="15" t="s">
        <v>1317</v>
      </c>
      <c r="D5" s="67" t="s">
        <v>2424</v>
      </c>
    </row>
    <row r="6" spans="1:4" s="57" customFormat="1" ht="100.8" x14ac:dyDescent="0.3">
      <c r="A6" s="15" t="s">
        <v>2</v>
      </c>
      <c r="B6" s="15" t="s">
        <v>67</v>
      </c>
      <c r="C6" s="15" t="s">
        <v>1318</v>
      </c>
      <c r="D6" s="67" t="s">
        <v>2427</v>
      </c>
    </row>
    <row r="7" spans="1:4" s="57" customFormat="1" ht="115.2" x14ac:dyDescent="0.3">
      <c r="A7" s="15" t="s">
        <v>2</v>
      </c>
      <c r="B7" s="15" t="s">
        <v>92</v>
      </c>
      <c r="C7" s="15" t="s">
        <v>1319</v>
      </c>
      <c r="D7" s="67" t="s">
        <v>2423</v>
      </c>
    </row>
    <row r="8" spans="1:4" s="57" customFormat="1" ht="158.4" x14ac:dyDescent="0.3">
      <c r="A8" s="15" t="s">
        <v>2</v>
      </c>
      <c r="B8" s="15" t="s">
        <v>155</v>
      </c>
      <c r="C8" s="15" t="s">
        <v>1320</v>
      </c>
      <c r="D8" s="67" t="s">
        <v>2425</v>
      </c>
    </row>
    <row r="9" spans="1:4" s="57" customFormat="1" ht="144" x14ac:dyDescent="0.3">
      <c r="A9" s="15" t="s">
        <v>2</v>
      </c>
      <c r="B9" s="15" t="s">
        <v>283</v>
      </c>
      <c r="C9" s="15" t="s">
        <v>1321</v>
      </c>
      <c r="D9" s="67" t="s">
        <v>2426</v>
      </c>
    </row>
    <row r="10" spans="1:4" x14ac:dyDescent="0.3">
      <c r="A10" s="15" t="s">
        <v>2415</v>
      </c>
      <c r="B10" s="15" t="s">
        <v>3</v>
      </c>
      <c r="C10" s="15" t="s">
        <v>2458</v>
      </c>
    </row>
    <row r="11" spans="1:4" x14ac:dyDescent="0.3">
      <c r="A11" s="15" t="s">
        <v>2415</v>
      </c>
      <c r="B11" s="15" t="s">
        <v>4</v>
      </c>
      <c r="C11" s="15" t="s">
        <v>2459</v>
      </c>
    </row>
    <row r="12" spans="1:4" x14ac:dyDescent="0.3">
      <c r="A12" s="15" t="s">
        <v>2</v>
      </c>
      <c r="B12" s="15" t="s">
        <v>5</v>
      </c>
      <c r="C12" s="15" t="s">
        <v>2430</v>
      </c>
    </row>
    <row r="13" spans="1:4" x14ac:dyDescent="0.3">
      <c r="A13" s="15" t="s">
        <v>2415</v>
      </c>
      <c r="B13" s="15" t="s">
        <v>718</v>
      </c>
      <c r="C13" s="15" t="s">
        <v>2461</v>
      </c>
    </row>
    <row r="14" spans="1:4" x14ac:dyDescent="0.3">
      <c r="A14" s="15" t="s">
        <v>2415</v>
      </c>
      <c r="B14" s="15" t="s">
        <v>720</v>
      </c>
      <c r="C14" s="15" t="s">
        <v>2462</v>
      </c>
    </row>
    <row r="15" spans="1:4" x14ac:dyDescent="0.3">
      <c r="A15" s="15" t="s">
        <v>2415</v>
      </c>
      <c r="B15" s="15" t="s">
        <v>721</v>
      </c>
      <c r="C15" s="15" t="s">
        <v>2463</v>
      </c>
    </row>
    <row r="16" spans="1:4" x14ac:dyDescent="0.3">
      <c r="A16" s="15" t="s">
        <v>2415</v>
      </c>
      <c r="B16" s="15" t="s">
        <v>719</v>
      </c>
      <c r="C16" s="15" t="s">
        <v>2464</v>
      </c>
    </row>
    <row r="17" spans="1:4" x14ac:dyDescent="0.3">
      <c r="A17" s="64" t="s">
        <v>2</v>
      </c>
      <c r="B17" s="64" t="s">
        <v>722</v>
      </c>
      <c r="C17" s="64" t="s">
        <v>2320</v>
      </c>
      <c r="D17" s="68"/>
    </row>
    <row r="18" spans="1:4" x14ac:dyDescent="0.3">
      <c r="A18" s="15" t="s">
        <v>2416</v>
      </c>
      <c r="B18" s="15" t="s">
        <v>724</v>
      </c>
      <c r="C18" s="87" t="s">
        <v>2313</v>
      </c>
    </row>
    <row r="19" spans="1:4" x14ac:dyDescent="0.3">
      <c r="A19" s="15" t="s">
        <v>2416</v>
      </c>
      <c r="B19" s="15" t="s">
        <v>725</v>
      </c>
      <c r="C19" s="87"/>
    </row>
    <row r="20" spans="1:4" x14ac:dyDescent="0.3">
      <c r="A20" s="15" t="s">
        <v>2416</v>
      </c>
      <c r="B20" s="15" t="s">
        <v>726</v>
      </c>
      <c r="C20" s="87"/>
    </row>
    <row r="21" spans="1:4" x14ac:dyDescent="0.3">
      <c r="A21" s="15" t="s">
        <v>2416</v>
      </c>
      <c r="B21" s="15" t="s">
        <v>727</v>
      </c>
      <c r="C21" s="87"/>
    </row>
    <row r="22" spans="1:4" x14ac:dyDescent="0.3">
      <c r="A22" s="15" t="s">
        <v>2416</v>
      </c>
      <c r="B22" s="15" t="s">
        <v>728</v>
      </c>
      <c r="C22" s="87"/>
    </row>
    <row r="23" spans="1:4" x14ac:dyDescent="0.3">
      <c r="A23" s="15" t="s">
        <v>2416</v>
      </c>
      <c r="B23" s="15" t="s">
        <v>734</v>
      </c>
      <c r="C23" s="15" t="s">
        <v>2314</v>
      </c>
    </row>
    <row r="24" spans="1:4" x14ac:dyDescent="0.3">
      <c r="A24" s="15" t="s">
        <v>2417</v>
      </c>
      <c r="B24" s="15" t="s">
        <v>736</v>
      </c>
      <c r="C24" s="87" t="s">
        <v>2315</v>
      </c>
    </row>
    <row r="25" spans="1:4" x14ac:dyDescent="0.3">
      <c r="A25" s="15" t="s">
        <v>2417</v>
      </c>
      <c r="B25" s="15" t="s">
        <v>737</v>
      </c>
      <c r="C25" s="87"/>
    </row>
    <row r="26" spans="1:4" x14ac:dyDescent="0.3">
      <c r="A26" s="15" t="s">
        <v>2417</v>
      </c>
      <c r="B26" s="15" t="s">
        <v>738</v>
      </c>
      <c r="C26" s="87"/>
    </row>
    <row r="27" spans="1:4" x14ac:dyDescent="0.3">
      <c r="A27" s="64" t="s">
        <v>2</v>
      </c>
      <c r="B27" s="64" t="s">
        <v>1140</v>
      </c>
      <c r="C27" s="64" t="s">
        <v>2316</v>
      </c>
      <c r="D27" s="68"/>
    </row>
    <row r="28" spans="1:4" x14ac:dyDescent="0.3">
      <c r="A28" s="15" t="s">
        <v>2415</v>
      </c>
      <c r="B28" s="15" t="s">
        <v>1148</v>
      </c>
      <c r="C28" s="15" t="s">
        <v>2317</v>
      </c>
    </row>
    <row r="29" spans="1:4" x14ac:dyDescent="0.3">
      <c r="A29" s="15" t="s">
        <v>2415</v>
      </c>
      <c r="B29" s="15" t="s">
        <v>1647</v>
      </c>
      <c r="C29" s="15" t="s">
        <v>2318</v>
      </c>
    </row>
    <row r="30" spans="1:4" x14ac:dyDescent="0.3">
      <c r="A30" s="15" t="s">
        <v>2</v>
      </c>
      <c r="B30" s="15" t="s">
        <v>1700</v>
      </c>
      <c r="C30" s="87" t="s">
        <v>2319</v>
      </c>
    </row>
    <row r="31" spans="1:4" x14ac:dyDescent="0.3">
      <c r="A31" s="15" t="s">
        <v>2</v>
      </c>
      <c r="B31" s="15" t="s">
        <v>1701</v>
      </c>
      <c r="C31" s="87"/>
    </row>
    <row r="32" spans="1:4" x14ac:dyDescent="0.3">
      <c r="A32" s="15" t="s">
        <v>2</v>
      </c>
      <c r="B32" s="15" t="s">
        <v>1702</v>
      </c>
      <c r="C32" s="87"/>
    </row>
    <row r="33" spans="1:3" x14ac:dyDescent="0.3">
      <c r="A33" s="15" t="s">
        <v>2</v>
      </c>
      <c r="B33" s="15" t="s">
        <v>1703</v>
      </c>
      <c r="C33" s="87"/>
    </row>
    <row r="34" spans="1:3" x14ac:dyDescent="0.3">
      <c r="A34" s="15" t="s">
        <v>2</v>
      </c>
      <c r="B34" s="15" t="s">
        <v>1704</v>
      </c>
      <c r="C34" s="87"/>
    </row>
    <row r="35" spans="1:3" x14ac:dyDescent="0.3">
      <c r="A35" s="15" t="s">
        <v>2</v>
      </c>
      <c r="B35" s="15" t="s">
        <v>1705</v>
      </c>
      <c r="C35" s="87"/>
    </row>
    <row r="36" spans="1:3" x14ac:dyDescent="0.3">
      <c r="A36" s="15" t="s">
        <v>2</v>
      </c>
      <c r="B36" s="15" t="s">
        <v>1706</v>
      </c>
      <c r="C36" s="87"/>
    </row>
    <row r="37" spans="1:3" x14ac:dyDescent="0.3">
      <c r="A37" s="15" t="s">
        <v>2</v>
      </c>
      <c r="B37" s="15" t="s">
        <v>1727</v>
      </c>
      <c r="C37" s="87"/>
    </row>
    <row r="38" spans="1:3" x14ac:dyDescent="0.3">
      <c r="A38" s="15" t="s">
        <v>2</v>
      </c>
      <c r="B38" s="15" t="s">
        <v>1744</v>
      </c>
      <c r="C38" s="87"/>
    </row>
    <row r="39" spans="1:3" x14ac:dyDescent="0.3">
      <c r="A39" s="15" t="s">
        <v>2</v>
      </c>
      <c r="B39" s="15" t="s">
        <v>1745</v>
      </c>
      <c r="C39" s="87"/>
    </row>
    <row r="40" spans="1:3" x14ac:dyDescent="0.3">
      <c r="A40" s="15" t="s">
        <v>2</v>
      </c>
      <c r="B40" s="15" t="s">
        <v>1746</v>
      </c>
      <c r="C40" s="87"/>
    </row>
    <row r="41" spans="1:3" x14ac:dyDescent="0.3">
      <c r="A41" s="15" t="s">
        <v>2</v>
      </c>
      <c r="B41" s="15" t="s">
        <v>1747</v>
      </c>
      <c r="C41" s="87"/>
    </row>
    <row r="42" spans="1:3" x14ac:dyDescent="0.3">
      <c r="A42" s="15" t="s">
        <v>2</v>
      </c>
      <c r="B42" s="15" t="s">
        <v>1748</v>
      </c>
      <c r="C42" s="87"/>
    </row>
    <row r="43" spans="1:3" x14ac:dyDescent="0.3">
      <c r="A43" s="15" t="s">
        <v>2</v>
      </c>
      <c r="B43" s="15" t="s">
        <v>1768</v>
      </c>
      <c r="C43" s="87"/>
    </row>
    <row r="44" spans="1:3" x14ac:dyDescent="0.3">
      <c r="A44" s="15" t="s">
        <v>2</v>
      </c>
      <c r="B44" s="15" t="s">
        <v>1917</v>
      </c>
      <c r="C44" s="87"/>
    </row>
    <row r="45" spans="1:3" x14ac:dyDescent="0.3">
      <c r="A45" s="15" t="s">
        <v>2</v>
      </c>
      <c r="B45" s="15" t="s">
        <v>1918</v>
      </c>
      <c r="C45" s="87"/>
    </row>
    <row r="46" spans="1:3" x14ac:dyDescent="0.3">
      <c r="A46" s="15" t="s">
        <v>2</v>
      </c>
      <c r="B46" s="15" t="s">
        <v>1919</v>
      </c>
      <c r="C46" s="87"/>
    </row>
    <row r="47" spans="1:3" x14ac:dyDescent="0.3">
      <c r="A47" s="15" t="s">
        <v>2</v>
      </c>
      <c r="B47" s="15" t="s">
        <v>2033</v>
      </c>
      <c r="C47" s="87"/>
    </row>
    <row r="48" spans="1:3" x14ac:dyDescent="0.3">
      <c r="A48" s="15" t="s">
        <v>2</v>
      </c>
      <c r="B48" s="15" t="s">
        <v>2034</v>
      </c>
      <c r="C48" s="87"/>
    </row>
    <row r="49" spans="1:14" x14ac:dyDescent="0.3">
      <c r="A49" s="15" t="s">
        <v>2</v>
      </c>
      <c r="B49" s="15" t="s">
        <v>2035</v>
      </c>
      <c r="C49" s="87"/>
    </row>
    <row r="50" spans="1:14" ht="28.8" x14ac:dyDescent="0.3">
      <c r="A50" s="15" t="s">
        <v>2415</v>
      </c>
      <c r="B50" s="15" t="s">
        <v>2360</v>
      </c>
      <c r="C50" s="71" t="s">
        <v>2405</v>
      </c>
    </row>
    <row r="51" spans="1:14" ht="28.8" x14ac:dyDescent="0.3">
      <c r="A51" s="15" t="s">
        <v>2415</v>
      </c>
      <c r="B51" s="15" t="s">
        <v>2361</v>
      </c>
      <c r="C51" s="71" t="s">
        <v>2406</v>
      </c>
    </row>
    <row r="52" spans="1:14" ht="43.2" x14ac:dyDescent="0.3">
      <c r="A52" s="15" t="s">
        <v>2415</v>
      </c>
      <c r="B52" s="15" t="s">
        <v>2396</v>
      </c>
      <c r="C52" s="71" t="s">
        <v>2407</v>
      </c>
    </row>
    <row r="53" spans="1:14" ht="43.2" x14ac:dyDescent="0.3">
      <c r="A53" s="15" t="s">
        <v>2415</v>
      </c>
      <c r="B53" s="15" t="s">
        <v>2398</v>
      </c>
      <c r="C53" s="71" t="s">
        <v>2408</v>
      </c>
    </row>
    <row r="54" spans="1:14" s="57" customFormat="1" ht="57.6" x14ac:dyDescent="0.3">
      <c r="A54" s="15" t="s">
        <v>2</v>
      </c>
      <c r="B54" s="15" t="s">
        <v>2404</v>
      </c>
      <c r="C54" s="71" t="s">
        <v>2429</v>
      </c>
      <c r="D54" s="69" t="s">
        <v>2418</v>
      </c>
    </row>
    <row r="57" spans="1:14" x14ac:dyDescent="0.3">
      <c r="A57" s="65" t="s">
        <v>2399</v>
      </c>
    </row>
    <row r="58" spans="1:14" x14ac:dyDescent="0.3">
      <c r="A58" s="65" t="s">
        <v>2341</v>
      </c>
    </row>
    <row r="59" spans="1:14" x14ac:dyDescent="0.3">
      <c r="A59" s="65" t="s">
        <v>2400</v>
      </c>
    </row>
    <row r="60" spans="1:14" x14ac:dyDescent="0.3">
      <c r="A60" s="65" t="s">
        <v>2428</v>
      </c>
    </row>
    <row r="61" spans="1:14" s="57" customFormat="1" x14ac:dyDescent="0.3">
      <c r="A61" s="65"/>
      <c r="B61" s="15"/>
      <c r="C61" s="15"/>
      <c r="D61" s="67"/>
    </row>
    <row r="62" spans="1:14" x14ac:dyDescent="0.3">
      <c r="A62" s="63" t="s">
        <v>2</v>
      </c>
      <c r="B62" s="70" t="s">
        <v>1316</v>
      </c>
      <c r="E62" s="5" t="s">
        <v>5</v>
      </c>
      <c r="F62" s="6" t="s">
        <v>1610</v>
      </c>
      <c r="I62" s="5" t="s">
        <v>718</v>
      </c>
      <c r="J62" s="6" t="s">
        <v>1610</v>
      </c>
      <c r="M62" s="5" t="s">
        <v>719</v>
      </c>
      <c r="N62" s="6" t="s">
        <v>1610</v>
      </c>
    </row>
    <row r="63" spans="1:14" x14ac:dyDescent="0.3">
      <c r="A63" s="15" t="s">
        <v>7</v>
      </c>
      <c r="B63" s="15" t="s">
        <v>1317</v>
      </c>
      <c r="E63" t="s">
        <v>623</v>
      </c>
      <c r="F63" t="s">
        <v>1609</v>
      </c>
      <c r="I63" t="s">
        <v>623</v>
      </c>
      <c r="J63" t="s">
        <v>1609</v>
      </c>
      <c r="M63" t="s">
        <v>623</v>
      </c>
      <c r="N63" t="s">
        <v>1609</v>
      </c>
    </row>
    <row r="64" spans="1:14" x14ac:dyDescent="0.3">
      <c r="A64" s="15" t="s">
        <v>67</v>
      </c>
      <c r="B64" s="15" t="s">
        <v>1318</v>
      </c>
    </row>
    <row r="65" spans="1:2" x14ac:dyDescent="0.3">
      <c r="A65" s="15" t="s">
        <v>92</v>
      </c>
      <c r="B65" s="15" t="s">
        <v>1319</v>
      </c>
    </row>
    <row r="66" spans="1:2" x14ac:dyDescent="0.3">
      <c r="A66" s="15" t="s">
        <v>155</v>
      </c>
      <c r="B66" s="15" t="s">
        <v>1320</v>
      </c>
    </row>
    <row r="67" spans="1:2" x14ac:dyDescent="0.3">
      <c r="A67" s="15" t="s">
        <v>283</v>
      </c>
      <c r="B67" s="15" t="s">
        <v>1321</v>
      </c>
    </row>
    <row r="70" spans="1:2" x14ac:dyDescent="0.3">
      <c r="A70" s="65" t="s">
        <v>1677</v>
      </c>
    </row>
  </sheetData>
  <mergeCells count="3">
    <mergeCell ref="C18:C22"/>
    <mergeCell ref="C24:C26"/>
    <mergeCell ref="C30:C49"/>
  </mergeCells>
  <hyperlinks>
    <hyperlink ref="A70" r:id="rId1" xr:uid="{FF873AD5-B61C-4DF0-BB8F-92070B55A6C3}"/>
    <hyperlink ref="A57" r:id="rId2" xr:uid="{EEB8A62E-5D74-4F85-AE14-6C6E57020889}"/>
    <hyperlink ref="A58" r:id="rId3" xr:uid="{3B08A5EF-5519-4DE9-8A07-51EF3C6ABCB7}"/>
    <hyperlink ref="A59" r:id="rId4" xr:uid="{5B56DC63-410C-4A41-9015-B03C276D220F}"/>
    <hyperlink ref="D54" location="Categorias_de_Presupuesto" display="Ver pestaña &quot;Deflactor+Dolar+Categoria&quot;" xr:uid="{A1193574-8AB7-439B-B4B2-6C7245745B92}"/>
    <hyperlink ref="A60" r:id="rId5" xr:uid="{7A738B75-6979-406E-AAE5-92277BD09E4C}"/>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BU309"/>
  <sheetViews>
    <sheetView topLeftCell="BM286" workbookViewId="0">
      <selection activeCell="BU297" sqref="BU297"/>
    </sheetView>
  </sheetViews>
  <sheetFormatPr baseColWidth="10" defaultColWidth="10.6640625" defaultRowHeight="14.4" x14ac:dyDescent="0.3"/>
  <cols>
    <col min="62" max="62" width="19.5546875" customWidth="1"/>
    <col min="68" max="68" width="30.6640625" customWidth="1"/>
    <col min="69" max="69" width="32.109375" bestFit="1" customWidth="1"/>
    <col min="70" max="70" width="20.6640625" customWidth="1"/>
    <col min="71" max="71" width="14.44140625" customWidth="1"/>
  </cols>
  <sheetData>
    <row r="1" spans="1:70" x14ac:dyDescent="0.3">
      <c r="A1" s="17" t="s">
        <v>1612</v>
      </c>
      <c r="D1" s="17" t="s">
        <v>1615</v>
      </c>
      <c r="J1" s="17" t="s">
        <v>1618</v>
      </c>
      <c r="M1" s="17" t="s">
        <v>1619</v>
      </c>
      <c r="P1" s="17" t="s">
        <v>1634</v>
      </c>
      <c r="S1" s="17" t="s">
        <v>1618</v>
      </c>
      <c r="V1" s="17" t="s">
        <v>1619</v>
      </c>
      <c r="Y1" s="4" t="s">
        <v>1633</v>
      </c>
      <c r="AQ1" s="4" t="s">
        <v>1646</v>
      </c>
      <c r="BI1" s="17" t="s">
        <v>2397</v>
      </c>
      <c r="BL1" s="58" t="s">
        <v>2404</v>
      </c>
    </row>
    <row r="3" spans="1:70" ht="43.2" x14ac:dyDescent="0.3">
      <c r="A3" s="18" t="s">
        <v>1613</v>
      </c>
      <c r="B3" s="19" t="s">
        <v>1614</v>
      </c>
      <c r="D3" s="18" t="s">
        <v>1613</v>
      </c>
      <c r="E3" s="19" t="s">
        <v>1616</v>
      </c>
      <c r="G3" s="18" t="s">
        <v>1613</v>
      </c>
      <c r="H3" s="19" t="s">
        <v>1617</v>
      </c>
      <c r="J3" s="24" t="s">
        <v>1620</v>
      </c>
      <c r="K3" s="25" t="s">
        <v>1615</v>
      </c>
      <c r="M3" s="18" t="s">
        <v>1619</v>
      </c>
      <c r="N3" s="19"/>
      <c r="P3" s="18" t="s">
        <v>1613</v>
      </c>
      <c r="Q3" s="19" t="s">
        <v>1635</v>
      </c>
      <c r="S3" s="24" t="s">
        <v>1620</v>
      </c>
      <c r="T3" s="25" t="s">
        <v>1634</v>
      </c>
      <c r="V3" s="18" t="s">
        <v>1619</v>
      </c>
      <c r="W3" s="19"/>
      <c r="BI3" s="49" t="s">
        <v>1613</v>
      </c>
      <c r="BJ3" s="48" t="s">
        <v>2403</v>
      </c>
      <c r="BL3" s="7" t="s">
        <v>0</v>
      </c>
      <c r="BM3" s="7" t="s">
        <v>1</v>
      </c>
      <c r="BN3" s="7" t="s">
        <v>2</v>
      </c>
      <c r="BO3" s="7" t="s">
        <v>3</v>
      </c>
      <c r="BP3" s="7" t="s">
        <v>4</v>
      </c>
      <c r="BQ3" s="7" t="s">
        <v>2398</v>
      </c>
      <c r="BR3" s="7" t="s">
        <v>2412</v>
      </c>
    </row>
    <row r="4" spans="1:70" x14ac:dyDescent="0.3">
      <c r="A4" s="20">
        <v>21916</v>
      </c>
      <c r="B4" s="21">
        <v>4.5209932029445397E-3</v>
      </c>
      <c r="D4" s="20">
        <v>21916</v>
      </c>
      <c r="E4" s="21">
        <v>15939.1402467885</v>
      </c>
      <c r="G4" s="28">
        <f>YEAR(A4)</f>
        <v>1960</v>
      </c>
      <c r="H4" s="22">
        <f>B4/E4</f>
        <v>2.8364097014928097E-7</v>
      </c>
      <c r="J4" s="26" t="s">
        <v>1621</v>
      </c>
      <c r="K4" s="26" t="s">
        <v>1622</v>
      </c>
      <c r="M4" t="s">
        <v>1632</v>
      </c>
      <c r="P4" s="23">
        <v>43101</v>
      </c>
      <c r="Q4" s="21">
        <v>98.98</v>
      </c>
      <c r="S4" s="26" t="s">
        <v>1621</v>
      </c>
      <c r="T4" s="26" t="s">
        <v>1636</v>
      </c>
      <c r="V4" s="3" t="s">
        <v>1645</v>
      </c>
      <c r="BI4" s="53">
        <v>1999</v>
      </c>
      <c r="BJ4" s="52">
        <v>508.897250996016</v>
      </c>
      <c r="BL4" s="3">
        <v>2009</v>
      </c>
      <c r="BM4" s="3" t="s">
        <v>372</v>
      </c>
      <c r="BN4" s="3" t="s">
        <v>92</v>
      </c>
      <c r="BO4" s="3" t="s">
        <v>25</v>
      </c>
      <c r="BP4" s="3" t="s">
        <v>26</v>
      </c>
      <c r="BQ4" s="54">
        <v>60722</v>
      </c>
      <c r="BR4" s="59">
        <f>COUNT($BQ$4:$BQ4) / COUNT($BQ$4:$BQ$292)</f>
        <v>3.4602076124567475E-3</v>
      </c>
    </row>
    <row r="5" spans="1:70" x14ac:dyDescent="0.3">
      <c r="A5" s="20">
        <v>22282</v>
      </c>
      <c r="B5" s="21">
        <v>5.0706704041814602E-3</v>
      </c>
      <c r="D5" s="20">
        <v>22282</v>
      </c>
      <c r="E5" s="21">
        <v>16775.191489039102</v>
      </c>
      <c r="G5" s="28">
        <f t="shared" ref="G5:G63" si="0">YEAR(A5)</f>
        <v>1961</v>
      </c>
      <c r="H5" s="22">
        <f t="shared" ref="H5:H63" si="1">B5/E5</f>
        <v>3.0227198345214911E-7</v>
      </c>
      <c r="J5" s="26" t="s">
        <v>1623</v>
      </c>
      <c r="K5" s="26" t="s">
        <v>1624</v>
      </c>
      <c r="P5" s="23">
        <v>43132</v>
      </c>
      <c r="Q5" s="21">
        <v>99.08</v>
      </c>
      <c r="S5" s="26" t="s">
        <v>1623</v>
      </c>
      <c r="T5" s="26" t="s">
        <v>1637</v>
      </c>
      <c r="BI5" s="53">
        <v>2000</v>
      </c>
      <c r="BJ5" s="52">
        <v>538.87112903225795</v>
      </c>
      <c r="BL5" s="3">
        <v>2011</v>
      </c>
      <c r="BM5" s="3" t="s">
        <v>278</v>
      </c>
      <c r="BN5" s="3" t="s">
        <v>92</v>
      </c>
      <c r="BO5" s="3" t="s">
        <v>36</v>
      </c>
      <c r="BP5" s="3" t="s">
        <v>81</v>
      </c>
      <c r="BQ5" s="54">
        <v>155578</v>
      </c>
      <c r="BR5" s="59">
        <f>COUNT($BQ$4:$BQ5) / COUNT($BQ$4:$BQ$292)</f>
        <v>6.920415224913495E-3</v>
      </c>
    </row>
    <row r="6" spans="1:70" x14ac:dyDescent="0.3">
      <c r="A6" s="20">
        <v>22647</v>
      </c>
      <c r="B6" s="21">
        <v>5.9578934617919802E-3</v>
      </c>
      <c r="D6" s="20">
        <v>22647</v>
      </c>
      <c r="E6" s="21">
        <v>17450.675713235702</v>
      </c>
      <c r="G6" s="28">
        <f t="shared" si="0"/>
        <v>1962</v>
      </c>
      <c r="H6" s="22">
        <f t="shared" si="1"/>
        <v>3.414133389272219E-7</v>
      </c>
      <c r="J6" s="26" t="s">
        <v>1315</v>
      </c>
      <c r="K6" s="26" t="s">
        <v>1625</v>
      </c>
      <c r="P6" s="23">
        <v>43160</v>
      </c>
      <c r="Q6" s="21">
        <v>99.28</v>
      </c>
      <c r="S6" s="26" t="s">
        <v>1315</v>
      </c>
      <c r="T6" s="26" t="s">
        <v>1638</v>
      </c>
      <c r="BI6" s="53">
        <v>2001</v>
      </c>
      <c r="BJ6" s="52">
        <v>634.42850202429202</v>
      </c>
      <c r="BL6" s="3">
        <v>2010</v>
      </c>
      <c r="BM6" s="3" t="s">
        <v>318</v>
      </c>
      <c r="BN6" s="3" t="s">
        <v>7</v>
      </c>
      <c r="BO6" s="3" t="s">
        <v>12</v>
      </c>
      <c r="BP6" s="3" t="s">
        <v>61</v>
      </c>
      <c r="BQ6" s="54">
        <v>220915</v>
      </c>
      <c r="BR6" s="59">
        <f>COUNT($BQ$4:$BQ6) / COUNT($BQ$4:$BQ$292)</f>
        <v>1.0380622837370242E-2</v>
      </c>
    </row>
    <row r="7" spans="1:70" x14ac:dyDescent="0.3">
      <c r="A7" s="20">
        <v>23012</v>
      </c>
      <c r="B7" s="21">
        <v>9.0691295315124005E-3</v>
      </c>
      <c r="D7" s="20">
        <v>23012</v>
      </c>
      <c r="E7" s="21">
        <v>18469.819629671099</v>
      </c>
      <c r="G7" s="28">
        <f t="shared" si="0"/>
        <v>1963</v>
      </c>
      <c r="H7" s="22">
        <f t="shared" si="1"/>
        <v>4.910242608402721E-7</v>
      </c>
      <c r="J7" s="26" t="s">
        <v>1626</v>
      </c>
      <c r="K7" s="26">
        <v>2013</v>
      </c>
      <c r="P7" s="23">
        <v>43191</v>
      </c>
      <c r="Q7" s="21">
        <v>99.55</v>
      </c>
      <c r="S7" s="26" t="s">
        <v>1639</v>
      </c>
      <c r="T7" s="26" t="s">
        <v>1640</v>
      </c>
      <c r="BI7" s="53">
        <v>2002</v>
      </c>
      <c r="BJ7" s="52">
        <v>689.24244979919695</v>
      </c>
      <c r="BL7" s="3">
        <v>2011</v>
      </c>
      <c r="BM7" s="3" t="s">
        <v>276</v>
      </c>
      <c r="BN7" s="3" t="s">
        <v>92</v>
      </c>
      <c r="BO7" s="3" t="s">
        <v>36</v>
      </c>
      <c r="BP7" s="3" t="s">
        <v>81</v>
      </c>
      <c r="BQ7" s="54">
        <v>279270</v>
      </c>
      <c r="BR7" s="59">
        <f>COUNT($BQ$4:$BQ7) / COUNT($BQ$4:$BQ$292)</f>
        <v>1.384083044982699E-2</v>
      </c>
    </row>
    <row r="8" spans="1:70" x14ac:dyDescent="0.3">
      <c r="A8" s="20">
        <v>23377</v>
      </c>
      <c r="B8" s="21">
        <v>1.3759390903476099E-2</v>
      </c>
      <c r="D8" s="20">
        <v>23377</v>
      </c>
      <c r="E8" s="21">
        <v>18942.133651366701</v>
      </c>
      <c r="G8" s="28">
        <f t="shared" si="0"/>
        <v>1964</v>
      </c>
      <c r="H8" s="22">
        <f t="shared" si="1"/>
        <v>7.2639076234600109E-7</v>
      </c>
      <c r="J8" s="26" t="s">
        <v>1627</v>
      </c>
      <c r="K8" s="27">
        <v>43908</v>
      </c>
      <c r="P8" s="23">
        <v>43221</v>
      </c>
      <c r="Q8" s="21">
        <v>99.81</v>
      </c>
      <c r="S8" s="26" t="s">
        <v>1626</v>
      </c>
      <c r="T8" s="26" t="s">
        <v>1641</v>
      </c>
      <c r="BI8" s="53">
        <v>2003</v>
      </c>
      <c r="BJ8" s="52">
        <v>691.53556000000003</v>
      </c>
      <c r="BL8" s="3">
        <v>2015</v>
      </c>
      <c r="BM8" s="3" t="s">
        <v>163</v>
      </c>
      <c r="BN8" s="3" t="s">
        <v>7</v>
      </c>
      <c r="BO8" s="3" t="s">
        <v>164</v>
      </c>
      <c r="BP8" s="3" t="s">
        <v>165</v>
      </c>
      <c r="BQ8" s="54">
        <v>314865</v>
      </c>
      <c r="BR8" s="59">
        <f>COUNT($BQ$4:$BQ8) / COUNT($BQ$4:$BQ$292)</f>
        <v>1.7301038062283738E-2</v>
      </c>
    </row>
    <row r="9" spans="1:70" x14ac:dyDescent="0.3">
      <c r="A9" s="20">
        <v>23743</v>
      </c>
      <c r="B9" s="21">
        <v>1.9285068092797199E-2</v>
      </c>
      <c r="D9" s="20">
        <v>23743</v>
      </c>
      <c r="E9" s="21">
        <v>19122.135539409399</v>
      </c>
      <c r="G9" s="28">
        <f t="shared" si="0"/>
        <v>1965</v>
      </c>
      <c r="H9" s="22">
        <f t="shared" si="1"/>
        <v>1.0085206253795247E-6</v>
      </c>
      <c r="J9" s="26" t="s">
        <v>1628</v>
      </c>
      <c r="K9" s="26">
        <v>1960</v>
      </c>
      <c r="P9" s="23">
        <v>43252</v>
      </c>
      <c r="Q9" s="21">
        <v>99.9</v>
      </c>
      <c r="S9" s="26" t="s">
        <v>1627</v>
      </c>
      <c r="T9" s="27">
        <v>44082</v>
      </c>
      <c r="BI9" s="53">
        <v>2004</v>
      </c>
      <c r="BJ9" s="52">
        <v>609.54996031745998</v>
      </c>
      <c r="BL9" s="3">
        <v>2013</v>
      </c>
      <c r="BM9" s="3" t="s">
        <v>2359</v>
      </c>
      <c r="BN9" s="3" t="s">
        <v>7</v>
      </c>
      <c r="BO9" s="3" t="s">
        <v>20</v>
      </c>
      <c r="BP9" s="3" t="s">
        <v>21</v>
      </c>
      <c r="BQ9" s="54">
        <v>378363</v>
      </c>
      <c r="BR9" s="59">
        <f>COUNT($BQ$4:$BQ9) / COUNT($BQ$4:$BQ$292)</f>
        <v>2.0761245674740483E-2</v>
      </c>
    </row>
    <row r="10" spans="1:70" x14ac:dyDescent="0.3">
      <c r="A10" s="20">
        <v>24108</v>
      </c>
      <c r="B10" s="21">
        <v>2.7583282831624902E-2</v>
      </c>
      <c r="D10" s="20">
        <v>24108</v>
      </c>
      <c r="E10" s="21">
        <v>21270.7450507541</v>
      </c>
      <c r="G10" s="28">
        <f t="shared" si="0"/>
        <v>1966</v>
      </c>
      <c r="H10" s="22">
        <f t="shared" si="1"/>
        <v>1.2967708825341314E-6</v>
      </c>
      <c r="J10" s="26" t="s">
        <v>1629</v>
      </c>
      <c r="K10" s="26">
        <v>2019</v>
      </c>
      <c r="P10" s="23">
        <v>43282</v>
      </c>
      <c r="Q10" s="21">
        <v>100.22</v>
      </c>
      <c r="S10" s="26" t="s">
        <v>1628</v>
      </c>
      <c r="T10" s="26" t="s">
        <v>1642</v>
      </c>
      <c r="BI10" s="53">
        <v>2005</v>
      </c>
      <c r="BJ10" s="52">
        <v>559.86277777777798</v>
      </c>
      <c r="BL10" s="3">
        <v>2010</v>
      </c>
      <c r="BM10" s="3" t="s">
        <v>325</v>
      </c>
      <c r="BN10" s="3" t="s">
        <v>92</v>
      </c>
      <c r="BO10" s="3" t="s">
        <v>36</v>
      </c>
      <c r="BP10" s="3" t="s">
        <v>37</v>
      </c>
      <c r="BQ10" s="54">
        <v>517865</v>
      </c>
      <c r="BR10" s="59">
        <f>COUNT($BQ$4:$BQ10) / COUNT($BQ$4:$BQ$292)</f>
        <v>2.4221453287197232E-2</v>
      </c>
    </row>
    <row r="11" spans="1:70" x14ac:dyDescent="0.3">
      <c r="A11" s="20">
        <v>24473</v>
      </c>
      <c r="B11" s="21">
        <v>3.5767280686673897E-2</v>
      </c>
      <c r="D11" s="20">
        <v>24473</v>
      </c>
      <c r="E11" s="21">
        <v>22039.895160951201</v>
      </c>
      <c r="G11" s="28">
        <f t="shared" si="0"/>
        <v>1967</v>
      </c>
      <c r="H11" s="22">
        <f t="shared" si="1"/>
        <v>1.622842596367879E-6</v>
      </c>
      <c r="J11" s="26" t="s">
        <v>1630</v>
      </c>
      <c r="K11" s="26" t="s">
        <v>1631</v>
      </c>
      <c r="P11" s="23">
        <v>43313</v>
      </c>
      <c r="Q11" s="21">
        <v>100.31</v>
      </c>
      <c r="S11" s="26" t="s">
        <v>1629</v>
      </c>
      <c r="T11" s="26" t="s">
        <v>1643</v>
      </c>
      <c r="BI11" s="53">
        <v>2006</v>
      </c>
      <c r="BJ11" s="52">
        <v>530.26305220883603</v>
      </c>
      <c r="BL11" s="3">
        <v>2011</v>
      </c>
      <c r="BM11" s="3" t="s">
        <v>279</v>
      </c>
      <c r="BN11" s="3" t="s">
        <v>92</v>
      </c>
      <c r="BO11" s="3" t="s">
        <v>36</v>
      </c>
      <c r="BP11" s="3" t="s">
        <v>81</v>
      </c>
      <c r="BQ11" s="54">
        <v>523307</v>
      </c>
      <c r="BR11" s="59">
        <f>COUNT($BQ$4:$BQ11) / COUNT($BQ$4:$BQ$292)</f>
        <v>2.768166089965398E-2</v>
      </c>
    </row>
    <row r="12" spans="1:70" x14ac:dyDescent="0.3">
      <c r="A12" s="20">
        <v>24838</v>
      </c>
      <c r="B12" s="21">
        <v>4.9452883586818298E-2</v>
      </c>
      <c r="D12" s="20">
        <v>24838</v>
      </c>
      <c r="E12" s="21">
        <v>22831.571132942201</v>
      </c>
      <c r="G12" s="28">
        <f t="shared" si="0"/>
        <v>1968</v>
      </c>
      <c r="H12" s="22">
        <f t="shared" si="1"/>
        <v>2.1659868827627864E-6</v>
      </c>
      <c r="P12" s="23">
        <v>43344</v>
      </c>
      <c r="Q12" s="21">
        <v>100.51</v>
      </c>
      <c r="S12" s="26" t="s">
        <v>1630</v>
      </c>
      <c r="T12" s="26" t="s">
        <v>1644</v>
      </c>
      <c r="BI12" s="53">
        <v>2007</v>
      </c>
      <c r="BJ12" s="52">
        <v>522.69068825910904</v>
      </c>
      <c r="BL12" s="3">
        <v>2014</v>
      </c>
      <c r="BM12" s="3" t="s">
        <v>205</v>
      </c>
      <c r="BN12" s="3" t="s">
        <v>7</v>
      </c>
      <c r="BO12" s="3" t="s">
        <v>36</v>
      </c>
      <c r="BP12" s="3" t="s">
        <v>81</v>
      </c>
      <c r="BQ12" s="54">
        <v>547789</v>
      </c>
      <c r="BR12" s="59">
        <f>COUNT($BQ$4:$BQ12) / COUNT($BQ$4:$BQ$292)</f>
        <v>3.1141868512110725E-2</v>
      </c>
    </row>
    <row r="13" spans="1:70" x14ac:dyDescent="0.3">
      <c r="A13" s="20">
        <v>25204</v>
      </c>
      <c r="B13" s="21">
        <v>7.2043045877725698E-2</v>
      </c>
      <c r="D13" s="20">
        <v>25204</v>
      </c>
      <c r="E13" s="21">
        <v>23730.674586489698</v>
      </c>
      <c r="G13" s="28">
        <f t="shared" si="0"/>
        <v>1969</v>
      </c>
      <c r="H13" s="22">
        <f t="shared" si="1"/>
        <v>3.0358616909584654E-6</v>
      </c>
      <c r="P13" s="23">
        <v>43374</v>
      </c>
      <c r="Q13" s="21">
        <v>100.91</v>
      </c>
      <c r="BI13" s="53">
        <v>2008</v>
      </c>
      <c r="BJ13" s="52">
        <v>521.78956000000005</v>
      </c>
      <c r="BL13" s="3">
        <v>2014</v>
      </c>
      <c r="BM13" s="3" t="s">
        <v>197</v>
      </c>
      <c r="BN13" s="3" t="s">
        <v>7</v>
      </c>
      <c r="BO13" s="3" t="s">
        <v>36</v>
      </c>
      <c r="BP13" s="3" t="s">
        <v>81</v>
      </c>
      <c r="BQ13" s="54">
        <v>552447</v>
      </c>
      <c r="BR13" s="59">
        <f>COUNT($BQ$4:$BQ13) / COUNT($BQ$4:$BQ$292)</f>
        <v>3.4602076124567477E-2</v>
      </c>
    </row>
    <row r="14" spans="1:70" x14ac:dyDescent="0.3">
      <c r="A14" s="20">
        <v>25569</v>
      </c>
      <c r="B14" s="21">
        <v>0.103127324280625</v>
      </c>
      <c r="D14" s="20">
        <v>25569</v>
      </c>
      <c r="E14" s="21">
        <v>24164.700786703499</v>
      </c>
      <c r="G14" s="28">
        <f t="shared" si="0"/>
        <v>1970</v>
      </c>
      <c r="H14" s="22">
        <f t="shared" si="1"/>
        <v>4.2676847187518363E-6</v>
      </c>
      <c r="P14" s="23">
        <v>43405</v>
      </c>
      <c r="Q14" s="21">
        <v>100.82</v>
      </c>
      <c r="BI14" s="53">
        <v>2009</v>
      </c>
      <c r="BJ14" s="52">
        <v>559.66732000000002</v>
      </c>
      <c r="BL14" s="3">
        <v>2009</v>
      </c>
      <c r="BM14" s="3" t="s">
        <v>387</v>
      </c>
      <c r="BN14" s="3" t="s">
        <v>7</v>
      </c>
      <c r="BO14" s="3" t="s">
        <v>290</v>
      </c>
      <c r="BP14" s="3" t="s">
        <v>291</v>
      </c>
      <c r="BQ14" s="54">
        <v>569267</v>
      </c>
      <c r="BR14" s="59">
        <f>COUNT($BQ$4:$BQ14) / COUNT($BQ$4:$BQ$292)</f>
        <v>3.8062283737024222E-2</v>
      </c>
    </row>
    <row r="15" spans="1:70" x14ac:dyDescent="0.3">
      <c r="A15" s="20">
        <v>25934</v>
      </c>
      <c r="B15" s="21">
        <v>0.132786177206515</v>
      </c>
      <c r="D15" s="20">
        <v>25934</v>
      </c>
      <c r="E15" s="21">
        <v>26441.664715937201</v>
      </c>
      <c r="G15" s="28">
        <f t="shared" si="0"/>
        <v>1971</v>
      </c>
      <c r="H15" s="22">
        <f t="shared" si="1"/>
        <v>5.0218539049275788E-6</v>
      </c>
      <c r="P15" s="23">
        <v>43435</v>
      </c>
      <c r="Q15" s="21">
        <v>100.64</v>
      </c>
      <c r="BI15" s="53">
        <v>2010</v>
      </c>
      <c r="BJ15" s="52">
        <v>510.37664000000001</v>
      </c>
      <c r="BL15" s="3">
        <v>2009</v>
      </c>
      <c r="BM15" s="3" t="s">
        <v>371</v>
      </c>
      <c r="BN15" s="3" t="s">
        <v>7</v>
      </c>
      <c r="BO15" s="3" t="s">
        <v>290</v>
      </c>
      <c r="BP15" s="3" t="s">
        <v>291</v>
      </c>
      <c r="BQ15" s="54">
        <v>569267</v>
      </c>
      <c r="BR15" s="59">
        <f>COUNT($BQ$4:$BQ15) / COUNT($BQ$4:$BQ$292)</f>
        <v>4.1522491349480967E-2</v>
      </c>
    </row>
    <row r="16" spans="1:70" x14ac:dyDescent="0.3">
      <c r="A16" s="20">
        <v>26299</v>
      </c>
      <c r="B16" s="21">
        <v>0.24655942367578401</v>
      </c>
      <c r="D16" s="20">
        <v>26299</v>
      </c>
      <c r="E16" s="21">
        <v>26171.9735397162</v>
      </c>
      <c r="G16" s="28">
        <f t="shared" si="0"/>
        <v>1972</v>
      </c>
      <c r="H16" s="22">
        <f t="shared" si="1"/>
        <v>9.4207425092199459E-6</v>
      </c>
      <c r="P16" s="23">
        <v>43466</v>
      </c>
      <c r="Q16" s="21">
        <v>100.75</v>
      </c>
      <c r="BI16" s="53">
        <v>2011</v>
      </c>
      <c r="BJ16" s="52">
        <v>483.36404761904799</v>
      </c>
      <c r="BL16" s="3">
        <v>2009</v>
      </c>
      <c r="BM16" s="3" t="s">
        <v>386</v>
      </c>
      <c r="BN16" s="3" t="s">
        <v>7</v>
      </c>
      <c r="BO16" s="3" t="s">
        <v>290</v>
      </c>
      <c r="BP16" s="3" t="s">
        <v>291</v>
      </c>
      <c r="BQ16" s="54">
        <v>569267</v>
      </c>
      <c r="BR16" s="59">
        <f>COUNT($BQ$4:$BQ16) / COUNT($BQ$4:$BQ$292)</f>
        <v>4.4982698961937718E-2</v>
      </c>
    </row>
    <row r="17" spans="1:70" x14ac:dyDescent="0.3">
      <c r="A17" s="20">
        <v>26665</v>
      </c>
      <c r="B17" s="21">
        <v>1.20547630438486</v>
      </c>
      <c r="D17" s="20">
        <v>26665</v>
      </c>
      <c r="E17" s="21">
        <v>24855.719990956899</v>
      </c>
      <c r="G17" s="28">
        <f t="shared" si="0"/>
        <v>1973</v>
      </c>
      <c r="H17" s="22">
        <f t="shared" si="1"/>
        <v>4.8498949329306933E-5</v>
      </c>
      <c r="P17" s="23">
        <v>43497</v>
      </c>
      <c r="Q17" s="21">
        <v>100.79</v>
      </c>
      <c r="BI17" s="53">
        <v>2012</v>
      </c>
      <c r="BJ17" s="52">
        <v>486.74655870445298</v>
      </c>
      <c r="BL17" s="3">
        <v>2009</v>
      </c>
      <c r="BM17" s="3" t="s">
        <v>385</v>
      </c>
      <c r="BN17" s="3" t="s">
        <v>7</v>
      </c>
      <c r="BO17" s="3" t="s">
        <v>290</v>
      </c>
      <c r="BP17" s="3" t="s">
        <v>291</v>
      </c>
      <c r="BQ17" s="54">
        <v>569267</v>
      </c>
      <c r="BR17" s="59">
        <f>COUNT($BQ$4:$BQ17) / COUNT($BQ$4:$BQ$292)</f>
        <v>4.8442906574394463E-2</v>
      </c>
    </row>
    <row r="18" spans="1:70" x14ac:dyDescent="0.3">
      <c r="A18" s="20">
        <v>27030</v>
      </c>
      <c r="B18" s="21">
        <v>9.6095276208550509</v>
      </c>
      <c r="D18" s="20">
        <v>27030</v>
      </c>
      <c r="E18" s="21">
        <v>25447.820358796998</v>
      </c>
      <c r="G18" s="28">
        <f t="shared" si="0"/>
        <v>1974</v>
      </c>
      <c r="H18" s="22">
        <f t="shared" si="1"/>
        <v>3.7761692299643866E-4</v>
      </c>
      <c r="P18" s="23">
        <v>43525</v>
      </c>
      <c r="Q18" s="21">
        <v>101.27</v>
      </c>
      <c r="BI18" s="53">
        <v>2013</v>
      </c>
      <c r="BJ18" s="52">
        <v>494.99516129032298</v>
      </c>
      <c r="BL18" s="3">
        <v>2020</v>
      </c>
      <c r="BM18" s="3" t="s">
        <v>1299</v>
      </c>
      <c r="BN18" s="3" t="s">
        <v>7</v>
      </c>
      <c r="BO18" s="3" t="s">
        <v>36</v>
      </c>
      <c r="BP18" s="3" t="s">
        <v>1300</v>
      </c>
      <c r="BQ18" s="54">
        <v>638124</v>
      </c>
      <c r="BR18" s="59">
        <f>COUNT($BQ$4:$BQ18) / COUNT($BQ$4:$BQ$292)</f>
        <v>5.1903114186851208E-2</v>
      </c>
    </row>
    <row r="19" spans="1:70" x14ac:dyDescent="0.3">
      <c r="A19" s="20">
        <v>27395</v>
      </c>
      <c r="B19" s="21">
        <v>37.425087222906299</v>
      </c>
      <c r="D19" s="20">
        <v>27395</v>
      </c>
      <c r="E19" s="21">
        <v>22161.9720785309</v>
      </c>
      <c r="G19" s="28">
        <f t="shared" si="0"/>
        <v>1975</v>
      </c>
      <c r="H19" s="22">
        <f t="shared" si="1"/>
        <v>1.6887074440077167E-3</v>
      </c>
      <c r="P19" s="23">
        <v>43556</v>
      </c>
      <c r="Q19" s="21">
        <v>101.54</v>
      </c>
      <c r="BI19" s="53">
        <v>2014</v>
      </c>
      <c r="BJ19" s="52">
        <v>570.00590361445802</v>
      </c>
      <c r="BL19" s="3">
        <v>2016</v>
      </c>
      <c r="BM19" s="3" t="s">
        <v>137</v>
      </c>
      <c r="BN19" s="3" t="s">
        <v>67</v>
      </c>
      <c r="BO19" s="3" t="s">
        <v>138</v>
      </c>
      <c r="BP19" s="3" t="s">
        <v>139</v>
      </c>
      <c r="BQ19" s="54">
        <v>736135</v>
      </c>
      <c r="BR19" s="59">
        <f>COUNT($BQ$4:$BQ19) / COUNT($BQ$4:$BQ$292)</f>
        <v>5.536332179930796E-2</v>
      </c>
    </row>
    <row r="20" spans="1:70" x14ac:dyDescent="0.3">
      <c r="A20" s="20">
        <v>27760</v>
      </c>
      <c r="B20" s="21">
        <v>134.962124459786</v>
      </c>
      <c r="D20" s="20">
        <v>27760</v>
      </c>
      <c r="E20" s="21">
        <v>23011.348276437799</v>
      </c>
      <c r="G20" s="28">
        <f t="shared" si="0"/>
        <v>1976</v>
      </c>
      <c r="H20" s="22">
        <f t="shared" si="1"/>
        <v>5.865024632128092E-3</v>
      </c>
      <c r="P20" s="23">
        <v>43586</v>
      </c>
      <c r="Q20" s="21">
        <v>102.15</v>
      </c>
      <c r="BI20" s="53">
        <v>2015</v>
      </c>
      <c r="BJ20" s="52">
        <v>654.24900000000002</v>
      </c>
      <c r="BL20" s="3">
        <v>2010</v>
      </c>
      <c r="BM20" s="3" t="s">
        <v>319</v>
      </c>
      <c r="BN20" s="3" t="s">
        <v>7</v>
      </c>
      <c r="BO20" s="3" t="s">
        <v>12</v>
      </c>
      <c r="BP20" s="3" t="s">
        <v>61</v>
      </c>
      <c r="BQ20" s="54">
        <v>898589</v>
      </c>
      <c r="BR20" s="59">
        <f>COUNT($BQ$4:$BQ20) / COUNT($BQ$4:$BQ$292)</f>
        <v>5.8823529411764705E-2</v>
      </c>
    </row>
    <row r="21" spans="1:70" x14ac:dyDescent="0.3">
      <c r="A21" s="20">
        <v>28126</v>
      </c>
      <c r="B21" s="21">
        <v>300.76072430628699</v>
      </c>
      <c r="D21" s="20">
        <v>28126</v>
      </c>
      <c r="E21" s="21">
        <v>25414.811434632498</v>
      </c>
      <c r="G21" s="28">
        <f t="shared" si="0"/>
        <v>1977</v>
      </c>
      <c r="H21" s="22">
        <f t="shared" si="1"/>
        <v>1.1834072626501706E-2</v>
      </c>
      <c r="P21" s="23">
        <v>43617</v>
      </c>
      <c r="Q21" s="21">
        <v>102.2</v>
      </c>
      <c r="BI21" s="53">
        <v>2016</v>
      </c>
      <c r="BJ21" s="52">
        <v>676.83242063492003</v>
      </c>
      <c r="BL21" s="3">
        <v>2010</v>
      </c>
      <c r="BM21" s="3" t="s">
        <v>324</v>
      </c>
      <c r="BN21" s="3" t="s">
        <v>92</v>
      </c>
      <c r="BO21" s="3" t="s">
        <v>36</v>
      </c>
      <c r="BP21" s="3" t="s">
        <v>37</v>
      </c>
      <c r="BQ21" s="54">
        <v>1005648</v>
      </c>
      <c r="BR21" s="59">
        <f>COUNT($BQ$4:$BQ21) / COUNT($BQ$4:$BQ$292)</f>
        <v>6.228373702422145E-2</v>
      </c>
    </row>
    <row r="22" spans="1:70" x14ac:dyDescent="0.3">
      <c r="A22" s="20">
        <v>28491</v>
      </c>
      <c r="B22" s="21">
        <v>506.241301247058</v>
      </c>
      <c r="D22" s="20">
        <v>28491</v>
      </c>
      <c r="E22" s="21">
        <v>27372.032394184898</v>
      </c>
      <c r="G22" s="28">
        <f t="shared" si="0"/>
        <v>1978</v>
      </c>
      <c r="H22" s="22">
        <f t="shared" si="1"/>
        <v>1.8494837867962167E-2</v>
      </c>
      <c r="P22" s="23">
        <v>43647</v>
      </c>
      <c r="Q22" s="21">
        <v>102.43</v>
      </c>
      <c r="BI22" s="53">
        <v>2017</v>
      </c>
      <c r="BJ22" s="52">
        <v>649.32878542510002</v>
      </c>
      <c r="BL22" s="3">
        <v>2009</v>
      </c>
      <c r="BM22" s="3" t="s">
        <v>361</v>
      </c>
      <c r="BN22" s="3" t="s">
        <v>155</v>
      </c>
      <c r="BO22" s="3" t="s">
        <v>40</v>
      </c>
      <c r="BP22" s="3" t="s">
        <v>41</v>
      </c>
      <c r="BQ22" s="54">
        <v>1129255</v>
      </c>
      <c r="BR22" s="59">
        <f>COUNT($BQ$4:$BQ22) / COUNT($BQ$4:$BQ$292)</f>
        <v>6.5743944636678195E-2</v>
      </c>
    </row>
    <row r="23" spans="1:70" x14ac:dyDescent="0.3">
      <c r="A23" s="20">
        <v>28856</v>
      </c>
      <c r="B23" s="21">
        <v>812.18771274474898</v>
      </c>
      <c r="D23" s="20">
        <v>28856</v>
      </c>
      <c r="E23" s="21">
        <v>29676.293479917102</v>
      </c>
      <c r="G23" s="28">
        <f t="shared" si="0"/>
        <v>1979</v>
      </c>
      <c r="H23" s="22">
        <f t="shared" si="1"/>
        <v>2.736823293968239E-2</v>
      </c>
      <c r="P23" s="23">
        <v>43678</v>
      </c>
      <c r="Q23" s="21">
        <v>102.62</v>
      </c>
      <c r="BI23" s="53">
        <v>2018</v>
      </c>
      <c r="BJ23" s="52">
        <v>640.29077235772399</v>
      </c>
      <c r="BL23" s="3">
        <v>2014</v>
      </c>
      <c r="BM23" s="3" t="s">
        <v>186</v>
      </c>
      <c r="BN23" s="3" t="s">
        <v>92</v>
      </c>
      <c r="BO23" s="3" t="s">
        <v>25</v>
      </c>
      <c r="BP23" s="3" t="s">
        <v>29</v>
      </c>
      <c r="BQ23" s="54">
        <v>1247678</v>
      </c>
      <c r="BR23" s="59">
        <f>COUNT($BQ$4:$BQ23) / COUNT($BQ$4:$BQ$292)</f>
        <v>6.9204152249134954E-2</v>
      </c>
    </row>
    <row r="24" spans="1:70" x14ac:dyDescent="0.3">
      <c r="A24" s="20">
        <v>29221</v>
      </c>
      <c r="B24" s="21">
        <v>1132.4316850482201</v>
      </c>
      <c r="D24" s="20">
        <v>29221</v>
      </c>
      <c r="E24" s="21">
        <v>32046.4264949918</v>
      </c>
      <c r="G24" s="28">
        <f t="shared" si="0"/>
        <v>1980</v>
      </c>
      <c r="H24" s="22">
        <f t="shared" si="1"/>
        <v>3.5337221927855073E-2</v>
      </c>
      <c r="P24" s="23">
        <v>43709</v>
      </c>
      <c r="Q24" s="21">
        <v>102.63</v>
      </c>
      <c r="BI24" s="53">
        <v>2019</v>
      </c>
      <c r="BJ24" s="52">
        <v>702.63104838709705</v>
      </c>
      <c r="BL24" s="3">
        <v>2014</v>
      </c>
      <c r="BM24" s="3" t="s">
        <v>191</v>
      </c>
      <c r="BN24" s="3" t="s">
        <v>7</v>
      </c>
      <c r="BO24" s="3" t="s">
        <v>36</v>
      </c>
      <c r="BP24" s="3" t="s">
        <v>37</v>
      </c>
      <c r="BQ24" s="54">
        <v>1264899</v>
      </c>
      <c r="BR24" s="59">
        <f>COUNT($BQ$4:$BQ24) / COUNT($BQ$4:$BQ$292)</f>
        <v>7.2664359861591699E-2</v>
      </c>
    </row>
    <row r="25" spans="1:70" x14ac:dyDescent="0.3">
      <c r="A25" s="20">
        <v>29587</v>
      </c>
      <c r="B25" s="21">
        <v>1345.8852437082101</v>
      </c>
      <c r="D25" s="20">
        <v>29587</v>
      </c>
      <c r="E25" s="21">
        <v>34137.5745127255</v>
      </c>
      <c r="G25" s="28">
        <f t="shared" si="0"/>
        <v>1981</v>
      </c>
      <c r="H25" s="22">
        <f t="shared" si="1"/>
        <v>3.9425333021433702E-2</v>
      </c>
      <c r="P25" s="23">
        <v>43739</v>
      </c>
      <c r="Q25" s="21">
        <v>103.47</v>
      </c>
      <c r="BI25" s="51">
        <v>2020</v>
      </c>
      <c r="BJ25" s="50">
        <v>792.22183266932302</v>
      </c>
      <c r="BL25" s="3">
        <v>2018</v>
      </c>
      <c r="BM25" s="3" t="s">
        <v>59</v>
      </c>
      <c r="BN25" s="3" t="s">
        <v>7</v>
      </c>
      <c r="BO25" s="3" t="s">
        <v>12</v>
      </c>
      <c r="BP25" s="3" t="s">
        <v>58</v>
      </c>
      <c r="BQ25" s="54">
        <v>1282491</v>
      </c>
      <c r="BR25" s="59">
        <f>COUNT($BQ$4:$BQ25) / COUNT($BQ$4:$BQ$292)</f>
        <v>7.6124567474048443E-2</v>
      </c>
    </row>
    <row r="26" spans="1:70" x14ac:dyDescent="0.3">
      <c r="A26" s="20">
        <v>29952</v>
      </c>
      <c r="B26" s="21">
        <v>1289.3412230643301</v>
      </c>
      <c r="D26" s="20">
        <v>29952</v>
      </c>
      <c r="E26" s="21">
        <v>30377.5579154847</v>
      </c>
      <c r="G26" s="28">
        <f t="shared" si="0"/>
        <v>1982</v>
      </c>
      <c r="H26" s="22">
        <f t="shared" si="1"/>
        <v>4.2443873422988339E-2</v>
      </c>
      <c r="P26" s="23">
        <v>43770</v>
      </c>
      <c r="Q26" s="21">
        <v>103.55</v>
      </c>
      <c r="BL26" s="3">
        <v>2018</v>
      </c>
      <c r="BM26" s="3" t="s">
        <v>60</v>
      </c>
      <c r="BN26" s="3" t="s">
        <v>7</v>
      </c>
      <c r="BO26" s="3" t="s">
        <v>12</v>
      </c>
      <c r="BP26" s="3" t="s">
        <v>61</v>
      </c>
      <c r="BQ26" s="54">
        <v>1651222</v>
      </c>
      <c r="BR26" s="59">
        <f>COUNT($BQ$4:$BQ26) / COUNT($BQ$4:$BQ$292)</f>
        <v>7.9584775086505188E-2</v>
      </c>
    </row>
    <row r="27" spans="1:70" x14ac:dyDescent="0.3">
      <c r="A27" s="20">
        <v>30317</v>
      </c>
      <c r="B27" s="21">
        <v>1603.8460282636299</v>
      </c>
      <c r="D27" s="20">
        <v>30317</v>
      </c>
      <c r="E27" s="21">
        <v>28853.388089708798</v>
      </c>
      <c r="G27" s="28">
        <f t="shared" si="0"/>
        <v>1983</v>
      </c>
      <c r="H27" s="22">
        <f t="shared" si="1"/>
        <v>5.5586055380292661E-2</v>
      </c>
      <c r="P27" s="23">
        <v>43800</v>
      </c>
      <c r="Q27" s="21">
        <v>103.66</v>
      </c>
      <c r="BL27" s="3">
        <v>2019</v>
      </c>
      <c r="BM27" s="3" t="s">
        <v>34</v>
      </c>
      <c r="BN27" s="3" t="s">
        <v>7</v>
      </c>
      <c r="BO27" s="3" t="s">
        <v>8</v>
      </c>
      <c r="BP27" s="3" t="s">
        <v>9</v>
      </c>
      <c r="BQ27" s="54">
        <v>1656262</v>
      </c>
      <c r="BR27" s="59">
        <f>COUNT($BQ$4:$BQ27) / COUNT($BQ$4:$BQ$292)</f>
        <v>8.3044982698961933E-2</v>
      </c>
    </row>
    <row r="28" spans="1:70" x14ac:dyDescent="0.3">
      <c r="A28" s="20">
        <v>30682</v>
      </c>
      <c r="B28" s="21">
        <v>1932.4265062177701</v>
      </c>
      <c r="D28" s="20">
        <v>30682</v>
      </c>
      <c r="E28" s="21">
        <v>30037.439741358801</v>
      </c>
      <c r="G28" s="28">
        <f t="shared" si="0"/>
        <v>1984</v>
      </c>
      <c r="H28" s="22">
        <f t="shared" si="1"/>
        <v>6.4333928685572889E-2</v>
      </c>
      <c r="P28" s="23">
        <v>43831</v>
      </c>
      <c r="Q28" s="21">
        <v>104.24</v>
      </c>
      <c r="BI28" s="4" t="s">
        <v>2402</v>
      </c>
      <c r="BL28" s="30">
        <v>2019</v>
      </c>
      <c r="BM28" s="30" t="s">
        <v>6</v>
      </c>
      <c r="BN28" s="30" t="s">
        <v>7</v>
      </c>
      <c r="BO28" s="30" t="s">
        <v>8</v>
      </c>
      <c r="BP28" s="30" t="s">
        <v>9</v>
      </c>
      <c r="BQ28" s="54">
        <v>1656262</v>
      </c>
      <c r="BR28" s="59">
        <f>COUNT($BQ$4:$BQ28) / COUNT($BQ$4:$BQ$292)</f>
        <v>8.6505190311418678E-2</v>
      </c>
    </row>
    <row r="29" spans="1:70" x14ac:dyDescent="0.3">
      <c r="A29" s="20">
        <v>31048</v>
      </c>
      <c r="B29" s="21">
        <v>2847.6861443614898</v>
      </c>
      <c r="D29" s="20">
        <v>31048</v>
      </c>
      <c r="E29" s="21">
        <v>31241.915904211</v>
      </c>
      <c r="G29" s="28">
        <f t="shared" si="0"/>
        <v>1985</v>
      </c>
      <c r="H29" s="22">
        <f t="shared" si="1"/>
        <v>9.1149536190181568E-2</v>
      </c>
      <c r="P29" s="23">
        <v>43862</v>
      </c>
      <c r="Q29" s="21">
        <v>104.71</v>
      </c>
      <c r="BI29" s="4" t="s">
        <v>2401</v>
      </c>
      <c r="BL29" s="30">
        <v>2019</v>
      </c>
      <c r="BM29" s="30" t="s">
        <v>15</v>
      </c>
      <c r="BN29" s="30" t="s">
        <v>7</v>
      </c>
      <c r="BO29" s="30" t="s">
        <v>8</v>
      </c>
      <c r="BP29" s="30" t="s">
        <v>9</v>
      </c>
      <c r="BQ29" s="54">
        <v>1656262</v>
      </c>
      <c r="BR29" s="59">
        <f>COUNT($BQ$4:$BQ29) / COUNT($BQ$4:$BQ$292)</f>
        <v>8.9965397923875437E-2</v>
      </c>
    </row>
    <row r="30" spans="1:70" x14ac:dyDescent="0.3">
      <c r="A30" s="20">
        <v>31413</v>
      </c>
      <c r="B30" s="21">
        <v>3644.6500486484401</v>
      </c>
      <c r="D30" s="20">
        <v>31413</v>
      </c>
      <c r="E30" s="21">
        <v>32922.010017148998</v>
      </c>
      <c r="G30" s="28">
        <f t="shared" si="0"/>
        <v>1986</v>
      </c>
      <c r="H30" s="22">
        <f t="shared" si="1"/>
        <v>0.11070557498615517</v>
      </c>
      <c r="P30" s="23">
        <v>43891</v>
      </c>
      <c r="Q30" s="21">
        <v>105.06</v>
      </c>
      <c r="BL30" s="3">
        <v>2010</v>
      </c>
      <c r="BM30" s="3" t="s">
        <v>317</v>
      </c>
      <c r="BN30" s="3" t="s">
        <v>7</v>
      </c>
      <c r="BO30" s="3" t="s">
        <v>12</v>
      </c>
      <c r="BP30" s="3" t="s">
        <v>61</v>
      </c>
      <c r="BQ30" s="54">
        <v>1754975</v>
      </c>
      <c r="BR30" s="59">
        <f>COUNT($BQ$4:$BQ30) / COUNT($BQ$4:$BQ$292)</f>
        <v>9.3425605536332182E-2</v>
      </c>
    </row>
    <row r="31" spans="1:70" x14ac:dyDescent="0.3">
      <c r="A31" s="20">
        <v>31778</v>
      </c>
      <c r="B31" s="21">
        <v>4883.0590000743196</v>
      </c>
      <c r="D31" s="20">
        <v>31778</v>
      </c>
      <c r="E31" s="21">
        <v>35048.926113231697</v>
      </c>
      <c r="G31" s="28">
        <f t="shared" si="0"/>
        <v>1987</v>
      </c>
      <c r="H31" s="22">
        <f t="shared" si="1"/>
        <v>0.13932121584264071</v>
      </c>
      <c r="P31" s="23">
        <v>43922</v>
      </c>
      <c r="Q31" s="21">
        <v>105.01</v>
      </c>
      <c r="BL31" s="3">
        <v>2013</v>
      </c>
      <c r="BM31" s="3" t="s">
        <v>213</v>
      </c>
      <c r="BN31" s="3" t="s">
        <v>7</v>
      </c>
      <c r="BO31" s="3" t="s">
        <v>8</v>
      </c>
      <c r="BP31" s="3" t="s">
        <v>214</v>
      </c>
      <c r="BQ31" s="54">
        <v>1771785</v>
      </c>
      <c r="BR31" s="59">
        <f>COUNT($BQ$4:$BQ31) / COUNT($BQ$4:$BQ$292)</f>
        <v>9.6885813148788927E-2</v>
      </c>
    </row>
    <row r="32" spans="1:70" x14ac:dyDescent="0.3">
      <c r="A32" s="20">
        <v>32143</v>
      </c>
      <c r="B32" s="21">
        <v>6380.1167015671599</v>
      </c>
      <c r="D32" s="20">
        <v>32143</v>
      </c>
      <c r="E32" s="21">
        <v>37623.308449402903</v>
      </c>
      <c r="G32" s="28">
        <f t="shared" si="0"/>
        <v>1988</v>
      </c>
      <c r="H32" s="22">
        <f t="shared" si="1"/>
        <v>0.1695788319665549</v>
      </c>
      <c r="P32" s="23">
        <v>43952</v>
      </c>
      <c r="Q32" s="21">
        <v>104.96</v>
      </c>
      <c r="BL32" s="3">
        <v>2014</v>
      </c>
      <c r="BM32" s="3" t="s">
        <v>187</v>
      </c>
      <c r="BN32" s="3" t="s">
        <v>92</v>
      </c>
      <c r="BO32" s="3" t="s">
        <v>25</v>
      </c>
      <c r="BP32" s="3" t="s">
        <v>29</v>
      </c>
      <c r="BQ32" s="54">
        <v>1896605</v>
      </c>
      <c r="BR32" s="59">
        <f>COUNT($BQ$4:$BQ32) / COUNT($BQ$4:$BQ$292)</f>
        <v>0.10034602076124567</v>
      </c>
    </row>
    <row r="33" spans="1:71" x14ac:dyDescent="0.3">
      <c r="A33" s="20">
        <v>32509</v>
      </c>
      <c r="B33" s="21">
        <v>7977.98364894115</v>
      </c>
      <c r="D33" s="20">
        <v>32509</v>
      </c>
      <c r="E33" s="21">
        <v>41356.813405414803</v>
      </c>
      <c r="G33" s="28">
        <f t="shared" si="0"/>
        <v>1989</v>
      </c>
      <c r="H33" s="22">
        <f t="shared" si="1"/>
        <v>0.192906149966975</v>
      </c>
      <c r="P33" s="23">
        <v>43983</v>
      </c>
      <c r="Q33" s="21">
        <v>104.89</v>
      </c>
      <c r="BL33" s="3">
        <v>2009</v>
      </c>
      <c r="BM33" s="3" t="s">
        <v>379</v>
      </c>
      <c r="BN33" s="3" t="s">
        <v>7</v>
      </c>
      <c r="BO33" s="3" t="s">
        <v>32</v>
      </c>
      <c r="BP33" s="3" t="s">
        <v>33</v>
      </c>
      <c r="BQ33" s="54">
        <v>1903752</v>
      </c>
      <c r="BR33" s="59">
        <f>COUNT($BQ$4:$BQ33) / COUNT($BQ$4:$BQ$292)</f>
        <v>0.10380622837370242</v>
      </c>
    </row>
    <row r="34" spans="1:71" x14ac:dyDescent="0.3">
      <c r="A34" s="20">
        <v>32874</v>
      </c>
      <c r="B34" s="21">
        <v>10096.424395673699</v>
      </c>
      <c r="D34" s="20">
        <v>32874</v>
      </c>
      <c r="E34" s="21">
        <v>42735.469857680502</v>
      </c>
      <c r="G34" s="28">
        <f t="shared" si="0"/>
        <v>1990</v>
      </c>
      <c r="H34" s="22">
        <f t="shared" si="1"/>
        <v>0.2362539695783677</v>
      </c>
      <c r="P34" s="23">
        <v>44013</v>
      </c>
      <c r="Q34" s="21">
        <v>104.99</v>
      </c>
      <c r="BL34" s="3">
        <v>2017</v>
      </c>
      <c r="BM34" s="3" t="s">
        <v>115</v>
      </c>
      <c r="BN34" s="3" t="s">
        <v>7</v>
      </c>
      <c r="BO34" s="3" t="s">
        <v>107</v>
      </c>
      <c r="BP34" s="3" t="s">
        <v>108</v>
      </c>
      <c r="BQ34" s="54">
        <v>1942075</v>
      </c>
      <c r="BR34" s="59">
        <f>COUNT($BQ$4:$BQ34) / COUNT($BQ$4:$BQ$292)</f>
        <v>0.10726643598615918</v>
      </c>
    </row>
    <row r="35" spans="1:71" x14ac:dyDescent="0.3">
      <c r="A35" s="20">
        <v>33239</v>
      </c>
      <c r="B35" s="21">
        <v>13212.666666519101</v>
      </c>
      <c r="D35" s="20">
        <v>33239</v>
      </c>
      <c r="E35" s="21">
        <v>46070.713528149099</v>
      </c>
      <c r="G35" s="28">
        <f t="shared" si="0"/>
        <v>1991</v>
      </c>
      <c r="H35" s="22">
        <f t="shared" si="1"/>
        <v>0.28679101439239035</v>
      </c>
      <c r="P35" s="23">
        <v>44044</v>
      </c>
      <c r="Q35" s="21">
        <v>105.13</v>
      </c>
      <c r="BL35" s="3">
        <v>2010</v>
      </c>
      <c r="BM35" s="3" t="s">
        <v>309</v>
      </c>
      <c r="BN35" s="3" t="s">
        <v>7</v>
      </c>
      <c r="BO35" s="3" t="s">
        <v>36</v>
      </c>
      <c r="BP35" s="3" t="s">
        <v>37</v>
      </c>
      <c r="BQ35" s="54">
        <v>1958499</v>
      </c>
      <c r="BR35" s="59">
        <f>COUNT($BQ$4:$BQ35) / COUNT($BQ$4:$BQ$292)</f>
        <v>0.11072664359861592</v>
      </c>
    </row>
    <row r="36" spans="1:71" x14ac:dyDescent="0.3">
      <c r="A36" s="20">
        <v>33604</v>
      </c>
      <c r="B36" s="21">
        <v>16665.745886324901</v>
      </c>
      <c r="D36" s="20">
        <v>33604</v>
      </c>
      <c r="E36" s="21">
        <v>51215.2954586743</v>
      </c>
      <c r="G36" s="28">
        <f t="shared" si="0"/>
        <v>1992</v>
      </c>
      <c r="H36" s="22">
        <f t="shared" si="1"/>
        <v>0.3254056378484142</v>
      </c>
      <c r="BL36" s="3">
        <v>2010</v>
      </c>
      <c r="BM36" s="3" t="s">
        <v>307</v>
      </c>
      <c r="BN36" s="3" t="s">
        <v>7</v>
      </c>
      <c r="BO36" s="3" t="s">
        <v>36</v>
      </c>
      <c r="BP36" s="3" t="s">
        <v>37</v>
      </c>
      <c r="BQ36" s="54">
        <v>1959337</v>
      </c>
      <c r="BR36" s="59">
        <f>COUNT($BQ$4:$BQ36) / COUNT($BQ$4:$BQ$292)</f>
        <v>0.11418685121107267</v>
      </c>
    </row>
    <row r="37" spans="1:71" x14ac:dyDescent="0.3">
      <c r="A37" s="20">
        <v>33970</v>
      </c>
      <c r="B37" s="21">
        <v>19924.680966010801</v>
      </c>
      <c r="D37" s="20">
        <v>33970</v>
      </c>
      <c r="E37" s="21">
        <v>54589.760562598298</v>
      </c>
      <c r="G37" s="28">
        <f t="shared" si="0"/>
        <v>1993</v>
      </c>
      <c r="H37" s="22">
        <f t="shared" si="1"/>
        <v>0.36498934526673898</v>
      </c>
      <c r="BL37" s="3">
        <v>2018</v>
      </c>
      <c r="BM37" s="3" t="s">
        <v>80</v>
      </c>
      <c r="BN37" s="3" t="s">
        <v>7</v>
      </c>
      <c r="BO37" s="3" t="s">
        <v>36</v>
      </c>
      <c r="BP37" s="3" t="s">
        <v>81</v>
      </c>
      <c r="BQ37" s="54">
        <v>1973591</v>
      </c>
      <c r="BR37" s="59">
        <f>COUNT($BQ$4:$BQ37) / COUNT($BQ$4:$BQ$292)</f>
        <v>0.11764705882352941</v>
      </c>
    </row>
    <row r="38" spans="1:71" x14ac:dyDescent="0.3">
      <c r="A38" s="20">
        <v>34335</v>
      </c>
      <c r="B38" s="21">
        <v>23953.8001408153</v>
      </c>
      <c r="D38" s="20">
        <v>34335</v>
      </c>
      <c r="E38" s="21">
        <v>57335.733594338897</v>
      </c>
      <c r="G38" s="28">
        <f t="shared" si="0"/>
        <v>1994</v>
      </c>
      <c r="H38" s="22">
        <f t="shared" si="1"/>
        <v>0.41778134924186971</v>
      </c>
      <c r="BL38" s="3">
        <v>2009</v>
      </c>
      <c r="BM38" s="3" t="s">
        <v>380</v>
      </c>
      <c r="BN38" s="3" t="s">
        <v>7</v>
      </c>
      <c r="BO38" s="3" t="s">
        <v>48</v>
      </c>
      <c r="BP38" s="3" t="s">
        <v>88</v>
      </c>
      <c r="BQ38" s="54">
        <v>2122786</v>
      </c>
      <c r="BR38" s="59">
        <f>COUNT($BQ$4:$BQ38) / COUNT($BQ$4:$BQ$292)</f>
        <v>0.12110726643598616</v>
      </c>
      <c r="BS38">
        <v>2</v>
      </c>
    </row>
    <row r="39" spans="1:71" x14ac:dyDescent="0.3">
      <c r="A39" s="20">
        <v>34700</v>
      </c>
      <c r="B39" s="21">
        <v>29141.5913131503</v>
      </c>
      <c r="D39" s="20">
        <v>34700</v>
      </c>
      <c r="E39" s="21">
        <v>62457.704315236297</v>
      </c>
      <c r="G39" s="28">
        <f t="shared" si="0"/>
        <v>1995</v>
      </c>
      <c r="H39" s="22">
        <f t="shared" si="1"/>
        <v>0.46658121095945132</v>
      </c>
      <c r="BL39" s="3">
        <v>2012</v>
      </c>
      <c r="BM39" s="3" t="s">
        <v>255</v>
      </c>
      <c r="BN39" s="3" t="s">
        <v>92</v>
      </c>
      <c r="BO39" s="3" t="s">
        <v>8</v>
      </c>
      <c r="BP39" s="3" t="s">
        <v>51</v>
      </c>
      <c r="BQ39" s="54">
        <v>2260176</v>
      </c>
      <c r="BR39" s="59">
        <f>COUNT($BQ$4:$BQ39) / COUNT($BQ$4:$BQ$292)</f>
        <v>0.1245674740484429</v>
      </c>
    </row>
    <row r="40" spans="1:71" x14ac:dyDescent="0.3">
      <c r="A40" s="20">
        <v>35065</v>
      </c>
      <c r="B40" s="21">
        <v>32173.374439801599</v>
      </c>
      <c r="D40" s="20">
        <v>35065</v>
      </c>
      <c r="E40" s="21">
        <v>66706.649847384499</v>
      </c>
      <c r="G40" s="28">
        <f t="shared" si="0"/>
        <v>1996</v>
      </c>
      <c r="H40" s="22">
        <f t="shared" si="1"/>
        <v>0.48231135146810383</v>
      </c>
      <c r="BL40" s="3">
        <v>2011</v>
      </c>
      <c r="BM40" s="3" t="s">
        <v>301</v>
      </c>
      <c r="BN40" s="3" t="s">
        <v>7</v>
      </c>
      <c r="BO40" s="3" t="s">
        <v>12</v>
      </c>
      <c r="BP40" s="3" t="s">
        <v>105</v>
      </c>
      <c r="BQ40" s="54">
        <v>2632701</v>
      </c>
      <c r="BR40" s="59">
        <f>COUNT($BQ$4:$BQ40) / COUNT($BQ$4:$BQ$292)</f>
        <v>0.12802768166089964</v>
      </c>
    </row>
    <row r="41" spans="1:71" x14ac:dyDescent="0.3">
      <c r="A41" s="20">
        <v>35431</v>
      </c>
      <c r="B41" s="21">
        <v>35621.374458411701</v>
      </c>
      <c r="D41" s="20">
        <v>35431</v>
      </c>
      <c r="E41" s="21">
        <v>71661.546292613493</v>
      </c>
      <c r="G41" s="28">
        <f t="shared" si="0"/>
        <v>1997</v>
      </c>
      <c r="H41" s="22">
        <f t="shared" si="1"/>
        <v>0.49707794907131903</v>
      </c>
      <c r="BL41" s="3">
        <v>2012</v>
      </c>
      <c r="BM41" s="3" t="s">
        <v>259</v>
      </c>
      <c r="BN41" s="3" t="s">
        <v>92</v>
      </c>
      <c r="BO41" s="3" t="s">
        <v>8</v>
      </c>
      <c r="BP41" s="3" t="s">
        <v>51</v>
      </c>
      <c r="BQ41" s="54">
        <v>2643277</v>
      </c>
      <c r="BR41" s="59">
        <f>COUNT($BQ$4:$BQ41) / COUNT($BQ$4:$BQ$292)</f>
        <v>0.13148788927335639</v>
      </c>
    </row>
    <row r="42" spans="1:71" x14ac:dyDescent="0.3">
      <c r="A42" s="20">
        <v>35796</v>
      </c>
      <c r="B42" s="21">
        <v>37549.275338224499</v>
      </c>
      <c r="D42" s="20">
        <v>35796</v>
      </c>
      <c r="E42" s="21">
        <v>74760.606830738994</v>
      </c>
      <c r="G42" s="28">
        <f t="shared" si="0"/>
        <v>1998</v>
      </c>
      <c r="H42" s="22">
        <f t="shared" si="1"/>
        <v>0.50226017323852867</v>
      </c>
      <c r="BL42" s="3">
        <v>2014</v>
      </c>
      <c r="BM42" s="3" t="s">
        <v>212</v>
      </c>
      <c r="BN42" s="3" t="s">
        <v>92</v>
      </c>
      <c r="BO42" s="3" t="s">
        <v>25</v>
      </c>
      <c r="BP42" s="3" t="s">
        <v>29</v>
      </c>
      <c r="BQ42" s="54">
        <v>2655246</v>
      </c>
      <c r="BR42" s="59">
        <f>COUNT($BQ$4:$BQ42) / COUNT($BQ$4:$BQ$292)</f>
        <v>0.13494809688581316</v>
      </c>
    </row>
    <row r="43" spans="1:71" x14ac:dyDescent="0.3">
      <c r="A43" s="20">
        <v>36161</v>
      </c>
      <c r="B43" s="21">
        <v>38246.9231642089</v>
      </c>
      <c r="D43" s="20">
        <v>36161</v>
      </c>
      <c r="E43" s="21">
        <v>74452.521235475098</v>
      </c>
      <c r="G43" s="28">
        <f t="shared" si="0"/>
        <v>1999</v>
      </c>
      <c r="H43" s="22">
        <f t="shared" si="1"/>
        <v>0.51370890507848943</v>
      </c>
      <c r="BL43" s="3">
        <v>2009</v>
      </c>
      <c r="BM43" s="3" t="s">
        <v>382</v>
      </c>
      <c r="BN43" s="3" t="s">
        <v>92</v>
      </c>
      <c r="BO43" s="3" t="s">
        <v>290</v>
      </c>
      <c r="BP43" s="3" t="s">
        <v>176</v>
      </c>
      <c r="BQ43" s="54">
        <v>2743439</v>
      </c>
      <c r="BR43" s="59">
        <f>COUNT($BQ$4:$BQ43) / COUNT($BQ$4:$BQ$292)</f>
        <v>0.13840830449826991</v>
      </c>
    </row>
    <row r="44" spans="1:71" x14ac:dyDescent="0.3">
      <c r="A44" s="20">
        <v>36526</v>
      </c>
      <c r="B44" s="21">
        <v>42005.194286644903</v>
      </c>
      <c r="D44" s="20">
        <v>36526</v>
      </c>
      <c r="E44" s="21">
        <v>78418.561193229296</v>
      </c>
      <c r="G44" s="28">
        <f t="shared" si="0"/>
        <v>2000</v>
      </c>
      <c r="H44" s="22">
        <f t="shared" si="1"/>
        <v>0.53565372339771589</v>
      </c>
      <c r="BL44" s="3">
        <v>2010</v>
      </c>
      <c r="BM44" s="3" t="s">
        <v>322</v>
      </c>
      <c r="BN44" s="3" t="s">
        <v>7</v>
      </c>
      <c r="BO44" s="3" t="s">
        <v>12</v>
      </c>
      <c r="BP44" s="3" t="s">
        <v>13</v>
      </c>
      <c r="BQ44" s="54">
        <v>2804072</v>
      </c>
      <c r="BR44" s="59">
        <f>COUNT($BQ$4:$BQ44) / COUNT($BQ$4:$BQ$292)</f>
        <v>0.14186851211072665</v>
      </c>
    </row>
    <row r="45" spans="1:71" x14ac:dyDescent="0.3">
      <c r="A45" s="20">
        <v>36892</v>
      </c>
      <c r="B45" s="21">
        <v>45067.992919379998</v>
      </c>
      <c r="D45" s="20">
        <v>36892</v>
      </c>
      <c r="E45" s="21">
        <v>81008.763371237204</v>
      </c>
      <c r="G45" s="28">
        <f t="shared" si="0"/>
        <v>2001</v>
      </c>
      <c r="H45" s="22">
        <f t="shared" si="1"/>
        <v>0.55633478458185848</v>
      </c>
      <c r="BL45" s="3">
        <v>2010</v>
      </c>
      <c r="BM45" s="3" t="s">
        <v>247</v>
      </c>
      <c r="BN45" s="3" t="s">
        <v>283</v>
      </c>
      <c r="BO45" s="3" t="s">
        <v>40</v>
      </c>
      <c r="BP45" s="3" t="s">
        <v>43</v>
      </c>
      <c r="BQ45" s="54">
        <v>2827659</v>
      </c>
      <c r="BR45" s="59">
        <f>COUNT($BQ$4:$BQ45) / COUNT($BQ$4:$BQ$292)</f>
        <v>0.1453287197231834</v>
      </c>
    </row>
    <row r="46" spans="1:71" x14ac:dyDescent="0.3">
      <c r="A46" s="20">
        <v>37257</v>
      </c>
      <c r="B46" s="21">
        <v>48044.4788701199</v>
      </c>
      <c r="D46" s="20">
        <v>37257</v>
      </c>
      <c r="E46" s="21">
        <v>83525.681777727805</v>
      </c>
      <c r="G46" s="28">
        <f t="shared" si="0"/>
        <v>2002</v>
      </c>
      <c r="H46" s="22">
        <f t="shared" si="1"/>
        <v>0.57520606653618478</v>
      </c>
      <c r="BL46" s="3">
        <v>2012</v>
      </c>
      <c r="BM46" s="3" t="s">
        <v>251</v>
      </c>
      <c r="BN46" s="3" t="s">
        <v>92</v>
      </c>
      <c r="BO46" s="3" t="s">
        <v>8</v>
      </c>
      <c r="BP46" s="3" t="s">
        <v>51</v>
      </c>
      <c r="BQ46" s="54">
        <v>3233652</v>
      </c>
      <c r="BR46" s="59">
        <f>COUNT($BQ$4:$BQ46) / COUNT($BQ$4:$BQ$292)</f>
        <v>0.14878892733564014</v>
      </c>
    </row>
    <row r="47" spans="1:71" x14ac:dyDescent="0.3">
      <c r="A47" s="20">
        <v>37622</v>
      </c>
      <c r="B47" s="21">
        <v>52299.888133072098</v>
      </c>
      <c r="D47" s="20">
        <v>37622</v>
      </c>
      <c r="E47" s="21">
        <v>86942.757248194306</v>
      </c>
      <c r="G47" s="28">
        <f t="shared" si="0"/>
        <v>2003</v>
      </c>
      <c r="H47" s="22">
        <f t="shared" si="1"/>
        <v>0.60154393290946961</v>
      </c>
      <c r="BL47" s="3">
        <v>2011</v>
      </c>
      <c r="BM47" s="3" t="s">
        <v>277</v>
      </c>
      <c r="BN47" s="3" t="s">
        <v>92</v>
      </c>
      <c r="BO47" s="3" t="s">
        <v>36</v>
      </c>
      <c r="BP47" s="3" t="s">
        <v>81</v>
      </c>
      <c r="BQ47" s="54">
        <v>3305031</v>
      </c>
      <c r="BR47" s="59">
        <f>COUNT($BQ$4:$BQ47) / COUNT($BQ$4:$BQ$292)</f>
        <v>0.15224913494809689</v>
      </c>
    </row>
    <row r="48" spans="1:71" x14ac:dyDescent="0.3">
      <c r="A48" s="20">
        <v>37987</v>
      </c>
      <c r="B48" s="21">
        <v>60471.710758510599</v>
      </c>
      <c r="D48" s="20">
        <v>37987</v>
      </c>
      <c r="E48" s="21">
        <v>93210.929856484901</v>
      </c>
      <c r="G48" s="28">
        <f t="shared" si="0"/>
        <v>2004</v>
      </c>
      <c r="H48" s="22">
        <f t="shared" si="1"/>
        <v>0.64876201590969795</v>
      </c>
      <c r="BL48" s="3">
        <v>2012</v>
      </c>
      <c r="BM48" s="3" t="s">
        <v>261</v>
      </c>
      <c r="BN48" s="3" t="s">
        <v>7</v>
      </c>
      <c r="BO48" s="3" t="s">
        <v>64</v>
      </c>
      <c r="BP48" s="3" t="s">
        <v>262</v>
      </c>
      <c r="BQ48" s="54">
        <v>3318029</v>
      </c>
      <c r="BR48" s="59">
        <f>COUNT($BQ$4:$BQ48) / COUNT($BQ$4:$BQ$292)</f>
        <v>0.15570934256055363</v>
      </c>
    </row>
    <row r="49" spans="1:71" x14ac:dyDescent="0.3">
      <c r="A49" s="20">
        <v>38353</v>
      </c>
      <c r="B49" s="21">
        <v>68831.705427037698</v>
      </c>
      <c r="D49" s="20">
        <v>38353</v>
      </c>
      <c r="E49" s="21">
        <v>98563.875555807506</v>
      </c>
      <c r="G49" s="28">
        <f t="shared" si="0"/>
        <v>2005</v>
      </c>
      <c r="H49" s="22">
        <f t="shared" si="1"/>
        <v>0.69834617438581481</v>
      </c>
      <c r="BL49" s="3">
        <v>2012</v>
      </c>
      <c r="BM49" s="3" t="s">
        <v>257</v>
      </c>
      <c r="BN49" s="3" t="s">
        <v>92</v>
      </c>
      <c r="BO49" s="3" t="s">
        <v>8</v>
      </c>
      <c r="BP49" s="3" t="s">
        <v>51</v>
      </c>
      <c r="BQ49" s="54">
        <v>3321700</v>
      </c>
      <c r="BR49" s="59">
        <f>COUNT($BQ$4:$BQ49) / COUNT($BQ$4:$BQ$292)</f>
        <v>0.15916955017301038</v>
      </c>
    </row>
    <row r="50" spans="1:71" x14ac:dyDescent="0.3">
      <c r="A50" s="20">
        <v>38718</v>
      </c>
      <c r="B50" s="21">
        <v>82080.219853930394</v>
      </c>
      <c r="D50" s="20">
        <v>38718</v>
      </c>
      <c r="E50" s="21">
        <v>104790.32938532899</v>
      </c>
      <c r="G50" s="28">
        <f t="shared" si="0"/>
        <v>2006</v>
      </c>
      <c r="H50" s="22">
        <f t="shared" si="1"/>
        <v>0.78328048337466061</v>
      </c>
      <c r="BL50" s="3">
        <v>2013</v>
      </c>
      <c r="BM50" s="3" t="s">
        <v>222</v>
      </c>
      <c r="BN50" s="3" t="s">
        <v>7</v>
      </c>
      <c r="BO50" s="3" t="s">
        <v>36</v>
      </c>
      <c r="BP50" s="3" t="s">
        <v>37</v>
      </c>
      <c r="BQ50" s="54">
        <v>3389160</v>
      </c>
      <c r="BR50" s="59">
        <f>COUNT($BQ$4:$BQ50) / COUNT($BQ$4:$BQ$292)</f>
        <v>0.16262975778546712</v>
      </c>
    </row>
    <row r="51" spans="1:71" x14ac:dyDescent="0.3">
      <c r="A51" s="20">
        <v>39083</v>
      </c>
      <c r="B51" s="21">
        <v>90702.903280006707</v>
      </c>
      <c r="D51" s="20">
        <v>39083</v>
      </c>
      <c r="E51" s="21">
        <v>109930.63509004501</v>
      </c>
      <c r="G51" s="28">
        <f t="shared" si="0"/>
        <v>2007</v>
      </c>
      <c r="H51" s="22">
        <f t="shared" si="1"/>
        <v>0.82509214292914146</v>
      </c>
      <c r="BL51" s="3">
        <v>2014</v>
      </c>
      <c r="BM51" s="3" t="s">
        <v>211</v>
      </c>
      <c r="BN51" s="3" t="s">
        <v>92</v>
      </c>
      <c r="BO51" s="3" t="s">
        <v>25</v>
      </c>
      <c r="BP51" s="3" t="s">
        <v>29</v>
      </c>
      <c r="BQ51" s="54">
        <v>3669876</v>
      </c>
      <c r="BR51" s="59">
        <f>COUNT($BQ$4:$BQ51) / COUNT($BQ$4:$BQ$292)</f>
        <v>0.16608996539792387</v>
      </c>
    </row>
    <row r="52" spans="1:71" x14ac:dyDescent="0.3">
      <c r="A52" s="20">
        <v>39448</v>
      </c>
      <c r="B52" s="21">
        <v>93854.108404160404</v>
      </c>
      <c r="D52" s="20">
        <v>39448</v>
      </c>
      <c r="E52" s="21">
        <v>113810.670442915</v>
      </c>
      <c r="G52" s="28">
        <f t="shared" si="0"/>
        <v>2008</v>
      </c>
      <c r="H52" s="22">
        <f t="shared" si="1"/>
        <v>0.82465122153230452</v>
      </c>
      <c r="BL52" s="3">
        <v>2015</v>
      </c>
      <c r="BM52" s="3" t="s">
        <v>175</v>
      </c>
      <c r="BN52" s="3" t="s">
        <v>7</v>
      </c>
      <c r="BO52" s="3" t="s">
        <v>20</v>
      </c>
      <c r="BP52" s="3" t="s">
        <v>176</v>
      </c>
      <c r="BQ52" s="54">
        <v>4199611</v>
      </c>
      <c r="BR52" s="59">
        <f>COUNT($BQ$4:$BQ52) / COUNT($BQ$4:$BQ$292)</f>
        <v>0.16955017301038061</v>
      </c>
    </row>
    <row r="53" spans="1:71" x14ac:dyDescent="0.3">
      <c r="A53" s="20">
        <v>39814</v>
      </c>
      <c r="B53" s="21">
        <v>96686.356858733605</v>
      </c>
      <c r="D53" s="20">
        <v>39814</v>
      </c>
      <c r="E53" s="21">
        <v>112030.39904548399</v>
      </c>
      <c r="G53" s="28">
        <f t="shared" si="0"/>
        <v>2009</v>
      </c>
      <c r="H53" s="22">
        <f t="shared" si="1"/>
        <v>0.86303679789160836</v>
      </c>
      <c r="BL53" s="3">
        <v>2010</v>
      </c>
      <c r="BM53" s="3" t="s">
        <v>321</v>
      </c>
      <c r="BN53" s="3" t="s">
        <v>7</v>
      </c>
      <c r="BO53" s="3" t="s">
        <v>12</v>
      </c>
      <c r="BP53" s="3" t="s">
        <v>61</v>
      </c>
      <c r="BQ53" s="54">
        <v>4334967</v>
      </c>
      <c r="BR53" s="59">
        <f>COUNT($BQ$4:$BQ53) / COUNT($BQ$4:$BQ$292)</f>
        <v>0.17301038062283736</v>
      </c>
    </row>
    <row r="54" spans="1:71" x14ac:dyDescent="0.3">
      <c r="A54" s="20">
        <v>40179</v>
      </c>
      <c r="B54" s="21">
        <v>111508.61068002701</v>
      </c>
      <c r="D54" s="20">
        <v>40179</v>
      </c>
      <c r="E54" s="21">
        <v>118577.654190885</v>
      </c>
      <c r="G54" s="28">
        <f t="shared" si="0"/>
        <v>2010</v>
      </c>
      <c r="H54" s="22">
        <f t="shared" si="1"/>
        <v>0.94038469086697962</v>
      </c>
      <c r="BL54" s="3">
        <v>2018</v>
      </c>
      <c r="BM54" s="3" t="s">
        <v>62</v>
      </c>
      <c r="BN54" s="3" t="s">
        <v>7</v>
      </c>
      <c r="BO54" s="3" t="s">
        <v>12</v>
      </c>
      <c r="BP54" s="3" t="s">
        <v>61</v>
      </c>
      <c r="BQ54" s="54">
        <v>4387753</v>
      </c>
      <c r="BR54" s="59">
        <f>COUNT($BQ$4:$BQ54) / COUNT($BQ$4:$BQ$292)</f>
        <v>0.17647058823529413</v>
      </c>
    </row>
    <row r="55" spans="1:71" x14ac:dyDescent="0.3">
      <c r="A55" s="20">
        <v>40544</v>
      </c>
      <c r="B55" s="21">
        <v>122006.090354937</v>
      </c>
      <c r="D55" s="20">
        <v>40544</v>
      </c>
      <c r="E55" s="21">
        <v>125823.83838798301</v>
      </c>
      <c r="G55" s="28">
        <f t="shared" si="0"/>
        <v>2011</v>
      </c>
      <c r="H55" s="22">
        <f t="shared" si="1"/>
        <v>0.96965799102969796</v>
      </c>
      <c r="BL55" s="3">
        <v>2013</v>
      </c>
      <c r="BM55" s="3" t="s">
        <v>225</v>
      </c>
      <c r="BN55" s="3" t="s">
        <v>7</v>
      </c>
      <c r="BO55" s="3" t="s">
        <v>12</v>
      </c>
      <c r="BP55" s="3" t="s">
        <v>61</v>
      </c>
      <c r="BQ55" s="54">
        <v>4581843</v>
      </c>
      <c r="BR55" s="59">
        <f>COUNT($BQ$4:$BQ55) / COUNT($BQ$4:$BQ$292)</f>
        <v>0.17993079584775087</v>
      </c>
    </row>
    <row r="56" spans="1:71" x14ac:dyDescent="0.3">
      <c r="A56" s="20">
        <v>40909</v>
      </c>
      <c r="B56" s="21">
        <v>129947.34229703499</v>
      </c>
      <c r="D56" s="20">
        <v>40909</v>
      </c>
      <c r="E56" s="21">
        <v>132515.94028770999</v>
      </c>
      <c r="G56" s="28">
        <f t="shared" si="0"/>
        <v>2012</v>
      </c>
      <c r="H56" s="22">
        <f t="shared" si="1"/>
        <v>0.98061668667861224</v>
      </c>
      <c r="BL56" s="3">
        <v>2018</v>
      </c>
      <c r="BM56" s="3" t="s">
        <v>57</v>
      </c>
      <c r="BN56" s="3" t="s">
        <v>7</v>
      </c>
      <c r="BO56" s="3" t="s">
        <v>12</v>
      </c>
      <c r="BP56" s="3" t="s">
        <v>58</v>
      </c>
      <c r="BQ56" s="54">
        <v>4686021</v>
      </c>
      <c r="BR56" s="59">
        <f>COUNT($BQ$4:$BQ56) / COUNT($BQ$4:$BQ$292)</f>
        <v>0.18339100346020762</v>
      </c>
    </row>
    <row r="57" spans="1:71" x14ac:dyDescent="0.3">
      <c r="A57" s="20">
        <v>41275</v>
      </c>
      <c r="B57" s="21">
        <v>137876.21576806999</v>
      </c>
      <c r="D57" s="20">
        <v>41275</v>
      </c>
      <c r="E57" s="21">
        <v>137876.21576806999</v>
      </c>
      <c r="G57" s="28">
        <f t="shared" si="0"/>
        <v>2013</v>
      </c>
      <c r="H57" s="22">
        <f t="shared" si="1"/>
        <v>1</v>
      </c>
      <c r="BL57" s="3">
        <v>2019</v>
      </c>
      <c r="BM57" s="3" t="s">
        <v>47</v>
      </c>
      <c r="BN57" s="3" t="s">
        <v>7</v>
      </c>
      <c r="BO57" s="3" t="s">
        <v>48</v>
      </c>
      <c r="BP57" s="3" t="s">
        <v>49</v>
      </c>
      <c r="BQ57" s="54">
        <v>4728116</v>
      </c>
      <c r="BR57" s="59">
        <f>COUNT($BQ$4:$BQ57) / COUNT($BQ$4:$BQ$292)</f>
        <v>0.18685121107266436</v>
      </c>
    </row>
    <row r="58" spans="1:71" x14ac:dyDescent="0.3">
      <c r="A58" s="20">
        <v>41640</v>
      </c>
      <c r="B58" s="21">
        <v>148599.45387498999</v>
      </c>
      <c r="D58" s="20">
        <v>41640</v>
      </c>
      <c r="E58" s="21">
        <v>140312.12972421999</v>
      </c>
      <c r="G58" s="28">
        <f t="shared" si="0"/>
        <v>2014</v>
      </c>
      <c r="H58" s="22">
        <f t="shared" si="1"/>
        <v>1.0590634905696217</v>
      </c>
      <c r="BL58" s="3">
        <v>2019</v>
      </c>
      <c r="BM58" s="3" t="s">
        <v>22</v>
      </c>
      <c r="BN58" s="3" t="s">
        <v>7</v>
      </c>
      <c r="BO58" s="3" t="s">
        <v>20</v>
      </c>
      <c r="BP58" s="3" t="s">
        <v>23</v>
      </c>
      <c r="BQ58" s="54">
        <v>4765293</v>
      </c>
      <c r="BR58" s="59">
        <f>COUNT($BQ$4:$BQ58) / COUNT($BQ$4:$BQ$292)</f>
        <v>0.19031141868512111</v>
      </c>
    </row>
    <row r="59" spans="1:71" x14ac:dyDescent="0.3">
      <c r="A59" s="20">
        <v>42005</v>
      </c>
      <c r="B59" s="21">
        <v>159553.34830983001</v>
      </c>
      <c r="D59" s="20">
        <v>42005</v>
      </c>
      <c r="E59" s="21">
        <v>143544.59431648999</v>
      </c>
      <c r="G59" s="28">
        <f t="shared" si="0"/>
        <v>2015</v>
      </c>
      <c r="H59" s="22">
        <f t="shared" si="1"/>
        <v>1.1115246036924498</v>
      </c>
      <c r="BL59" s="3">
        <v>2019</v>
      </c>
      <c r="BM59" s="3" t="s">
        <v>24</v>
      </c>
      <c r="BN59" s="3" t="s">
        <v>7</v>
      </c>
      <c r="BO59" s="3" t="s">
        <v>25</v>
      </c>
      <c r="BP59" s="3" t="s">
        <v>26</v>
      </c>
      <c r="BQ59" s="54">
        <v>4888855</v>
      </c>
      <c r="BR59" s="59">
        <f>COUNT($BQ$4:$BQ59) / COUNT($BQ$4:$BQ$292)</f>
        <v>0.19377162629757785</v>
      </c>
    </row>
    <row r="60" spans="1:71" x14ac:dyDescent="0.3">
      <c r="A60" s="20">
        <v>42370</v>
      </c>
      <c r="B60" s="21">
        <v>169537.38772237001</v>
      </c>
      <c r="D60" s="20">
        <v>42370</v>
      </c>
      <c r="E60" s="21">
        <v>146000.77049431001</v>
      </c>
      <c r="G60" s="28">
        <f t="shared" si="0"/>
        <v>2016</v>
      </c>
      <c r="H60" s="22">
        <f t="shared" si="1"/>
        <v>1.161208856284613</v>
      </c>
      <c r="BL60" s="3">
        <v>2012</v>
      </c>
      <c r="BM60" s="3" t="s">
        <v>275</v>
      </c>
      <c r="BN60" s="3" t="s">
        <v>7</v>
      </c>
      <c r="BO60" s="3" t="s">
        <v>25</v>
      </c>
      <c r="BP60" s="3" t="s">
        <v>151</v>
      </c>
      <c r="BQ60" s="54">
        <v>4978404</v>
      </c>
      <c r="BR60" s="59">
        <f>COUNT($BQ$4:$BQ60) / COUNT($BQ$4:$BQ$292)</f>
        <v>0.1972318339100346</v>
      </c>
    </row>
    <row r="61" spans="1:71" x14ac:dyDescent="0.3">
      <c r="A61" s="20">
        <v>42736</v>
      </c>
      <c r="B61" s="21">
        <v>179756.12579676</v>
      </c>
      <c r="D61" s="20">
        <v>42736</v>
      </c>
      <c r="E61" s="21">
        <v>147736.09562235</v>
      </c>
      <c r="G61" s="28">
        <f t="shared" si="0"/>
        <v>2017</v>
      </c>
      <c r="H61" s="22">
        <f t="shared" si="1"/>
        <v>1.2167380289801426</v>
      </c>
      <c r="BL61" s="3">
        <v>2009</v>
      </c>
      <c r="BM61" s="3" t="s">
        <v>359</v>
      </c>
      <c r="BN61" s="3" t="s">
        <v>7</v>
      </c>
      <c r="BO61" s="3" t="s">
        <v>36</v>
      </c>
      <c r="BP61" s="3" t="s">
        <v>37</v>
      </c>
      <c r="BQ61" s="54">
        <v>5193062</v>
      </c>
      <c r="BR61" s="59">
        <f>COUNT($BQ$4:$BQ61) / COUNT($BQ$4:$BQ$292)</f>
        <v>0.20069204152249134</v>
      </c>
      <c r="BS61">
        <v>3</v>
      </c>
    </row>
    <row r="62" spans="1:71" x14ac:dyDescent="0.3">
      <c r="A62" s="20">
        <v>43101</v>
      </c>
      <c r="B62" s="21">
        <v>191265.95207219999</v>
      </c>
      <c r="D62" s="20">
        <v>43101</v>
      </c>
      <c r="E62" s="21">
        <v>153570.66811023999</v>
      </c>
      <c r="G62" s="28">
        <f t="shared" si="0"/>
        <v>2018</v>
      </c>
      <c r="H62" s="22">
        <f t="shared" si="1"/>
        <v>1.2454588784812775</v>
      </c>
      <c r="BL62" s="3">
        <v>2009</v>
      </c>
      <c r="BM62" s="3" t="s">
        <v>384</v>
      </c>
      <c r="BN62" s="3" t="s">
        <v>7</v>
      </c>
      <c r="BO62" s="3" t="s">
        <v>290</v>
      </c>
      <c r="BP62" s="3" t="s">
        <v>21</v>
      </c>
      <c r="BQ62" s="54">
        <v>5316685</v>
      </c>
      <c r="BR62" s="59">
        <f>COUNT($BQ$4:$BQ62) / COUNT($BQ$4:$BQ$292)</f>
        <v>0.20415224913494809</v>
      </c>
    </row>
    <row r="63" spans="1:71" x14ac:dyDescent="0.3">
      <c r="A63" s="20">
        <v>43466</v>
      </c>
      <c r="B63" s="21">
        <v>198440.70682682001</v>
      </c>
      <c r="D63" s="20">
        <v>43466</v>
      </c>
      <c r="E63" s="21">
        <v>155189.98258025001</v>
      </c>
      <c r="G63" s="28">
        <f t="shared" si="0"/>
        <v>2019</v>
      </c>
      <c r="H63" s="22">
        <f t="shared" si="1"/>
        <v>1.2786953354041695</v>
      </c>
      <c r="BL63" s="3">
        <v>2009</v>
      </c>
      <c r="BM63" s="3" t="s">
        <v>383</v>
      </c>
      <c r="BN63" s="3" t="s">
        <v>7</v>
      </c>
      <c r="BO63" s="3" t="s">
        <v>290</v>
      </c>
      <c r="BP63" s="3" t="s">
        <v>21</v>
      </c>
      <c r="BQ63" s="54">
        <v>5316685</v>
      </c>
      <c r="BR63" s="59">
        <f>COUNT($BQ$4:$BQ63) / COUNT($BQ$4:$BQ$292)</f>
        <v>0.20761245674740483</v>
      </c>
    </row>
    <row r="64" spans="1:71" x14ac:dyDescent="0.3">
      <c r="G64" s="28">
        <f>YEAR(P35)</f>
        <v>2020</v>
      </c>
      <c r="H64" s="22">
        <f xml:space="preserve"> H63 + Q35/Q23-1</f>
        <v>1.3031545051566544</v>
      </c>
      <c r="BL64" s="3">
        <v>2014</v>
      </c>
      <c r="BM64" s="3" t="s">
        <v>200</v>
      </c>
      <c r="BN64" s="3" t="s">
        <v>7</v>
      </c>
      <c r="BO64" s="3" t="s">
        <v>32</v>
      </c>
      <c r="BP64" s="3" t="s">
        <v>33</v>
      </c>
      <c r="BQ64" s="54">
        <v>5334748</v>
      </c>
      <c r="BR64" s="59">
        <f>COUNT($BQ$4:$BQ64) / COUNT($BQ$4:$BQ$292)</f>
        <v>0.21107266435986158</v>
      </c>
    </row>
    <row r="65" spans="64:70" x14ac:dyDescent="0.3">
      <c r="BL65" s="3">
        <v>2015</v>
      </c>
      <c r="BM65" s="3" t="s">
        <v>171</v>
      </c>
      <c r="BN65" s="3" t="s">
        <v>7</v>
      </c>
      <c r="BO65" s="3" t="s">
        <v>36</v>
      </c>
      <c r="BP65" s="3" t="s">
        <v>68</v>
      </c>
      <c r="BQ65" s="54">
        <v>5431420</v>
      </c>
      <c r="BR65" s="59">
        <f>COUNT($BQ$4:$BQ65) / COUNT($BQ$4:$BQ$292)</f>
        <v>0.21453287197231835</v>
      </c>
    </row>
    <row r="66" spans="64:70" x14ac:dyDescent="0.3">
      <c r="BL66" s="3">
        <v>2011</v>
      </c>
      <c r="BM66" s="3" t="s">
        <v>280</v>
      </c>
      <c r="BN66" s="3" t="s">
        <v>92</v>
      </c>
      <c r="BO66" s="3" t="s">
        <v>36</v>
      </c>
      <c r="BP66" s="3" t="s">
        <v>81</v>
      </c>
      <c r="BQ66" s="54">
        <v>5445984</v>
      </c>
      <c r="BR66" s="59">
        <f>COUNT($BQ$4:$BQ66) / COUNT($BQ$4:$BQ$292)</f>
        <v>0.2179930795847751</v>
      </c>
    </row>
    <row r="67" spans="64:70" x14ac:dyDescent="0.3">
      <c r="BL67" s="3">
        <v>2009</v>
      </c>
      <c r="BM67" s="3" t="s">
        <v>367</v>
      </c>
      <c r="BN67" s="3" t="s">
        <v>155</v>
      </c>
      <c r="BO67" s="3" t="s">
        <v>159</v>
      </c>
      <c r="BP67" s="3" t="s">
        <v>368</v>
      </c>
      <c r="BQ67" s="54">
        <v>5485721</v>
      </c>
      <c r="BR67" s="59">
        <f>COUNT($BQ$4:$BQ67) / COUNT($BQ$4:$BQ$292)</f>
        <v>0.22145328719723184</v>
      </c>
    </row>
    <row r="68" spans="64:70" x14ac:dyDescent="0.3">
      <c r="BL68" s="3">
        <v>2018</v>
      </c>
      <c r="BM68" s="3" t="s">
        <v>76</v>
      </c>
      <c r="BN68" s="3" t="s">
        <v>7</v>
      </c>
      <c r="BO68" s="3" t="s">
        <v>25</v>
      </c>
      <c r="BP68" s="3" t="s">
        <v>26</v>
      </c>
      <c r="BQ68" s="54">
        <v>5609672</v>
      </c>
      <c r="BR68" s="59">
        <f>COUNT($BQ$4:$BQ68) / COUNT($BQ$4:$BQ$292)</f>
        <v>0.22491349480968859</v>
      </c>
    </row>
    <row r="69" spans="64:70" x14ac:dyDescent="0.3">
      <c r="BL69" s="3">
        <v>2017</v>
      </c>
      <c r="BM69" s="3" t="s">
        <v>113</v>
      </c>
      <c r="BN69" s="3" t="s">
        <v>7</v>
      </c>
      <c r="BO69" s="3" t="s">
        <v>54</v>
      </c>
      <c r="BP69" s="3" t="s">
        <v>55</v>
      </c>
      <c r="BQ69" s="54">
        <v>5667032</v>
      </c>
      <c r="BR69" s="59">
        <f>COUNT($BQ$4:$BQ69) / COUNT($BQ$4:$BQ$292)</f>
        <v>0.22837370242214533</v>
      </c>
    </row>
    <row r="70" spans="64:70" x14ac:dyDescent="0.3">
      <c r="BL70" s="3">
        <v>2017</v>
      </c>
      <c r="BM70" s="3" t="s">
        <v>112</v>
      </c>
      <c r="BN70" s="3" t="s">
        <v>7</v>
      </c>
      <c r="BO70" s="3" t="s">
        <v>54</v>
      </c>
      <c r="BP70" s="3" t="s">
        <v>55</v>
      </c>
      <c r="BQ70" s="54">
        <v>5667032</v>
      </c>
      <c r="BR70" s="59">
        <f>COUNT($BQ$4:$BQ70) / COUNT($BQ$4:$BQ$292)</f>
        <v>0.23183391003460208</v>
      </c>
    </row>
    <row r="71" spans="64:70" x14ac:dyDescent="0.3">
      <c r="BL71" s="3">
        <v>2009</v>
      </c>
      <c r="BM71" s="3" t="s">
        <v>366</v>
      </c>
      <c r="BN71" s="3" t="s">
        <v>155</v>
      </c>
      <c r="BO71" s="3" t="s">
        <v>159</v>
      </c>
      <c r="BP71" s="3" t="s">
        <v>160</v>
      </c>
      <c r="BQ71" s="54">
        <v>5974660</v>
      </c>
      <c r="BR71" s="59">
        <f>COUNT($BQ$4:$BQ71) / COUNT($BQ$4:$BQ$292)</f>
        <v>0.23529411764705882</v>
      </c>
    </row>
    <row r="72" spans="64:70" x14ac:dyDescent="0.3">
      <c r="BL72" s="3">
        <v>2011</v>
      </c>
      <c r="BM72" s="3" t="s">
        <v>296</v>
      </c>
      <c r="BN72" s="3" t="s">
        <v>7</v>
      </c>
      <c r="BO72" s="3" t="s">
        <v>290</v>
      </c>
      <c r="BP72" s="3" t="s">
        <v>291</v>
      </c>
      <c r="BQ72" s="54">
        <v>6112832</v>
      </c>
      <c r="BR72" s="59">
        <f>COUNT($BQ$4:$BQ72) / COUNT($BQ$4:$BQ$292)</f>
        <v>0.23875432525951557</v>
      </c>
    </row>
    <row r="73" spans="64:70" x14ac:dyDescent="0.3">
      <c r="BL73" s="3">
        <v>2015</v>
      </c>
      <c r="BM73" s="3" t="s">
        <v>179</v>
      </c>
      <c r="BN73" s="3" t="s">
        <v>7</v>
      </c>
      <c r="BO73" s="3" t="s">
        <v>36</v>
      </c>
      <c r="BP73" s="3" t="s">
        <v>37</v>
      </c>
      <c r="BQ73" s="54">
        <v>6297297</v>
      </c>
      <c r="BR73" s="59">
        <f>COUNT($BQ$4:$BQ73) / COUNT($BQ$4:$BQ$292)</f>
        <v>0.24221453287197231</v>
      </c>
    </row>
    <row r="74" spans="64:70" x14ac:dyDescent="0.3">
      <c r="BL74" s="3">
        <v>2011</v>
      </c>
      <c r="BM74" s="3" t="s">
        <v>302</v>
      </c>
      <c r="BN74" s="3" t="s">
        <v>7</v>
      </c>
      <c r="BO74" s="3" t="s">
        <v>45</v>
      </c>
      <c r="BP74" s="3" t="s">
        <v>184</v>
      </c>
      <c r="BQ74" s="54">
        <v>6411317</v>
      </c>
      <c r="BR74" s="59">
        <f>COUNT($BQ$4:$BQ74) / COUNT($BQ$4:$BQ$292)</f>
        <v>0.24567474048442905</v>
      </c>
    </row>
    <row r="75" spans="64:70" x14ac:dyDescent="0.3">
      <c r="BL75" s="3">
        <v>2009</v>
      </c>
      <c r="BM75" s="3" t="s">
        <v>353</v>
      </c>
      <c r="BN75" s="3" t="s">
        <v>7</v>
      </c>
      <c r="BO75" s="3" t="s">
        <v>45</v>
      </c>
      <c r="BP75" s="3" t="s">
        <v>184</v>
      </c>
      <c r="BQ75" s="54">
        <v>6834701</v>
      </c>
      <c r="BR75" s="59">
        <f>COUNT($BQ$4:$BQ75) / COUNT($BQ$4:$BQ$292)</f>
        <v>0.2491349480968858</v>
      </c>
    </row>
    <row r="76" spans="64:70" x14ac:dyDescent="0.3">
      <c r="BL76" s="3">
        <v>2015</v>
      </c>
      <c r="BM76" s="3" t="s">
        <v>168</v>
      </c>
      <c r="BN76" s="3" t="s">
        <v>7</v>
      </c>
      <c r="BO76" s="3" t="s">
        <v>36</v>
      </c>
      <c r="BP76" s="3" t="s">
        <v>81</v>
      </c>
      <c r="BQ76" s="54">
        <v>6841334</v>
      </c>
      <c r="BR76" s="59">
        <f>COUNT($BQ$4:$BQ76) / COUNT($BQ$4:$BQ$292)</f>
        <v>0.25259515570934254</v>
      </c>
    </row>
    <row r="77" spans="64:70" x14ac:dyDescent="0.3">
      <c r="BL77" s="3">
        <v>2014</v>
      </c>
      <c r="BM77" s="3" t="s">
        <v>209</v>
      </c>
      <c r="BN77" s="3" t="s">
        <v>7</v>
      </c>
      <c r="BO77" s="3" t="s">
        <v>48</v>
      </c>
      <c r="BP77" s="3" t="s">
        <v>49</v>
      </c>
      <c r="BQ77" s="54">
        <v>7039906</v>
      </c>
      <c r="BR77" s="59">
        <f>COUNT($BQ$4:$BQ77) / COUNT($BQ$4:$BQ$292)</f>
        <v>0.25605536332179929</v>
      </c>
    </row>
    <row r="78" spans="64:70" x14ac:dyDescent="0.3">
      <c r="BL78" s="3">
        <v>2010</v>
      </c>
      <c r="BM78" s="3" t="s">
        <v>337</v>
      </c>
      <c r="BN78" s="3" t="s">
        <v>155</v>
      </c>
      <c r="BO78" s="3" t="s">
        <v>54</v>
      </c>
      <c r="BP78" s="3" t="s">
        <v>55</v>
      </c>
      <c r="BQ78" s="54">
        <v>7062382</v>
      </c>
      <c r="BR78" s="59">
        <f>COUNT($BQ$4:$BQ78) / COUNT($BQ$4:$BQ$292)</f>
        <v>0.25951557093425603</v>
      </c>
    </row>
    <row r="79" spans="64:70" x14ac:dyDescent="0.3">
      <c r="BL79" s="3">
        <v>2016</v>
      </c>
      <c r="BM79" s="3" t="s">
        <v>143</v>
      </c>
      <c r="BN79" s="3" t="s">
        <v>7</v>
      </c>
      <c r="BO79" s="3" t="s">
        <v>12</v>
      </c>
      <c r="BP79" s="3" t="s">
        <v>105</v>
      </c>
      <c r="BQ79" s="54">
        <v>7239412</v>
      </c>
      <c r="BR79" s="59">
        <f>COUNT($BQ$4:$BQ79) / COUNT($BQ$4:$BQ$292)</f>
        <v>0.26297577854671278</v>
      </c>
    </row>
    <row r="80" spans="64:70" x14ac:dyDescent="0.3">
      <c r="BL80" s="3">
        <v>2016</v>
      </c>
      <c r="BM80" s="3" t="s">
        <v>144</v>
      </c>
      <c r="BN80" s="3" t="s">
        <v>7</v>
      </c>
      <c r="BO80" s="3" t="s">
        <v>25</v>
      </c>
      <c r="BP80" s="3" t="s">
        <v>26</v>
      </c>
      <c r="BQ80" s="54">
        <v>7247642</v>
      </c>
      <c r="BR80" s="59">
        <f>COUNT($BQ$4:$BQ80) / COUNT($BQ$4:$BQ$292)</f>
        <v>0.26643598615916952</v>
      </c>
    </row>
    <row r="81" spans="64:71" x14ac:dyDescent="0.3">
      <c r="BL81" s="3">
        <v>2015</v>
      </c>
      <c r="BM81" s="3" t="s">
        <v>177</v>
      </c>
      <c r="BN81" s="3" t="s">
        <v>7</v>
      </c>
      <c r="BO81" s="3" t="s">
        <v>20</v>
      </c>
      <c r="BP81" s="3" t="s">
        <v>178</v>
      </c>
      <c r="BQ81" s="54">
        <v>7329784</v>
      </c>
      <c r="BR81" s="59">
        <f>COUNT($BQ$4:$BQ81) / COUNT($BQ$4:$BQ$292)</f>
        <v>0.26989619377162632</v>
      </c>
    </row>
    <row r="82" spans="64:71" x14ac:dyDescent="0.3">
      <c r="BL82" s="3">
        <v>2012</v>
      </c>
      <c r="BM82" s="3" t="s">
        <v>249</v>
      </c>
      <c r="BN82" s="3" t="s">
        <v>7</v>
      </c>
      <c r="BO82" s="3" t="s">
        <v>20</v>
      </c>
      <c r="BP82" s="3" t="s">
        <v>23</v>
      </c>
      <c r="BQ82" s="54">
        <v>7348070</v>
      </c>
      <c r="BR82" s="59">
        <f>COUNT($BQ$4:$BQ82) / COUNT($BQ$4:$BQ$292)</f>
        <v>0.27335640138408307</v>
      </c>
    </row>
    <row r="83" spans="64:71" x14ac:dyDescent="0.3">
      <c r="BL83" s="3">
        <v>2009</v>
      </c>
      <c r="BM83" s="3" t="s">
        <v>388</v>
      </c>
      <c r="BN83" s="3" t="s">
        <v>7</v>
      </c>
      <c r="BO83" s="3" t="s">
        <v>12</v>
      </c>
      <c r="BP83" s="3" t="s">
        <v>58</v>
      </c>
      <c r="BQ83" s="54">
        <v>7362181</v>
      </c>
      <c r="BR83" s="59">
        <f>COUNT($BQ$4:$BQ83) / COUNT($BQ$4:$BQ$292)</f>
        <v>0.27681660899653981</v>
      </c>
    </row>
    <row r="84" spans="64:71" x14ac:dyDescent="0.3">
      <c r="BL84" s="3">
        <v>2019</v>
      </c>
      <c r="BM84" s="3" t="s">
        <v>44</v>
      </c>
      <c r="BN84" s="3" t="s">
        <v>7</v>
      </c>
      <c r="BO84" s="3" t="s">
        <v>45</v>
      </c>
      <c r="BP84" s="3" t="s">
        <v>46</v>
      </c>
      <c r="BQ84" s="54">
        <v>7473581</v>
      </c>
      <c r="BR84" s="59">
        <f>COUNT($BQ$4:$BQ84) / COUNT($BQ$4:$BQ$292)</f>
        <v>0.28027681660899656</v>
      </c>
    </row>
    <row r="85" spans="64:71" x14ac:dyDescent="0.3">
      <c r="BL85" s="3">
        <v>2017</v>
      </c>
      <c r="BM85" s="3" t="s">
        <v>109</v>
      </c>
      <c r="BN85" s="3" t="s">
        <v>7</v>
      </c>
      <c r="BO85" s="3" t="s">
        <v>87</v>
      </c>
      <c r="BP85" s="3" t="s">
        <v>88</v>
      </c>
      <c r="BQ85" s="54">
        <v>7593166</v>
      </c>
      <c r="BR85" s="59">
        <f>COUNT($BQ$4:$BQ85) / COUNT($BQ$4:$BQ$292)</f>
        <v>0.2837370242214533</v>
      </c>
      <c r="BS85">
        <v>4</v>
      </c>
    </row>
    <row r="86" spans="64:71" x14ac:dyDescent="0.3">
      <c r="BL86" s="3">
        <v>2009</v>
      </c>
      <c r="BM86" s="3" t="s">
        <v>350</v>
      </c>
      <c r="BN86" s="3" t="s">
        <v>7</v>
      </c>
      <c r="BO86" s="3" t="s">
        <v>12</v>
      </c>
      <c r="BP86" s="3" t="s">
        <v>58</v>
      </c>
      <c r="BQ86" s="54">
        <v>7653522</v>
      </c>
      <c r="BR86" s="59">
        <f>COUNT($BQ$4:$BQ86) / COUNT($BQ$4:$BQ$292)</f>
        <v>0.28719723183391005</v>
      </c>
    </row>
    <row r="87" spans="64:71" x14ac:dyDescent="0.3">
      <c r="BL87" s="3">
        <v>2018</v>
      </c>
      <c r="BM87" s="3" t="s">
        <v>78</v>
      </c>
      <c r="BN87" s="3" t="s">
        <v>7</v>
      </c>
      <c r="BO87" s="3" t="s">
        <v>25</v>
      </c>
      <c r="BP87" s="3" t="s">
        <v>26</v>
      </c>
      <c r="BQ87" s="54">
        <v>7732859</v>
      </c>
      <c r="BR87" s="59">
        <f>COUNT($BQ$4:$BQ87) / COUNT($BQ$4:$BQ$292)</f>
        <v>0.29065743944636679</v>
      </c>
    </row>
    <row r="88" spans="64:71" x14ac:dyDescent="0.3">
      <c r="BL88" s="3">
        <v>2018</v>
      </c>
      <c r="BM88" s="3" t="s">
        <v>82</v>
      </c>
      <c r="BN88" s="3" t="s">
        <v>7</v>
      </c>
      <c r="BO88" s="3" t="s">
        <v>36</v>
      </c>
      <c r="BP88" s="3" t="s">
        <v>81</v>
      </c>
      <c r="BQ88" s="54">
        <v>7782700</v>
      </c>
      <c r="BR88" s="59">
        <f>COUNT($BQ$4:$BQ88) / COUNT($BQ$4:$BQ$292)</f>
        <v>0.29411764705882354</v>
      </c>
    </row>
    <row r="89" spans="64:71" x14ac:dyDescent="0.3">
      <c r="BL89" s="3">
        <v>2013</v>
      </c>
      <c r="BM89" s="3" t="s">
        <v>220</v>
      </c>
      <c r="BN89" s="3" t="s">
        <v>7</v>
      </c>
      <c r="BO89" s="3" t="s">
        <v>36</v>
      </c>
      <c r="BP89" s="3" t="s">
        <v>94</v>
      </c>
      <c r="BQ89" s="54">
        <v>7820480</v>
      </c>
      <c r="BR89" s="59">
        <f>COUNT($BQ$4:$BQ89) / COUNT($BQ$4:$BQ$292)</f>
        <v>0.29757785467128028</v>
      </c>
    </row>
    <row r="90" spans="64:71" x14ac:dyDescent="0.3">
      <c r="BL90" s="3">
        <v>2016</v>
      </c>
      <c r="BM90" s="3" t="s">
        <v>152</v>
      </c>
      <c r="BN90" s="3" t="s">
        <v>7</v>
      </c>
      <c r="BO90" s="3" t="s">
        <v>25</v>
      </c>
      <c r="BP90" s="3" t="s">
        <v>153</v>
      </c>
      <c r="BQ90" s="54">
        <v>7875753</v>
      </c>
      <c r="BR90" s="59">
        <f>COUNT($BQ$4:$BQ90) / COUNT($BQ$4:$BQ$292)</f>
        <v>0.30103806228373703</v>
      </c>
    </row>
    <row r="91" spans="64:71" x14ac:dyDescent="0.3">
      <c r="BL91" s="3">
        <v>2016</v>
      </c>
      <c r="BM91" s="3" t="s">
        <v>129</v>
      </c>
      <c r="BN91" s="3" t="s">
        <v>7</v>
      </c>
      <c r="BO91" s="3" t="s">
        <v>36</v>
      </c>
      <c r="BP91" s="3" t="s">
        <v>130</v>
      </c>
      <c r="BQ91" s="54">
        <v>7912028</v>
      </c>
      <c r="BR91" s="59">
        <f>COUNT($BQ$4:$BQ91) / COUNT($BQ$4:$BQ$292)</f>
        <v>0.30449826989619377</v>
      </c>
    </row>
    <row r="92" spans="64:71" x14ac:dyDescent="0.3">
      <c r="BL92" s="3">
        <v>2013</v>
      </c>
      <c r="BM92" s="3" t="s">
        <v>239</v>
      </c>
      <c r="BN92" s="3" t="s">
        <v>92</v>
      </c>
      <c r="BO92" s="3" t="s">
        <v>20</v>
      </c>
      <c r="BP92" s="3" t="s">
        <v>120</v>
      </c>
      <c r="BQ92" s="54">
        <v>7962738</v>
      </c>
      <c r="BR92" s="59">
        <f>COUNT($BQ$4:$BQ92) / COUNT($BQ$4:$BQ$292)</f>
        <v>0.30795847750865052</v>
      </c>
    </row>
    <row r="93" spans="64:71" x14ac:dyDescent="0.3">
      <c r="BL93" s="3">
        <v>2013</v>
      </c>
      <c r="BM93" s="3" t="s">
        <v>241</v>
      </c>
      <c r="BN93" s="3" t="s">
        <v>92</v>
      </c>
      <c r="BO93" s="3" t="s">
        <v>20</v>
      </c>
      <c r="BP93" s="3" t="s">
        <v>120</v>
      </c>
      <c r="BQ93" s="54">
        <v>7962738</v>
      </c>
      <c r="BR93" s="59">
        <f>COUNT($BQ$4:$BQ93) / COUNT($BQ$4:$BQ$292)</f>
        <v>0.31141868512110726</v>
      </c>
    </row>
    <row r="94" spans="64:71" x14ac:dyDescent="0.3">
      <c r="BL94" s="3">
        <v>2013</v>
      </c>
      <c r="BM94" s="3" t="s">
        <v>240</v>
      </c>
      <c r="BN94" s="3" t="s">
        <v>92</v>
      </c>
      <c r="BO94" s="3" t="s">
        <v>20</v>
      </c>
      <c r="BP94" s="3" t="s">
        <v>120</v>
      </c>
      <c r="BQ94" s="54">
        <v>7962738</v>
      </c>
      <c r="BR94" s="59">
        <f>COUNT($BQ$4:$BQ94) / COUNT($BQ$4:$BQ$292)</f>
        <v>0.31487889273356401</v>
      </c>
    </row>
    <row r="95" spans="64:71" x14ac:dyDescent="0.3">
      <c r="BL95" s="30">
        <v>2020</v>
      </c>
      <c r="BM95" s="30" t="s">
        <v>1298</v>
      </c>
      <c r="BN95" s="30" t="s">
        <v>7</v>
      </c>
      <c r="BO95" s="30" t="s">
        <v>20</v>
      </c>
      <c r="BP95" s="30" t="s">
        <v>23</v>
      </c>
      <c r="BQ95" s="54">
        <v>8054747</v>
      </c>
      <c r="BR95" s="59">
        <f>COUNT($BQ$4:$BQ95) / COUNT($BQ$4:$BQ$292)</f>
        <v>0.31833910034602075</v>
      </c>
    </row>
    <row r="96" spans="64:71" x14ac:dyDescent="0.3">
      <c r="BL96" s="3">
        <v>2012</v>
      </c>
      <c r="BM96" s="3" t="s">
        <v>250</v>
      </c>
      <c r="BN96" s="3" t="s">
        <v>7</v>
      </c>
      <c r="BO96" s="3" t="s">
        <v>20</v>
      </c>
      <c r="BP96" s="3" t="s">
        <v>178</v>
      </c>
      <c r="BQ96" s="54">
        <v>8165173</v>
      </c>
      <c r="BR96" s="59">
        <f>COUNT($BQ$4:$BQ96) / COUNT($BQ$4:$BQ$292)</f>
        <v>0.3217993079584775</v>
      </c>
    </row>
    <row r="97" spans="64:71" x14ac:dyDescent="0.3">
      <c r="BL97" s="3">
        <v>2013</v>
      </c>
      <c r="BM97" s="3" t="s">
        <v>229</v>
      </c>
      <c r="BN97" s="3" t="s">
        <v>7</v>
      </c>
      <c r="BO97" s="3" t="s">
        <v>74</v>
      </c>
      <c r="BP97" s="3" t="s">
        <v>75</v>
      </c>
      <c r="BQ97" s="54">
        <v>8325627</v>
      </c>
      <c r="BR97" s="59">
        <f>COUNT($BQ$4:$BQ97) / COUNT($BQ$4:$BQ$292)</f>
        <v>0.32525951557093424</v>
      </c>
    </row>
    <row r="98" spans="64:71" x14ac:dyDescent="0.3">
      <c r="BL98" s="3">
        <v>2009</v>
      </c>
      <c r="BM98" s="3" t="s">
        <v>357</v>
      </c>
      <c r="BN98" s="3" t="s">
        <v>283</v>
      </c>
      <c r="BO98" s="3" t="s">
        <v>36</v>
      </c>
      <c r="BP98" s="3" t="s">
        <v>37</v>
      </c>
      <c r="BQ98" s="54">
        <v>8362232</v>
      </c>
      <c r="BR98" s="59">
        <f>COUNT($BQ$4:$BQ98) / COUNT($BQ$4:$BQ$292)</f>
        <v>0.32871972318339099</v>
      </c>
    </row>
    <row r="99" spans="64:71" x14ac:dyDescent="0.3">
      <c r="BL99" s="3">
        <v>2012</v>
      </c>
      <c r="BM99" s="3" t="s">
        <v>272</v>
      </c>
      <c r="BN99" s="3" t="s">
        <v>7</v>
      </c>
      <c r="BO99" s="3" t="s">
        <v>36</v>
      </c>
      <c r="BP99" s="3" t="s">
        <v>98</v>
      </c>
      <c r="BQ99" s="54">
        <v>8529800</v>
      </c>
      <c r="BR99" s="59">
        <f>COUNT($BQ$4:$BQ99) / COUNT($BQ$4:$BQ$292)</f>
        <v>0.33217993079584773</v>
      </c>
    </row>
    <row r="100" spans="64:71" x14ac:dyDescent="0.3">
      <c r="BL100" s="3">
        <v>2018</v>
      </c>
      <c r="BM100" s="3" t="s">
        <v>69</v>
      </c>
      <c r="BN100" s="3" t="s">
        <v>7</v>
      </c>
      <c r="BO100" s="3" t="s">
        <v>20</v>
      </c>
      <c r="BP100" s="3" t="s">
        <v>21</v>
      </c>
      <c r="BQ100" s="54">
        <v>8771513</v>
      </c>
      <c r="BR100" s="59">
        <f>COUNT($BQ$4:$BQ100) / COUNT($BQ$4:$BQ$292)</f>
        <v>0.33564013840830448</v>
      </c>
    </row>
    <row r="101" spans="64:71" x14ac:dyDescent="0.3">
      <c r="BL101" s="3">
        <v>2013</v>
      </c>
      <c r="BM101" s="3" t="s">
        <v>237</v>
      </c>
      <c r="BN101" s="3" t="s">
        <v>155</v>
      </c>
      <c r="BO101" s="3" t="s">
        <v>64</v>
      </c>
      <c r="BP101" s="3" t="s">
        <v>238</v>
      </c>
      <c r="BQ101" s="54">
        <v>8863939</v>
      </c>
      <c r="BR101" s="59">
        <f>COUNT($BQ$4:$BQ101) / COUNT($BQ$4:$BQ$292)</f>
        <v>0.33910034602076122</v>
      </c>
    </row>
    <row r="102" spans="64:71" x14ac:dyDescent="0.3">
      <c r="BL102" s="3">
        <v>2015</v>
      </c>
      <c r="BM102" s="3" t="s">
        <v>182</v>
      </c>
      <c r="BN102" s="3" t="s">
        <v>7</v>
      </c>
      <c r="BO102" s="3" t="s">
        <v>12</v>
      </c>
      <c r="BP102" s="3" t="s">
        <v>105</v>
      </c>
      <c r="BQ102" s="54">
        <v>8959499</v>
      </c>
      <c r="BR102" s="59">
        <f>COUNT($BQ$4:$BQ102) / COUNT($BQ$4:$BQ$292)</f>
        <v>0.34256055363321797</v>
      </c>
    </row>
    <row r="103" spans="64:71" x14ac:dyDescent="0.3">
      <c r="BL103" s="3">
        <v>2016</v>
      </c>
      <c r="BM103" s="3" t="s">
        <v>136</v>
      </c>
      <c r="BN103" s="3" t="s">
        <v>67</v>
      </c>
      <c r="BO103" s="3" t="s">
        <v>20</v>
      </c>
      <c r="BP103" s="3" t="s">
        <v>23</v>
      </c>
      <c r="BQ103" s="54">
        <v>9166092</v>
      </c>
      <c r="BR103" s="59">
        <f>COUNT($BQ$4:$BQ103) / COUNT($BQ$4:$BQ$292)</f>
        <v>0.34602076124567471</v>
      </c>
    </row>
    <row r="104" spans="64:71" x14ac:dyDescent="0.3">
      <c r="BL104" s="3">
        <v>2010</v>
      </c>
      <c r="BM104" s="3" t="s">
        <v>346</v>
      </c>
      <c r="BN104" s="3" t="s">
        <v>92</v>
      </c>
      <c r="BO104" s="3" t="s">
        <v>32</v>
      </c>
      <c r="BP104" s="3" t="s">
        <v>33</v>
      </c>
      <c r="BQ104" s="54">
        <v>9180457</v>
      </c>
      <c r="BR104" s="59">
        <f>COUNT($BQ$4:$BQ104) / COUNT($BQ$4:$BQ$292)</f>
        <v>0.34948096885813151</v>
      </c>
    </row>
    <row r="105" spans="64:71" x14ac:dyDescent="0.3">
      <c r="BL105" s="3">
        <v>2010</v>
      </c>
      <c r="BM105" s="3" t="s">
        <v>345</v>
      </c>
      <c r="BN105" s="3" t="s">
        <v>92</v>
      </c>
      <c r="BO105" s="3" t="s">
        <v>32</v>
      </c>
      <c r="BP105" s="3" t="s">
        <v>33</v>
      </c>
      <c r="BQ105" s="54">
        <v>9180457</v>
      </c>
      <c r="BR105" s="59">
        <f>COUNT($BQ$4:$BQ105) / COUNT($BQ$4:$BQ$292)</f>
        <v>0.35294117647058826</v>
      </c>
    </row>
    <row r="106" spans="64:71" x14ac:dyDescent="0.3">
      <c r="BL106" s="3">
        <v>2012</v>
      </c>
      <c r="BM106" s="3" t="s">
        <v>263</v>
      </c>
      <c r="BN106" s="3" t="s">
        <v>7</v>
      </c>
      <c r="BO106" s="3" t="s">
        <v>8</v>
      </c>
      <c r="BP106" s="3" t="s">
        <v>264</v>
      </c>
      <c r="BQ106" s="54">
        <v>9390819</v>
      </c>
      <c r="BR106" s="59">
        <f>COUNT($BQ$4:$BQ106) / COUNT($BQ$4:$BQ$292)</f>
        <v>0.356401384083045</v>
      </c>
    </row>
    <row r="107" spans="64:71" x14ac:dyDescent="0.3">
      <c r="BL107" s="3">
        <v>2015</v>
      </c>
      <c r="BM107" s="3" t="s">
        <v>174</v>
      </c>
      <c r="BN107" s="3" t="s">
        <v>7</v>
      </c>
      <c r="BO107" s="3" t="s">
        <v>20</v>
      </c>
      <c r="BP107" s="3" t="s">
        <v>23</v>
      </c>
      <c r="BQ107" s="54">
        <v>9401729</v>
      </c>
      <c r="BR107" s="59">
        <f>COUNT($BQ$4:$BQ107) / COUNT($BQ$4:$BQ$292)</f>
        <v>0.35986159169550175</v>
      </c>
    </row>
    <row r="108" spans="64:71" x14ac:dyDescent="0.3">
      <c r="BL108" s="3">
        <v>2012</v>
      </c>
      <c r="BM108" s="3" t="s">
        <v>274</v>
      </c>
      <c r="BN108" s="3" t="s">
        <v>7</v>
      </c>
      <c r="BO108" s="3" t="s">
        <v>25</v>
      </c>
      <c r="BP108" s="3" t="s">
        <v>151</v>
      </c>
      <c r="BQ108" s="54">
        <v>9522927</v>
      </c>
      <c r="BR108" s="59">
        <f>COUNT($BQ$4:$BQ108) / COUNT($BQ$4:$BQ$292)</f>
        <v>0.36332179930795849</v>
      </c>
    </row>
    <row r="109" spans="64:71" x14ac:dyDescent="0.3">
      <c r="BL109" s="3">
        <v>2010</v>
      </c>
      <c r="BM109" s="3" t="s">
        <v>316</v>
      </c>
      <c r="BN109" s="3" t="s">
        <v>155</v>
      </c>
      <c r="BO109" s="3" t="s">
        <v>216</v>
      </c>
      <c r="BP109" s="3" t="s">
        <v>316</v>
      </c>
      <c r="BQ109" s="54">
        <v>9695495</v>
      </c>
      <c r="BR109" s="59">
        <f>COUNT($BQ$4:$BQ109) / COUNT($BQ$4:$BQ$292)</f>
        <v>0.36678200692041524</v>
      </c>
    </row>
    <row r="110" spans="64:71" x14ac:dyDescent="0.3">
      <c r="BL110" s="3">
        <v>2016</v>
      </c>
      <c r="BM110" s="3" t="s">
        <v>142</v>
      </c>
      <c r="BN110" s="3" t="s">
        <v>7</v>
      </c>
      <c r="BO110" s="3" t="s">
        <v>32</v>
      </c>
      <c r="BP110" s="3" t="s">
        <v>33</v>
      </c>
      <c r="BQ110" s="54">
        <v>9821320</v>
      </c>
      <c r="BR110" s="59">
        <f>COUNT($BQ$4:$BQ110) / COUNT($BQ$4:$BQ$292)</f>
        <v>0.37024221453287198</v>
      </c>
    </row>
    <row r="111" spans="64:71" x14ac:dyDescent="0.3">
      <c r="BL111" s="30">
        <v>2019</v>
      </c>
      <c r="BM111" s="30" t="s">
        <v>11</v>
      </c>
      <c r="BN111" s="30" t="s">
        <v>7</v>
      </c>
      <c r="BO111" s="30" t="s">
        <v>12</v>
      </c>
      <c r="BP111" s="30" t="s">
        <v>13</v>
      </c>
      <c r="BQ111" s="54">
        <v>9912218</v>
      </c>
      <c r="BR111" s="59">
        <f>COUNT($BQ$4:$BQ111) / COUNT($BQ$4:$BQ$292)</f>
        <v>0.37370242214532873</v>
      </c>
    </row>
    <row r="112" spans="64:71" x14ac:dyDescent="0.3">
      <c r="BL112" s="3">
        <v>2015</v>
      </c>
      <c r="BM112" s="3" t="s">
        <v>158</v>
      </c>
      <c r="BN112" s="3" t="s">
        <v>67</v>
      </c>
      <c r="BO112" s="3" t="s">
        <v>159</v>
      </c>
      <c r="BP112" s="3" t="s">
        <v>160</v>
      </c>
      <c r="BQ112" s="54">
        <v>10053292</v>
      </c>
      <c r="BR112" s="59">
        <f>COUNT($BQ$4:$BQ112) / COUNT($BQ$4:$BQ$292)</f>
        <v>0.37716262975778547</v>
      </c>
      <c r="BS112">
        <v>5</v>
      </c>
    </row>
    <row r="113" spans="64:70" x14ac:dyDescent="0.3">
      <c r="BL113" s="3">
        <v>2019</v>
      </c>
      <c r="BM113" s="3" t="s">
        <v>35</v>
      </c>
      <c r="BN113" s="3" t="s">
        <v>7</v>
      </c>
      <c r="BO113" s="3" t="s">
        <v>36</v>
      </c>
      <c r="BP113" s="3" t="s">
        <v>37</v>
      </c>
      <c r="BQ113" s="54">
        <v>10069292</v>
      </c>
      <c r="BR113" s="59">
        <f>COUNT($BQ$4:$BQ113) / COUNT($BQ$4:$BQ$292)</f>
        <v>0.38062283737024222</v>
      </c>
    </row>
    <row r="114" spans="64:70" x14ac:dyDescent="0.3">
      <c r="BL114" s="3">
        <v>2014</v>
      </c>
      <c r="BM114" s="3" t="s">
        <v>204</v>
      </c>
      <c r="BN114" s="3" t="s">
        <v>7</v>
      </c>
      <c r="BO114" s="3" t="s">
        <v>12</v>
      </c>
      <c r="BP114" s="3" t="s">
        <v>105</v>
      </c>
      <c r="BQ114" s="54">
        <v>10286220</v>
      </c>
      <c r="BR114" s="59">
        <f>COUNT($BQ$4:$BQ114) / COUNT($BQ$4:$BQ$292)</f>
        <v>0.38408304498269896</v>
      </c>
    </row>
    <row r="115" spans="64:70" x14ac:dyDescent="0.3">
      <c r="BL115" s="3">
        <v>2014</v>
      </c>
      <c r="BM115" s="3" t="s">
        <v>207</v>
      </c>
      <c r="BN115" s="3" t="s">
        <v>7</v>
      </c>
      <c r="BO115" s="3" t="s">
        <v>36</v>
      </c>
      <c r="BP115" s="3" t="s">
        <v>68</v>
      </c>
      <c r="BQ115" s="54">
        <v>10315690</v>
      </c>
      <c r="BR115" s="59">
        <f>COUNT($BQ$4:$BQ115) / COUNT($BQ$4:$BQ$292)</f>
        <v>0.38754325259515571</v>
      </c>
    </row>
    <row r="116" spans="64:70" x14ac:dyDescent="0.3">
      <c r="BL116" s="3">
        <v>2012</v>
      </c>
      <c r="BM116" s="3" t="s">
        <v>273</v>
      </c>
      <c r="BN116" s="3" t="s">
        <v>7</v>
      </c>
      <c r="BO116" s="3" t="s">
        <v>36</v>
      </c>
      <c r="BP116" s="3" t="s">
        <v>81</v>
      </c>
      <c r="BQ116" s="54">
        <v>10316346</v>
      </c>
      <c r="BR116" s="59">
        <f>COUNT($BQ$4:$BQ116) / COUNT($BQ$4:$BQ$292)</f>
        <v>0.39100346020761245</v>
      </c>
    </row>
    <row r="117" spans="64:70" x14ac:dyDescent="0.3">
      <c r="BL117" s="3">
        <v>2014</v>
      </c>
      <c r="BM117" s="3" t="s">
        <v>206</v>
      </c>
      <c r="BN117" s="3" t="s">
        <v>7</v>
      </c>
      <c r="BO117" s="3" t="s">
        <v>36</v>
      </c>
      <c r="BP117" s="3" t="s">
        <v>81</v>
      </c>
      <c r="BQ117" s="54">
        <v>10456416</v>
      </c>
      <c r="BR117" s="59">
        <f>COUNT($BQ$4:$BQ117) / COUNT($BQ$4:$BQ$292)</f>
        <v>0.3944636678200692</v>
      </c>
    </row>
    <row r="118" spans="64:70" x14ac:dyDescent="0.3">
      <c r="BL118" s="3">
        <v>2019</v>
      </c>
      <c r="BM118" s="3" t="s">
        <v>38</v>
      </c>
      <c r="BN118" s="3" t="s">
        <v>7</v>
      </c>
      <c r="BO118" s="3" t="s">
        <v>36</v>
      </c>
      <c r="BP118" s="3" t="s">
        <v>37</v>
      </c>
      <c r="BQ118" s="54">
        <v>10518957</v>
      </c>
      <c r="BR118" s="59">
        <f>COUNT($BQ$4:$BQ118) / COUNT($BQ$4:$BQ$292)</f>
        <v>0.39792387543252594</v>
      </c>
    </row>
    <row r="119" spans="64:70" x14ac:dyDescent="0.3">
      <c r="BL119" s="3">
        <v>2018</v>
      </c>
      <c r="BM119" s="3" t="s">
        <v>66</v>
      </c>
      <c r="BN119" s="3" t="s">
        <v>67</v>
      </c>
      <c r="BO119" s="3" t="s">
        <v>36</v>
      </c>
      <c r="BP119" s="3" t="s">
        <v>68</v>
      </c>
      <c r="BQ119" s="54">
        <v>10920662</v>
      </c>
      <c r="BR119" s="59">
        <f>COUNT($BQ$4:$BQ119) / COUNT($BQ$4:$BQ$292)</f>
        <v>0.40138408304498269</v>
      </c>
    </row>
    <row r="120" spans="64:70" x14ac:dyDescent="0.3">
      <c r="BL120" s="3">
        <v>2009</v>
      </c>
      <c r="BM120" s="3" t="s">
        <v>358</v>
      </c>
      <c r="BN120" s="3" t="s">
        <v>7</v>
      </c>
      <c r="BO120" s="3" t="s">
        <v>36</v>
      </c>
      <c r="BP120" s="3" t="s">
        <v>37</v>
      </c>
      <c r="BQ120" s="54">
        <v>10920943</v>
      </c>
      <c r="BR120" s="59">
        <f>COUNT($BQ$4:$BQ120) / COUNT($BQ$4:$BQ$292)</f>
        <v>0.40484429065743943</v>
      </c>
    </row>
    <row r="121" spans="64:70" x14ac:dyDescent="0.3">
      <c r="BL121" s="3">
        <v>2010</v>
      </c>
      <c r="BM121" s="3" t="s">
        <v>348</v>
      </c>
      <c r="BN121" s="3" t="s">
        <v>155</v>
      </c>
      <c r="BO121" s="3" t="s">
        <v>54</v>
      </c>
      <c r="BP121" s="3" t="s">
        <v>55</v>
      </c>
      <c r="BQ121" s="54">
        <v>11019196</v>
      </c>
      <c r="BR121" s="59">
        <f>COUNT($BQ$4:$BQ121) / COUNT($BQ$4:$BQ$292)</f>
        <v>0.40830449826989618</v>
      </c>
    </row>
    <row r="122" spans="64:70" x14ac:dyDescent="0.3">
      <c r="BL122" s="3">
        <v>2017</v>
      </c>
      <c r="BM122" s="3" t="s">
        <v>118</v>
      </c>
      <c r="BN122" s="3" t="s">
        <v>7</v>
      </c>
      <c r="BO122" s="3" t="s">
        <v>25</v>
      </c>
      <c r="BP122" s="3" t="s">
        <v>117</v>
      </c>
      <c r="BQ122" s="54">
        <v>11304666</v>
      </c>
      <c r="BR122" s="59">
        <f>COUNT($BQ$4:$BQ122) / COUNT($BQ$4:$BQ$292)</f>
        <v>0.41176470588235292</v>
      </c>
    </row>
    <row r="123" spans="64:70" x14ac:dyDescent="0.3">
      <c r="BL123" s="3">
        <v>2016</v>
      </c>
      <c r="BM123" s="3" t="s">
        <v>127</v>
      </c>
      <c r="BN123" s="3" t="s">
        <v>7</v>
      </c>
      <c r="BO123" s="3" t="s">
        <v>64</v>
      </c>
      <c r="BP123" s="3" t="s">
        <v>128</v>
      </c>
      <c r="BQ123" s="54">
        <v>11679399</v>
      </c>
      <c r="BR123" s="59">
        <f>COUNT($BQ$4:$BQ123) / COUNT($BQ$4:$BQ$292)</f>
        <v>0.41522491349480967</v>
      </c>
    </row>
    <row r="124" spans="64:70" x14ac:dyDescent="0.3">
      <c r="BL124" s="3">
        <v>2017</v>
      </c>
      <c r="BM124" s="3" t="s">
        <v>102</v>
      </c>
      <c r="BN124" s="3" t="s">
        <v>7</v>
      </c>
      <c r="BO124" s="3" t="s">
        <v>87</v>
      </c>
      <c r="BP124" s="3" t="s">
        <v>88</v>
      </c>
      <c r="BQ124" s="54">
        <v>11684409</v>
      </c>
      <c r="BR124" s="59">
        <f>COUNT($BQ$4:$BQ124) / COUNT($BQ$4:$BQ$292)</f>
        <v>0.41868512110726641</v>
      </c>
    </row>
    <row r="125" spans="64:70" x14ac:dyDescent="0.3">
      <c r="BL125" s="3">
        <v>2017</v>
      </c>
      <c r="BM125" s="3" t="s">
        <v>110</v>
      </c>
      <c r="BN125" s="3" t="s">
        <v>7</v>
      </c>
      <c r="BO125" s="3" t="s">
        <v>87</v>
      </c>
      <c r="BP125" s="3" t="s">
        <v>88</v>
      </c>
      <c r="BQ125" s="54">
        <v>11729783</v>
      </c>
      <c r="BR125" s="59">
        <f>COUNT($BQ$4:$BQ125) / COUNT($BQ$4:$BQ$292)</f>
        <v>0.42214532871972316</v>
      </c>
    </row>
    <row r="126" spans="64:70" x14ac:dyDescent="0.3">
      <c r="BL126" s="3">
        <v>2017</v>
      </c>
      <c r="BM126" s="3" t="s">
        <v>103</v>
      </c>
      <c r="BN126" s="3" t="s">
        <v>7</v>
      </c>
      <c r="BO126" s="3" t="s">
        <v>54</v>
      </c>
      <c r="BP126" s="3" t="s">
        <v>55</v>
      </c>
      <c r="BQ126" s="54">
        <v>11926405</v>
      </c>
      <c r="BR126" s="59">
        <f>COUNT($BQ$4:$BQ126) / COUNT($BQ$4:$BQ$292)</f>
        <v>0.42560553633217996</v>
      </c>
    </row>
    <row r="127" spans="64:70" x14ac:dyDescent="0.3">
      <c r="BL127" s="3">
        <v>2010</v>
      </c>
      <c r="BM127" s="3" t="s">
        <v>334</v>
      </c>
      <c r="BN127" s="3" t="s">
        <v>155</v>
      </c>
      <c r="BO127" s="3" t="s">
        <v>54</v>
      </c>
      <c r="BP127" s="3" t="s">
        <v>335</v>
      </c>
      <c r="BQ127" s="54">
        <v>12167667</v>
      </c>
      <c r="BR127" s="59">
        <f>COUNT($BQ$4:$BQ127) / COUNT($BQ$4:$BQ$292)</f>
        <v>0.4290657439446367</v>
      </c>
    </row>
    <row r="128" spans="64:70" x14ac:dyDescent="0.3">
      <c r="BL128" s="3">
        <v>2014</v>
      </c>
      <c r="BM128" s="3" t="s">
        <v>188</v>
      </c>
      <c r="BN128" s="3" t="s">
        <v>92</v>
      </c>
      <c r="BO128" s="3" t="s">
        <v>25</v>
      </c>
      <c r="BP128" s="3" t="s">
        <v>29</v>
      </c>
      <c r="BQ128" s="54">
        <v>12571303</v>
      </c>
      <c r="BR128" s="59">
        <f>COUNT($BQ$4:$BQ128) / COUNT($BQ$4:$BQ$292)</f>
        <v>0.43252595155709345</v>
      </c>
    </row>
    <row r="129" spans="64:70" x14ac:dyDescent="0.3">
      <c r="BL129" s="3">
        <v>2019</v>
      </c>
      <c r="BM129" s="3" t="s">
        <v>16</v>
      </c>
      <c r="BN129" s="3" t="s">
        <v>7</v>
      </c>
      <c r="BO129" s="3" t="s">
        <v>17</v>
      </c>
      <c r="BP129" s="3" t="s">
        <v>18</v>
      </c>
      <c r="BQ129" s="54">
        <v>12667163</v>
      </c>
      <c r="BR129" s="59">
        <f>COUNT($BQ$4:$BQ129) / COUNT($BQ$4:$BQ$292)</f>
        <v>0.43598615916955019</v>
      </c>
    </row>
    <row r="130" spans="64:70" x14ac:dyDescent="0.3">
      <c r="BL130" s="3">
        <v>2017</v>
      </c>
      <c r="BM130" s="3" t="s">
        <v>111</v>
      </c>
      <c r="BN130" s="3" t="s">
        <v>7</v>
      </c>
      <c r="BO130" s="3" t="s">
        <v>36</v>
      </c>
      <c r="BP130" s="3" t="s">
        <v>81</v>
      </c>
      <c r="BQ130" s="54">
        <v>12691344</v>
      </c>
      <c r="BR130" s="59">
        <f>COUNT($BQ$4:$BQ130) / COUNT($BQ$4:$BQ$292)</f>
        <v>0.43944636678200694</v>
      </c>
    </row>
    <row r="131" spans="64:70" x14ac:dyDescent="0.3">
      <c r="BL131" s="30">
        <v>2020</v>
      </c>
      <c r="BM131" s="30" t="s">
        <v>1311</v>
      </c>
      <c r="BN131" s="30" t="s">
        <v>67</v>
      </c>
      <c r="BO131" s="30" t="s">
        <v>32</v>
      </c>
      <c r="BP131" s="30" t="s">
        <v>33</v>
      </c>
      <c r="BQ131" s="54">
        <v>12693252</v>
      </c>
      <c r="BR131" s="59">
        <f>COUNT($BQ$4:$BQ131) / COUNT($BQ$4:$BQ$292)</f>
        <v>0.44290657439446368</v>
      </c>
    </row>
    <row r="132" spans="64:70" x14ac:dyDescent="0.3">
      <c r="BL132" s="30">
        <v>2020</v>
      </c>
      <c r="BM132" s="30" t="s">
        <v>271</v>
      </c>
      <c r="BN132" s="30" t="s">
        <v>7</v>
      </c>
      <c r="BO132" s="30" t="s">
        <v>40</v>
      </c>
      <c r="BP132" s="30" t="s">
        <v>1307</v>
      </c>
      <c r="BQ132" s="54">
        <v>12744856</v>
      </c>
      <c r="BR132" s="59">
        <f>COUNT($BQ$4:$BQ132) / COUNT($BQ$4:$BQ$292)</f>
        <v>0.44636678200692043</v>
      </c>
    </row>
    <row r="133" spans="64:70" x14ac:dyDescent="0.3">
      <c r="BL133" s="3">
        <v>2018</v>
      </c>
      <c r="BM133" s="3" t="s">
        <v>52</v>
      </c>
      <c r="BN133" s="3" t="s">
        <v>7</v>
      </c>
      <c r="BO133" s="3" t="s">
        <v>20</v>
      </c>
      <c r="BP133" s="3" t="s">
        <v>23</v>
      </c>
      <c r="BQ133" s="54">
        <v>12834794</v>
      </c>
      <c r="BR133" s="59">
        <f>COUNT($BQ$4:$BQ133) / COUNT($BQ$4:$BQ$292)</f>
        <v>0.44982698961937717</v>
      </c>
    </row>
    <row r="134" spans="64:70" x14ac:dyDescent="0.3">
      <c r="BL134" s="3">
        <v>2011</v>
      </c>
      <c r="BM134" s="3" t="s">
        <v>282</v>
      </c>
      <c r="BN134" s="3" t="s">
        <v>283</v>
      </c>
      <c r="BO134" s="3" t="s">
        <v>54</v>
      </c>
      <c r="BP134" s="3" t="s">
        <v>243</v>
      </c>
      <c r="BQ134" s="54">
        <v>12970406</v>
      </c>
      <c r="BR134" s="59">
        <f>COUNT($BQ$4:$BQ134) / COUNT($BQ$4:$BQ$292)</f>
        <v>0.45328719723183392</v>
      </c>
    </row>
    <row r="135" spans="64:70" x14ac:dyDescent="0.3">
      <c r="BL135" s="3">
        <v>2016</v>
      </c>
      <c r="BM135" s="3" t="s">
        <v>150</v>
      </c>
      <c r="BN135" s="3" t="s">
        <v>7</v>
      </c>
      <c r="BO135" s="3" t="s">
        <v>25</v>
      </c>
      <c r="BP135" s="3" t="s">
        <v>151</v>
      </c>
      <c r="BQ135" s="54">
        <v>13029432</v>
      </c>
      <c r="BR135" s="59">
        <f>COUNT($BQ$4:$BQ135) / COUNT($BQ$4:$BQ$292)</f>
        <v>0.45674740484429066</v>
      </c>
    </row>
    <row r="136" spans="64:70" x14ac:dyDescent="0.3">
      <c r="BL136" s="30">
        <v>2020</v>
      </c>
      <c r="BM136" s="30" t="s">
        <v>1309</v>
      </c>
      <c r="BN136" s="30" t="s">
        <v>67</v>
      </c>
      <c r="BO136" s="30" t="s">
        <v>54</v>
      </c>
      <c r="BP136" s="30" t="s">
        <v>55</v>
      </c>
      <c r="BQ136" s="54">
        <v>13104214</v>
      </c>
      <c r="BR136" s="59">
        <f>COUNT($BQ$4:$BQ136) / COUNT($BQ$4:$BQ$292)</f>
        <v>0.46020761245674741</v>
      </c>
    </row>
    <row r="137" spans="64:70" x14ac:dyDescent="0.3">
      <c r="BL137" s="3">
        <v>2019</v>
      </c>
      <c r="BM137" s="3" t="s">
        <v>19</v>
      </c>
      <c r="BN137" s="3" t="s">
        <v>7</v>
      </c>
      <c r="BO137" s="3" t="s">
        <v>20</v>
      </c>
      <c r="BP137" s="3" t="s">
        <v>21</v>
      </c>
      <c r="BQ137" s="54">
        <v>13310794</v>
      </c>
      <c r="BR137" s="59">
        <f>COUNT($BQ$4:$BQ137) / COUNT($BQ$4:$BQ$292)</f>
        <v>0.46366782006920415</v>
      </c>
    </row>
    <row r="138" spans="64:70" x14ac:dyDescent="0.3">
      <c r="BL138" s="3">
        <v>2009</v>
      </c>
      <c r="BM138" s="3" t="s">
        <v>349</v>
      </c>
      <c r="BN138" s="3" t="s">
        <v>7</v>
      </c>
      <c r="BO138" s="3" t="s">
        <v>12</v>
      </c>
      <c r="BP138" s="3" t="s">
        <v>13</v>
      </c>
      <c r="BQ138" s="54">
        <v>13504065</v>
      </c>
      <c r="BR138" s="59">
        <f>COUNT($BQ$4:$BQ138) / COUNT($BQ$4:$BQ$292)</f>
        <v>0.4671280276816609</v>
      </c>
    </row>
    <row r="139" spans="64:70" x14ac:dyDescent="0.3">
      <c r="BL139" s="3">
        <v>2014</v>
      </c>
      <c r="BM139" s="3" t="s">
        <v>189</v>
      </c>
      <c r="BN139" s="3" t="s">
        <v>92</v>
      </c>
      <c r="BO139" s="3" t="s">
        <v>25</v>
      </c>
      <c r="BP139" s="3" t="s">
        <v>29</v>
      </c>
      <c r="BQ139" s="54">
        <v>13625740</v>
      </c>
      <c r="BR139" s="59">
        <f>COUNT($BQ$4:$BQ139) / COUNT($BQ$4:$BQ$292)</f>
        <v>0.47058823529411764</v>
      </c>
    </row>
    <row r="140" spans="64:70" x14ac:dyDescent="0.3">
      <c r="BL140" s="3">
        <v>2010</v>
      </c>
      <c r="BM140" s="3" t="s">
        <v>320</v>
      </c>
      <c r="BN140" s="3" t="s">
        <v>7</v>
      </c>
      <c r="BO140" s="3" t="s">
        <v>12</v>
      </c>
      <c r="BP140" s="3" t="s">
        <v>61</v>
      </c>
      <c r="BQ140" s="54">
        <v>13742222</v>
      </c>
      <c r="BR140" s="59">
        <f>COUNT($BQ$4:$BQ140) / COUNT($BQ$4:$BQ$292)</f>
        <v>0.47404844290657439</v>
      </c>
    </row>
    <row r="141" spans="64:70" x14ac:dyDescent="0.3">
      <c r="BL141" s="3">
        <v>2016</v>
      </c>
      <c r="BM141" s="3" t="s">
        <v>125</v>
      </c>
      <c r="BN141" s="3" t="s">
        <v>7</v>
      </c>
      <c r="BO141" s="3" t="s">
        <v>54</v>
      </c>
      <c r="BP141" s="3" t="s">
        <v>55</v>
      </c>
      <c r="BQ141" s="54">
        <v>13834767</v>
      </c>
      <c r="BR141" s="59">
        <f>COUNT($BQ$4:$BQ141) / COUNT($BQ$4:$BQ$292)</f>
        <v>0.47750865051903113</v>
      </c>
    </row>
    <row r="142" spans="64:70" x14ac:dyDescent="0.3">
      <c r="BL142" s="3">
        <v>2011</v>
      </c>
      <c r="BM142" s="3" t="s">
        <v>304</v>
      </c>
      <c r="BN142" s="3" t="s">
        <v>7</v>
      </c>
      <c r="BO142" s="3" t="s">
        <v>36</v>
      </c>
      <c r="BP142" s="3" t="s">
        <v>37</v>
      </c>
      <c r="BQ142" s="54">
        <v>13923243</v>
      </c>
      <c r="BR142" s="59">
        <f>COUNT($BQ$4:$BQ142) / COUNT($BQ$4:$BQ$292)</f>
        <v>0.48096885813148788</v>
      </c>
    </row>
    <row r="143" spans="64:70" x14ac:dyDescent="0.3">
      <c r="BL143" s="3">
        <v>2012</v>
      </c>
      <c r="BM143" s="3" t="s">
        <v>254</v>
      </c>
      <c r="BN143" s="3" t="s">
        <v>92</v>
      </c>
      <c r="BO143" s="3" t="s">
        <v>8</v>
      </c>
      <c r="BP143" s="3" t="s">
        <v>51</v>
      </c>
      <c r="BQ143" s="54">
        <v>13931336</v>
      </c>
      <c r="BR143" s="59">
        <f>COUNT($BQ$4:$BQ143) / COUNT($BQ$4:$BQ$292)</f>
        <v>0.48442906574394462</v>
      </c>
    </row>
    <row r="144" spans="64:70" x14ac:dyDescent="0.3">
      <c r="BL144" s="3">
        <v>2013</v>
      </c>
      <c r="BM144" s="3" t="s">
        <v>215</v>
      </c>
      <c r="BN144" s="3" t="s">
        <v>155</v>
      </c>
      <c r="BO144" s="3" t="s">
        <v>216</v>
      </c>
      <c r="BP144" s="3" t="s">
        <v>217</v>
      </c>
      <c r="BQ144" s="54">
        <v>14080370</v>
      </c>
      <c r="BR144" s="59">
        <f>COUNT($BQ$4:$BQ144) / COUNT($BQ$4:$BQ$292)</f>
        <v>0.48788927335640137</v>
      </c>
    </row>
    <row r="145" spans="64:71" x14ac:dyDescent="0.3">
      <c r="BL145" s="30">
        <v>2020</v>
      </c>
      <c r="BM145" s="30" t="s">
        <v>1303</v>
      </c>
      <c r="BN145" s="30" t="s">
        <v>7</v>
      </c>
      <c r="BO145" s="30" t="s">
        <v>36</v>
      </c>
      <c r="BP145" s="30" t="s">
        <v>81</v>
      </c>
      <c r="BQ145" s="54">
        <v>14385550</v>
      </c>
      <c r="BR145" s="59">
        <f>COUNT($BQ$4:$BQ145) / COUNT($BQ$4:$BQ$292)</f>
        <v>0.49134948096885811</v>
      </c>
    </row>
    <row r="146" spans="64:71" x14ac:dyDescent="0.3">
      <c r="BL146" s="3">
        <v>2016</v>
      </c>
      <c r="BM146" s="3" t="s">
        <v>140</v>
      </c>
      <c r="BN146" s="3" t="s">
        <v>7</v>
      </c>
      <c r="BO146" s="3" t="s">
        <v>32</v>
      </c>
      <c r="BP146" s="3" t="s">
        <v>33</v>
      </c>
      <c r="BQ146" s="54">
        <v>14514671</v>
      </c>
      <c r="BR146" s="59">
        <f>COUNT($BQ$4:$BQ146) / COUNT($BQ$4:$BQ$292)</f>
        <v>0.49480968858131485</v>
      </c>
    </row>
    <row r="147" spans="64:71" x14ac:dyDescent="0.3">
      <c r="BL147" s="3">
        <v>2012</v>
      </c>
      <c r="BM147" s="3" t="s">
        <v>271</v>
      </c>
      <c r="BN147" s="3" t="s">
        <v>7</v>
      </c>
      <c r="BO147" s="3" t="s">
        <v>40</v>
      </c>
      <c r="BP147" s="3" t="s">
        <v>160</v>
      </c>
      <c r="BQ147" s="54">
        <v>14582225</v>
      </c>
      <c r="BR147" s="59">
        <f>COUNT($BQ$4:$BQ147) / COUNT($BQ$4:$BQ$292)</f>
        <v>0.4982698961937716</v>
      </c>
    </row>
    <row r="148" spans="64:71" x14ac:dyDescent="0.3">
      <c r="BL148" s="3">
        <v>2012</v>
      </c>
      <c r="BM148" s="3" t="s">
        <v>246</v>
      </c>
      <c r="BN148" s="3" t="s">
        <v>7</v>
      </c>
      <c r="BO148" s="3" t="s">
        <v>25</v>
      </c>
      <c r="BP148" s="3" t="s">
        <v>29</v>
      </c>
      <c r="BQ148" s="54">
        <v>15173075</v>
      </c>
      <c r="BR148" s="59">
        <f>COUNT($BQ$4:$BQ148) / COUNT($BQ$4:$BQ$292)</f>
        <v>0.5017301038062284</v>
      </c>
      <c r="BS148">
        <v>6</v>
      </c>
    </row>
    <row r="149" spans="64:71" x14ac:dyDescent="0.3">
      <c r="BL149" s="3">
        <v>2017</v>
      </c>
      <c r="BM149" s="3" t="s">
        <v>97</v>
      </c>
      <c r="BN149" s="3" t="s">
        <v>7</v>
      </c>
      <c r="BO149" s="3" t="s">
        <v>36</v>
      </c>
      <c r="BP149" s="3" t="s">
        <v>98</v>
      </c>
      <c r="BQ149" s="54">
        <v>15493978</v>
      </c>
      <c r="BR149" s="59">
        <f>COUNT($BQ$4:$BQ149) / COUNT($BQ$4:$BQ$292)</f>
        <v>0.50519031141868509</v>
      </c>
    </row>
    <row r="150" spans="64:71" x14ac:dyDescent="0.3">
      <c r="BL150" s="3">
        <v>2012</v>
      </c>
      <c r="BM150" s="3" t="s">
        <v>270</v>
      </c>
      <c r="BN150" s="3" t="s">
        <v>7</v>
      </c>
      <c r="BO150" s="3" t="s">
        <v>40</v>
      </c>
      <c r="BP150" s="3" t="s">
        <v>41</v>
      </c>
      <c r="BQ150" s="54">
        <v>15630200</v>
      </c>
      <c r="BR150" s="59">
        <f>COUNT($BQ$4:$BQ150) / COUNT($BQ$4:$BQ$292)</f>
        <v>0.50865051903114189</v>
      </c>
    </row>
    <row r="151" spans="64:71" x14ac:dyDescent="0.3">
      <c r="BL151" s="3">
        <v>2012</v>
      </c>
      <c r="BM151" s="3" t="s">
        <v>269</v>
      </c>
      <c r="BN151" s="3" t="s">
        <v>7</v>
      </c>
      <c r="BO151" s="3" t="s">
        <v>40</v>
      </c>
      <c r="BP151" s="3" t="s">
        <v>41</v>
      </c>
      <c r="BQ151" s="54">
        <v>15630200</v>
      </c>
      <c r="BR151" s="59">
        <f>COUNT($BQ$4:$BQ151) / COUNT($BQ$4:$BQ$292)</f>
        <v>0.51211072664359858</v>
      </c>
    </row>
    <row r="152" spans="64:71" x14ac:dyDescent="0.3">
      <c r="BL152" s="3">
        <v>2012</v>
      </c>
      <c r="BM152" s="3" t="s">
        <v>268</v>
      </c>
      <c r="BN152" s="3" t="s">
        <v>7</v>
      </c>
      <c r="BO152" s="3" t="s">
        <v>40</v>
      </c>
      <c r="BP152" s="3" t="s">
        <v>41</v>
      </c>
      <c r="BQ152" s="54">
        <v>15630200</v>
      </c>
      <c r="BR152" s="59">
        <f>COUNT($BQ$4:$BQ152) / COUNT($BQ$4:$BQ$292)</f>
        <v>0.51557093425605538</v>
      </c>
    </row>
    <row r="153" spans="64:71" x14ac:dyDescent="0.3">
      <c r="BL153" s="3">
        <v>2012</v>
      </c>
      <c r="BM153" s="3" t="s">
        <v>267</v>
      </c>
      <c r="BN153" s="3" t="s">
        <v>7</v>
      </c>
      <c r="BO153" s="3" t="s">
        <v>40</v>
      </c>
      <c r="BP153" s="3" t="s">
        <v>41</v>
      </c>
      <c r="BQ153" s="54">
        <v>15630200</v>
      </c>
      <c r="BR153" s="59">
        <f>COUNT($BQ$4:$BQ153) / COUNT($BQ$4:$BQ$292)</f>
        <v>0.51903114186851207</v>
      </c>
    </row>
    <row r="154" spans="64:71" x14ac:dyDescent="0.3">
      <c r="BL154" s="3">
        <v>2012</v>
      </c>
      <c r="BM154" s="3" t="s">
        <v>266</v>
      </c>
      <c r="BN154" s="3" t="s">
        <v>7</v>
      </c>
      <c r="BO154" s="3" t="s">
        <v>40</v>
      </c>
      <c r="BP154" s="3" t="s">
        <v>41</v>
      </c>
      <c r="BQ154" s="54">
        <v>15630200</v>
      </c>
      <c r="BR154" s="59">
        <f>COUNT($BQ$4:$BQ154) / COUNT($BQ$4:$BQ$292)</f>
        <v>0.52249134948096887</v>
      </c>
    </row>
    <row r="155" spans="64:71" x14ac:dyDescent="0.3">
      <c r="BL155" s="3">
        <v>2012</v>
      </c>
      <c r="BM155" s="3" t="s">
        <v>265</v>
      </c>
      <c r="BN155" s="3" t="s">
        <v>7</v>
      </c>
      <c r="BO155" s="3" t="s">
        <v>40</v>
      </c>
      <c r="BP155" s="3" t="s">
        <v>41</v>
      </c>
      <c r="BQ155" s="54">
        <v>15630200</v>
      </c>
      <c r="BR155" s="59">
        <f>COUNT($BQ$4:$BQ155) / COUNT($BQ$4:$BQ$292)</f>
        <v>0.52595155709342556</v>
      </c>
    </row>
    <row r="156" spans="64:71" x14ac:dyDescent="0.3">
      <c r="BL156" s="3">
        <v>2018</v>
      </c>
      <c r="BM156" s="3" t="s">
        <v>83</v>
      </c>
      <c r="BN156" s="3" t="s">
        <v>7</v>
      </c>
      <c r="BO156" s="3" t="s">
        <v>36</v>
      </c>
      <c r="BP156" s="3" t="s">
        <v>81</v>
      </c>
      <c r="BQ156" s="54">
        <v>15696673</v>
      </c>
      <c r="BR156" s="59">
        <f>COUNT($BQ$4:$BQ156) / COUNT($BQ$4:$BQ$292)</f>
        <v>0.52941176470588236</v>
      </c>
    </row>
    <row r="157" spans="64:71" x14ac:dyDescent="0.3">
      <c r="BL157" s="3">
        <v>2016</v>
      </c>
      <c r="BM157" s="3" t="s">
        <v>133</v>
      </c>
      <c r="BN157" s="3" t="s">
        <v>7</v>
      </c>
      <c r="BO157" s="3" t="s">
        <v>36</v>
      </c>
      <c r="BP157" s="3" t="s">
        <v>37</v>
      </c>
      <c r="BQ157" s="54">
        <v>15865242</v>
      </c>
      <c r="BR157" s="59">
        <f>COUNT($BQ$4:$BQ157) / COUNT($BQ$4:$BQ$292)</f>
        <v>0.53287197231833905</v>
      </c>
    </row>
    <row r="158" spans="64:71" x14ac:dyDescent="0.3">
      <c r="BL158" s="3">
        <v>2016</v>
      </c>
      <c r="BM158" s="3" t="s">
        <v>132</v>
      </c>
      <c r="BN158" s="3" t="s">
        <v>7</v>
      </c>
      <c r="BO158" s="3" t="s">
        <v>36</v>
      </c>
      <c r="BP158" s="3" t="s">
        <v>37</v>
      </c>
      <c r="BQ158" s="54">
        <v>15865242</v>
      </c>
      <c r="BR158" s="59">
        <f>COUNT($BQ$4:$BQ158) / COUNT($BQ$4:$BQ$292)</f>
        <v>0.53633217993079585</v>
      </c>
    </row>
    <row r="159" spans="64:71" x14ac:dyDescent="0.3">
      <c r="BL159" s="3">
        <v>2009</v>
      </c>
      <c r="BM159" s="3" t="s">
        <v>363</v>
      </c>
      <c r="BN159" s="3" t="s">
        <v>7</v>
      </c>
      <c r="BO159" s="3" t="s">
        <v>8</v>
      </c>
      <c r="BP159" s="3" t="s">
        <v>264</v>
      </c>
      <c r="BQ159" s="54">
        <v>16684328</v>
      </c>
      <c r="BR159" s="59">
        <f>COUNT($BQ$4:$BQ159) / COUNT($BQ$4:$BQ$292)</f>
        <v>0.53979238754325265</v>
      </c>
    </row>
    <row r="160" spans="64:71" x14ac:dyDescent="0.3">
      <c r="BL160" s="3">
        <v>2011</v>
      </c>
      <c r="BM160" s="3" t="s">
        <v>286</v>
      </c>
      <c r="BN160" s="3" t="s">
        <v>283</v>
      </c>
      <c r="BO160" s="3" t="s">
        <v>12</v>
      </c>
      <c r="BP160" s="3" t="s">
        <v>105</v>
      </c>
      <c r="BQ160" s="54">
        <v>16822412</v>
      </c>
      <c r="BR160" s="59">
        <f>COUNT($BQ$4:$BQ160) / COUNT($BQ$4:$BQ$292)</f>
        <v>0.54325259515570934</v>
      </c>
    </row>
    <row r="161" spans="64:71" x14ac:dyDescent="0.3">
      <c r="BL161" s="3">
        <v>2010</v>
      </c>
      <c r="BM161" s="3" t="s">
        <v>343</v>
      </c>
      <c r="BN161" s="3" t="s">
        <v>7</v>
      </c>
      <c r="BO161" s="3" t="s">
        <v>233</v>
      </c>
      <c r="BP161" s="3" t="s">
        <v>344</v>
      </c>
      <c r="BQ161" s="54">
        <v>17401365</v>
      </c>
      <c r="BR161" s="59">
        <f>COUNT($BQ$4:$BQ161) / COUNT($BQ$4:$BQ$292)</f>
        <v>0.54671280276816614</v>
      </c>
    </row>
    <row r="162" spans="64:71" x14ac:dyDescent="0.3">
      <c r="BL162" s="3">
        <v>2017</v>
      </c>
      <c r="BM162" s="3" t="s">
        <v>90</v>
      </c>
      <c r="BN162" s="3" t="s">
        <v>67</v>
      </c>
      <c r="BO162" s="3" t="s">
        <v>32</v>
      </c>
      <c r="BP162" s="3" t="s">
        <v>33</v>
      </c>
      <c r="BQ162" s="54">
        <v>17437203</v>
      </c>
      <c r="BR162" s="59">
        <f>COUNT($BQ$4:$BQ162) / COUNT($BQ$4:$BQ$292)</f>
        <v>0.55017301038062283</v>
      </c>
    </row>
    <row r="163" spans="64:71" x14ac:dyDescent="0.3">
      <c r="BL163" s="3">
        <v>2017</v>
      </c>
      <c r="BM163" s="3" t="s">
        <v>119</v>
      </c>
      <c r="BN163" s="3" t="s">
        <v>7</v>
      </c>
      <c r="BO163" s="3" t="s">
        <v>20</v>
      </c>
      <c r="BP163" s="3" t="s">
        <v>120</v>
      </c>
      <c r="BQ163" s="54">
        <v>17714973</v>
      </c>
      <c r="BR163" s="59">
        <f>COUNT($BQ$4:$BQ163) / COUNT($BQ$4:$BQ$292)</f>
        <v>0.55363321799307963</v>
      </c>
    </row>
    <row r="164" spans="64:71" x14ac:dyDescent="0.3">
      <c r="BL164" s="3">
        <v>2017</v>
      </c>
      <c r="BM164" s="3" t="s">
        <v>106</v>
      </c>
      <c r="BN164" s="3" t="s">
        <v>7</v>
      </c>
      <c r="BO164" s="3" t="s">
        <v>107</v>
      </c>
      <c r="BP164" s="3" t="s">
        <v>108</v>
      </c>
      <c r="BQ164" s="54">
        <v>17745847</v>
      </c>
      <c r="BR164" s="59">
        <f>COUNT($BQ$4:$BQ164) / COUNT($BQ$4:$BQ$292)</f>
        <v>0.55709342560553632</v>
      </c>
    </row>
    <row r="165" spans="64:71" x14ac:dyDescent="0.3">
      <c r="BL165" s="3">
        <v>2009</v>
      </c>
      <c r="BM165" s="3" t="s">
        <v>369</v>
      </c>
      <c r="BN165" s="3" t="s">
        <v>155</v>
      </c>
      <c r="BO165" s="3" t="s">
        <v>159</v>
      </c>
      <c r="BP165" s="3" t="s">
        <v>370</v>
      </c>
      <c r="BQ165" s="54">
        <v>17792197</v>
      </c>
      <c r="BR165" s="59">
        <f>COUNT($BQ$4:$BQ165) / COUNT($BQ$4:$BQ$292)</f>
        <v>0.56055363321799312</v>
      </c>
    </row>
    <row r="166" spans="64:71" x14ac:dyDescent="0.3">
      <c r="BL166" s="3">
        <v>2017</v>
      </c>
      <c r="BM166" s="3" t="s">
        <v>86</v>
      </c>
      <c r="BN166" s="3" t="s">
        <v>7</v>
      </c>
      <c r="BO166" s="3" t="s">
        <v>87</v>
      </c>
      <c r="BP166" s="3" t="s">
        <v>88</v>
      </c>
      <c r="BQ166" s="54">
        <v>18058128</v>
      </c>
      <c r="BR166" s="59">
        <f>COUNT($BQ$4:$BQ166) / COUNT($BQ$4:$BQ$292)</f>
        <v>0.56401384083044981</v>
      </c>
    </row>
    <row r="167" spans="64:71" x14ac:dyDescent="0.3">
      <c r="BL167" s="3">
        <v>2014</v>
      </c>
      <c r="BM167" s="3" t="s">
        <v>190</v>
      </c>
      <c r="BN167" s="3" t="s">
        <v>7</v>
      </c>
      <c r="BO167" s="3" t="s">
        <v>25</v>
      </c>
      <c r="BP167" s="3" t="s">
        <v>181</v>
      </c>
      <c r="BQ167" s="54">
        <v>18227134</v>
      </c>
      <c r="BR167" s="59">
        <f>COUNT($BQ$4:$BQ167) / COUNT($BQ$4:$BQ$292)</f>
        <v>0.56747404844290661</v>
      </c>
    </row>
    <row r="168" spans="64:71" x14ac:dyDescent="0.3">
      <c r="BL168" s="3">
        <v>2013</v>
      </c>
      <c r="BM168" s="3" t="s">
        <v>230</v>
      </c>
      <c r="BN168" s="3" t="s">
        <v>7</v>
      </c>
      <c r="BO168" s="3" t="s">
        <v>48</v>
      </c>
      <c r="BP168" s="3" t="s">
        <v>88</v>
      </c>
      <c r="BQ168" s="54">
        <v>18631806</v>
      </c>
      <c r="BR168" s="59">
        <f>COUNT($BQ$4:$BQ168) / COUNT($BQ$4:$BQ$292)</f>
        <v>0.5709342560553633</v>
      </c>
    </row>
    <row r="169" spans="64:71" x14ac:dyDescent="0.3">
      <c r="BL169" s="3">
        <v>2009</v>
      </c>
      <c r="BM169" s="3" t="s">
        <v>364</v>
      </c>
      <c r="BN169" s="3" t="s">
        <v>7</v>
      </c>
      <c r="BO169" s="3" t="s">
        <v>8</v>
      </c>
      <c r="BP169" s="3" t="s">
        <v>51</v>
      </c>
      <c r="BQ169" s="54">
        <v>18846566</v>
      </c>
      <c r="BR169" s="59">
        <f>COUNT($BQ$4:$BQ169) / COUNT($BQ$4:$BQ$292)</f>
        <v>0.5743944636678201</v>
      </c>
    </row>
    <row r="170" spans="64:71" x14ac:dyDescent="0.3">
      <c r="BL170" s="3">
        <v>2011</v>
      </c>
      <c r="BM170" s="3" t="s">
        <v>287</v>
      </c>
      <c r="BN170" s="3" t="s">
        <v>92</v>
      </c>
      <c r="BO170" s="3" t="s">
        <v>8</v>
      </c>
      <c r="BP170" s="3" t="s">
        <v>214</v>
      </c>
      <c r="BQ170" s="54">
        <v>19233950</v>
      </c>
      <c r="BR170" s="59">
        <f>COUNT($BQ$4:$BQ170) / COUNT($BQ$4:$BQ$292)</f>
        <v>0.57785467128027679</v>
      </c>
    </row>
    <row r="171" spans="64:71" x14ac:dyDescent="0.3">
      <c r="BL171" s="30">
        <v>2020</v>
      </c>
      <c r="BM171" s="30" t="s">
        <v>390</v>
      </c>
      <c r="BN171" s="30" t="s">
        <v>7</v>
      </c>
      <c r="BO171" s="30" t="s">
        <v>17</v>
      </c>
      <c r="BP171" s="30" t="s">
        <v>18</v>
      </c>
      <c r="BQ171" s="54">
        <v>19333388</v>
      </c>
      <c r="BR171" s="59">
        <f>COUNT($BQ$4:$BQ171) / COUNT($BQ$4:$BQ$292)</f>
        <v>0.58131487889273359</v>
      </c>
    </row>
    <row r="172" spans="64:71" x14ac:dyDescent="0.3">
      <c r="BL172" s="3">
        <v>2016</v>
      </c>
      <c r="BM172" s="3" t="s">
        <v>135</v>
      </c>
      <c r="BN172" s="3" t="s">
        <v>7</v>
      </c>
      <c r="BO172" s="3" t="s">
        <v>32</v>
      </c>
      <c r="BP172" s="3" t="s">
        <v>33</v>
      </c>
      <c r="BQ172" s="54">
        <v>19511477</v>
      </c>
      <c r="BR172" s="59">
        <f>COUNT($BQ$4:$BQ172) / COUNT($BQ$4:$BQ$292)</f>
        <v>0.58477508650519028</v>
      </c>
    </row>
    <row r="173" spans="64:71" x14ac:dyDescent="0.3">
      <c r="BL173" s="3">
        <v>2019</v>
      </c>
      <c r="BM173" s="3" t="s">
        <v>28</v>
      </c>
      <c r="BN173" s="3" t="s">
        <v>7</v>
      </c>
      <c r="BO173" s="3" t="s">
        <v>25</v>
      </c>
      <c r="BP173" s="3" t="s">
        <v>29</v>
      </c>
      <c r="BQ173" s="54">
        <v>19672401</v>
      </c>
      <c r="BR173" s="59">
        <f>COUNT($BQ$4:$BQ173) / COUNT($BQ$4:$BQ$292)</f>
        <v>0.58823529411764708</v>
      </c>
    </row>
    <row r="174" spans="64:71" x14ac:dyDescent="0.3">
      <c r="BL174" s="3">
        <v>2018</v>
      </c>
      <c r="BM174" s="3" t="s">
        <v>77</v>
      </c>
      <c r="BN174" s="3" t="s">
        <v>7</v>
      </c>
      <c r="BO174" s="3" t="s">
        <v>25</v>
      </c>
      <c r="BP174" s="3" t="s">
        <v>26</v>
      </c>
      <c r="BQ174" s="54">
        <v>19938626</v>
      </c>
      <c r="BR174" s="59">
        <f>COUNT($BQ$4:$BQ174) / COUNT($BQ$4:$BQ$292)</f>
        <v>0.59169550173010377</v>
      </c>
    </row>
    <row r="175" spans="64:71" x14ac:dyDescent="0.3">
      <c r="BL175" s="3">
        <v>2012</v>
      </c>
      <c r="BM175" s="3" t="s">
        <v>260</v>
      </c>
      <c r="BN175" s="3" t="s">
        <v>92</v>
      </c>
      <c r="BO175" s="3" t="s">
        <v>8</v>
      </c>
      <c r="BP175" s="3" t="s">
        <v>51</v>
      </c>
      <c r="BQ175" s="54">
        <v>20161864</v>
      </c>
      <c r="BR175" s="59">
        <f>COUNT($BQ$4:$BQ175) / COUNT($BQ$4:$BQ$292)</f>
        <v>0.59515570934256057</v>
      </c>
      <c r="BS175">
        <v>7</v>
      </c>
    </row>
    <row r="176" spans="64:71" x14ac:dyDescent="0.3">
      <c r="BL176" s="3">
        <v>2017</v>
      </c>
      <c r="BM176" s="3" t="s">
        <v>91</v>
      </c>
      <c r="BN176" s="3" t="s">
        <v>92</v>
      </c>
      <c r="BO176" s="3" t="s">
        <v>36</v>
      </c>
      <c r="BP176" s="3" t="s">
        <v>37</v>
      </c>
      <c r="BQ176" s="54">
        <v>20505579</v>
      </c>
      <c r="BR176" s="59">
        <f>COUNT($BQ$4:$BQ176) / COUNT($BQ$4:$BQ$292)</f>
        <v>0.59861591695501726</v>
      </c>
    </row>
    <row r="177" spans="64:70" x14ac:dyDescent="0.3">
      <c r="BL177" s="3">
        <v>2017</v>
      </c>
      <c r="BM177" s="3" t="s">
        <v>104</v>
      </c>
      <c r="BN177" s="3" t="s">
        <v>7</v>
      </c>
      <c r="BO177" s="3" t="s">
        <v>12</v>
      </c>
      <c r="BP177" s="3" t="s">
        <v>105</v>
      </c>
      <c r="BQ177" s="54">
        <v>20742216</v>
      </c>
      <c r="BR177" s="59">
        <f>COUNT($BQ$4:$BQ177) / COUNT($BQ$4:$BQ$292)</f>
        <v>0.60207612456747406</v>
      </c>
    </row>
    <row r="178" spans="64:70" x14ac:dyDescent="0.3">
      <c r="BL178" s="3">
        <v>2015</v>
      </c>
      <c r="BM178" s="3" t="s">
        <v>170</v>
      </c>
      <c r="BN178" s="3" t="s">
        <v>7</v>
      </c>
      <c r="BO178" s="3" t="s">
        <v>36</v>
      </c>
      <c r="BP178" s="3" t="s">
        <v>37</v>
      </c>
      <c r="BQ178" s="54">
        <v>21172142</v>
      </c>
      <c r="BR178" s="59">
        <f>COUNT($BQ$4:$BQ178) / COUNT($BQ$4:$BQ$292)</f>
        <v>0.60553633217993075</v>
      </c>
    </row>
    <row r="179" spans="64:70" x14ac:dyDescent="0.3">
      <c r="BL179" s="3">
        <v>2010</v>
      </c>
      <c r="BM179" s="3" t="s">
        <v>342</v>
      </c>
      <c r="BN179" s="3" t="s">
        <v>7</v>
      </c>
      <c r="BO179" s="3" t="s">
        <v>290</v>
      </c>
      <c r="BP179" s="3" t="s">
        <v>291</v>
      </c>
      <c r="BQ179" s="54">
        <v>22980207</v>
      </c>
      <c r="BR179" s="59">
        <f>COUNT($BQ$4:$BQ179) / COUNT($BQ$4:$BQ$292)</f>
        <v>0.60899653979238755</v>
      </c>
    </row>
    <row r="180" spans="64:70" x14ac:dyDescent="0.3">
      <c r="BL180" s="3">
        <v>2011</v>
      </c>
      <c r="BM180" s="3" t="s">
        <v>299</v>
      </c>
      <c r="BN180" s="3" t="s">
        <v>7</v>
      </c>
      <c r="BO180" s="3" t="s">
        <v>12</v>
      </c>
      <c r="BP180" s="3" t="s">
        <v>13</v>
      </c>
      <c r="BQ180" s="54">
        <v>23540514</v>
      </c>
      <c r="BR180" s="59">
        <f>COUNT($BQ$4:$BQ180) / COUNT($BQ$4:$BQ$292)</f>
        <v>0.61245674740484424</v>
      </c>
    </row>
    <row r="181" spans="64:70" x14ac:dyDescent="0.3">
      <c r="BL181" s="3">
        <v>2015</v>
      </c>
      <c r="BM181" s="3" t="s">
        <v>180</v>
      </c>
      <c r="BN181" s="3" t="s">
        <v>7</v>
      </c>
      <c r="BO181" s="3" t="s">
        <v>25</v>
      </c>
      <c r="BP181" s="3" t="s">
        <v>181</v>
      </c>
      <c r="BQ181" s="54">
        <v>23599049</v>
      </c>
      <c r="BR181" s="59">
        <f>COUNT($BQ$4:$BQ181) / COUNT($BQ$4:$BQ$292)</f>
        <v>0.61591695501730104</v>
      </c>
    </row>
    <row r="182" spans="64:70" x14ac:dyDescent="0.3">
      <c r="BL182" s="3">
        <v>2011</v>
      </c>
      <c r="BM182" s="3" t="s">
        <v>305</v>
      </c>
      <c r="BN182" s="3" t="s">
        <v>7</v>
      </c>
      <c r="BO182" s="3" t="s">
        <v>36</v>
      </c>
      <c r="BP182" s="3" t="s">
        <v>37</v>
      </c>
      <c r="BQ182" s="54">
        <v>23638696</v>
      </c>
      <c r="BR182" s="59">
        <f>COUNT($BQ$4:$BQ182) / COUNT($BQ$4:$BQ$292)</f>
        <v>0.61937716262975784</v>
      </c>
    </row>
    <row r="183" spans="64:70" x14ac:dyDescent="0.3">
      <c r="BL183" s="3">
        <v>2019</v>
      </c>
      <c r="BM183" s="3" t="s">
        <v>31</v>
      </c>
      <c r="BN183" s="3" t="s">
        <v>7</v>
      </c>
      <c r="BO183" s="3" t="s">
        <v>32</v>
      </c>
      <c r="BP183" s="3" t="s">
        <v>33</v>
      </c>
      <c r="BQ183" s="54">
        <v>23789157</v>
      </c>
      <c r="BR183" s="59">
        <f>COUNT($BQ$4:$BQ183) / COUNT($BQ$4:$BQ$292)</f>
        <v>0.62283737024221453</v>
      </c>
    </row>
    <row r="184" spans="64:70" x14ac:dyDescent="0.3">
      <c r="BL184" s="3">
        <v>2012</v>
      </c>
      <c r="BM184" s="3" t="s">
        <v>256</v>
      </c>
      <c r="BN184" s="3" t="s">
        <v>92</v>
      </c>
      <c r="BO184" s="3" t="s">
        <v>8</v>
      </c>
      <c r="BP184" s="3" t="s">
        <v>51</v>
      </c>
      <c r="BQ184" s="54">
        <v>23873740</v>
      </c>
      <c r="BR184" s="59">
        <f>COUNT($BQ$4:$BQ184) / COUNT($BQ$4:$BQ$292)</f>
        <v>0.62629757785467133</v>
      </c>
    </row>
    <row r="185" spans="64:70" x14ac:dyDescent="0.3">
      <c r="BL185" s="3">
        <v>2014</v>
      </c>
      <c r="BM185" s="3" t="s">
        <v>210</v>
      </c>
      <c r="BN185" s="3" t="s">
        <v>7</v>
      </c>
      <c r="BO185" s="3" t="s">
        <v>48</v>
      </c>
      <c r="BP185" s="3" t="s">
        <v>88</v>
      </c>
      <c r="BQ185" s="54">
        <v>24277029</v>
      </c>
      <c r="BR185" s="59">
        <f>COUNT($BQ$4:$BQ185) / COUNT($BQ$4:$BQ$292)</f>
        <v>0.62975778546712802</v>
      </c>
    </row>
    <row r="186" spans="64:70" x14ac:dyDescent="0.3">
      <c r="BL186" s="3">
        <v>2012</v>
      </c>
      <c r="BM186" s="3" t="s">
        <v>252</v>
      </c>
      <c r="BN186" s="3" t="s">
        <v>92</v>
      </c>
      <c r="BO186" s="3" t="s">
        <v>8</v>
      </c>
      <c r="BP186" s="3" t="s">
        <v>51</v>
      </c>
      <c r="BQ186" s="54">
        <v>24895833</v>
      </c>
      <c r="BR186" s="59">
        <f>COUNT($BQ$4:$BQ186) / COUNT($BQ$4:$BQ$292)</f>
        <v>0.63321799307958482</v>
      </c>
    </row>
    <row r="187" spans="64:70" x14ac:dyDescent="0.3">
      <c r="BL187" s="3">
        <v>2017</v>
      </c>
      <c r="BM187" s="3" t="s">
        <v>121</v>
      </c>
      <c r="BN187" s="3" t="s">
        <v>7</v>
      </c>
      <c r="BO187" s="3" t="s">
        <v>64</v>
      </c>
      <c r="BP187" s="3" t="s">
        <v>65</v>
      </c>
      <c r="BQ187" s="54">
        <v>25658251</v>
      </c>
      <c r="BR187" s="59">
        <f>COUNT($BQ$4:$BQ187) / COUNT($BQ$4:$BQ$292)</f>
        <v>0.63667820069204151</v>
      </c>
    </row>
    <row r="188" spans="64:70" x14ac:dyDescent="0.3">
      <c r="BL188" s="3">
        <v>2010</v>
      </c>
      <c r="BM188" s="3" t="s">
        <v>340</v>
      </c>
      <c r="BN188" s="3" t="s">
        <v>7</v>
      </c>
      <c r="BO188" s="3" t="s">
        <v>290</v>
      </c>
      <c r="BP188" s="3" t="s">
        <v>21</v>
      </c>
      <c r="BQ188" s="54">
        <v>25830062</v>
      </c>
      <c r="BR188" s="59">
        <f>COUNT($BQ$4:$BQ188) / COUNT($BQ$4:$BQ$292)</f>
        <v>0.64013840830449831</v>
      </c>
    </row>
    <row r="189" spans="64:70" x14ac:dyDescent="0.3">
      <c r="BL189" s="3">
        <v>2015</v>
      </c>
      <c r="BM189" s="3" t="s">
        <v>173</v>
      </c>
      <c r="BN189" s="3" t="s">
        <v>7</v>
      </c>
      <c r="BO189" s="3" t="s">
        <v>36</v>
      </c>
      <c r="BP189" s="3" t="s">
        <v>37</v>
      </c>
      <c r="BQ189" s="54">
        <v>26305943</v>
      </c>
      <c r="BR189" s="59">
        <f>COUNT($BQ$4:$BQ189) / COUNT($BQ$4:$BQ$292)</f>
        <v>0.643598615916955</v>
      </c>
    </row>
    <row r="190" spans="64:70" x14ac:dyDescent="0.3">
      <c r="BL190" s="3">
        <v>2015</v>
      </c>
      <c r="BM190" s="3" t="s">
        <v>161</v>
      </c>
      <c r="BN190" s="3" t="s">
        <v>67</v>
      </c>
      <c r="BO190" s="3" t="s">
        <v>40</v>
      </c>
      <c r="BP190" s="3" t="s">
        <v>162</v>
      </c>
      <c r="BQ190" s="54">
        <v>26694665</v>
      </c>
      <c r="BR190" s="59">
        <f>COUNT($BQ$4:$BQ190) / COUNT($BQ$4:$BQ$292)</f>
        <v>0.6470588235294118</v>
      </c>
    </row>
    <row r="191" spans="64:70" x14ac:dyDescent="0.3">
      <c r="BL191" s="3">
        <v>2017</v>
      </c>
      <c r="BM191" s="3" t="s">
        <v>114</v>
      </c>
      <c r="BN191" s="3" t="s">
        <v>7</v>
      </c>
      <c r="BO191" s="3" t="s">
        <v>54</v>
      </c>
      <c r="BP191" s="3" t="s">
        <v>55</v>
      </c>
      <c r="BQ191" s="54">
        <v>27168016</v>
      </c>
      <c r="BR191" s="59">
        <f>COUNT($BQ$4:$BQ191) / COUNT($BQ$4:$BQ$292)</f>
        <v>0.65051903114186849</v>
      </c>
    </row>
    <row r="192" spans="64:70" x14ac:dyDescent="0.3">
      <c r="BL192" s="3">
        <v>2011</v>
      </c>
      <c r="BM192" s="3" t="s">
        <v>289</v>
      </c>
      <c r="BN192" s="3" t="s">
        <v>7</v>
      </c>
      <c r="BO192" s="3" t="s">
        <v>290</v>
      </c>
      <c r="BP192" s="3" t="s">
        <v>291</v>
      </c>
      <c r="BQ192" s="54">
        <v>27205207</v>
      </c>
      <c r="BR192" s="59">
        <f>COUNT($BQ$4:$BQ192) / COUNT($BQ$4:$BQ$292)</f>
        <v>0.65397923875432529</v>
      </c>
    </row>
    <row r="193" spans="64:71" x14ac:dyDescent="0.3">
      <c r="BL193" s="3">
        <v>2009</v>
      </c>
      <c r="BM193" s="3" t="s">
        <v>352</v>
      </c>
      <c r="BN193" s="3" t="s">
        <v>7</v>
      </c>
      <c r="BO193" s="3" t="s">
        <v>12</v>
      </c>
      <c r="BP193" s="3" t="s">
        <v>58</v>
      </c>
      <c r="BQ193" s="54">
        <v>27287736</v>
      </c>
      <c r="BR193" s="59">
        <f>COUNT($BQ$4:$BQ193) / COUNT($BQ$4:$BQ$292)</f>
        <v>0.65743944636678198</v>
      </c>
    </row>
    <row r="194" spans="64:71" x14ac:dyDescent="0.3">
      <c r="BL194" s="3">
        <v>2011</v>
      </c>
      <c r="BM194" s="3" t="s">
        <v>285</v>
      </c>
      <c r="BN194" s="3" t="s">
        <v>283</v>
      </c>
      <c r="BO194" s="3" t="s">
        <v>36</v>
      </c>
      <c r="BP194" s="3" t="s">
        <v>37</v>
      </c>
      <c r="BQ194" s="54">
        <v>28316649</v>
      </c>
      <c r="BR194" s="59">
        <f>COUNT($BQ$4:$BQ194) / COUNT($BQ$4:$BQ$292)</f>
        <v>0.66089965397923878</v>
      </c>
    </row>
    <row r="195" spans="64:71" x14ac:dyDescent="0.3">
      <c r="BL195" s="3">
        <v>2015</v>
      </c>
      <c r="BM195" s="3" t="s">
        <v>183</v>
      </c>
      <c r="BN195" s="3" t="s">
        <v>7</v>
      </c>
      <c r="BO195" s="3" t="s">
        <v>45</v>
      </c>
      <c r="BP195" s="3" t="s">
        <v>184</v>
      </c>
      <c r="BQ195" s="54">
        <v>28404849</v>
      </c>
      <c r="BR195" s="59">
        <f>COUNT($BQ$4:$BQ195) / COUNT($BQ$4:$BQ$292)</f>
        <v>0.66435986159169547</v>
      </c>
    </row>
    <row r="196" spans="64:71" x14ac:dyDescent="0.3">
      <c r="BL196" s="3">
        <v>2009</v>
      </c>
      <c r="BM196" s="3" t="s">
        <v>378</v>
      </c>
      <c r="BN196" s="3" t="s">
        <v>283</v>
      </c>
      <c r="BO196" s="3" t="s">
        <v>64</v>
      </c>
      <c r="BP196" s="3" t="s">
        <v>65</v>
      </c>
      <c r="BQ196" s="54">
        <v>28463338</v>
      </c>
      <c r="BR196" s="59">
        <f>COUNT($BQ$4:$BQ196) / COUNT($BQ$4:$BQ$292)</f>
        <v>0.66782006920415227</v>
      </c>
    </row>
    <row r="197" spans="64:71" x14ac:dyDescent="0.3">
      <c r="BL197" s="3">
        <v>2012</v>
      </c>
      <c r="BM197" s="3" t="s">
        <v>245</v>
      </c>
      <c r="BN197" s="3" t="s">
        <v>7</v>
      </c>
      <c r="BO197" s="3" t="s">
        <v>12</v>
      </c>
      <c r="BP197" s="3" t="s">
        <v>13</v>
      </c>
      <c r="BQ197" s="54">
        <v>29301935</v>
      </c>
      <c r="BR197" s="59">
        <f>COUNT($BQ$4:$BQ197) / COUNT($BQ$4:$BQ$292)</f>
        <v>0.67128027681660896</v>
      </c>
    </row>
    <row r="198" spans="64:71" x14ac:dyDescent="0.3">
      <c r="BL198" s="3">
        <v>2017</v>
      </c>
      <c r="BM198" s="3" t="s">
        <v>100</v>
      </c>
      <c r="BN198" s="3" t="s">
        <v>7</v>
      </c>
      <c r="BO198" s="3" t="s">
        <v>87</v>
      </c>
      <c r="BP198" s="3" t="s">
        <v>88</v>
      </c>
      <c r="BQ198" s="54">
        <v>29947868</v>
      </c>
      <c r="BR198" s="59">
        <f>COUNT($BQ$4:$BQ198) / COUNT($BQ$4:$BQ$292)</f>
        <v>0.67474048442906576</v>
      </c>
    </row>
    <row r="199" spans="64:71" x14ac:dyDescent="0.3">
      <c r="BL199" s="3">
        <v>2016</v>
      </c>
      <c r="BM199" s="3" t="s">
        <v>131</v>
      </c>
      <c r="BN199" s="3" t="s">
        <v>7</v>
      </c>
      <c r="BO199" s="3" t="s">
        <v>36</v>
      </c>
      <c r="BP199" s="3" t="s">
        <v>94</v>
      </c>
      <c r="BQ199" s="54">
        <v>29951178</v>
      </c>
      <c r="BR199" s="59">
        <f>COUNT($BQ$4:$BQ199) / COUNT($BQ$4:$BQ$292)</f>
        <v>0.67820069204152245</v>
      </c>
    </row>
    <row r="200" spans="64:71" x14ac:dyDescent="0.3">
      <c r="BL200" s="30">
        <v>2020</v>
      </c>
      <c r="BM200" s="30" t="s">
        <v>1308</v>
      </c>
      <c r="BN200" s="30" t="s">
        <v>67</v>
      </c>
      <c r="BO200" s="30" t="s">
        <v>54</v>
      </c>
      <c r="BP200" s="30" t="s">
        <v>236</v>
      </c>
      <c r="BQ200" s="54">
        <v>30979632</v>
      </c>
      <c r="BR200" s="59">
        <f>COUNT($BQ$4:$BQ200) / COUNT($BQ$4:$BQ$292)</f>
        <v>0.68166089965397925</v>
      </c>
      <c r="BS200">
        <v>8</v>
      </c>
    </row>
    <row r="201" spans="64:71" x14ac:dyDescent="0.3">
      <c r="BL201" s="3">
        <v>2011</v>
      </c>
      <c r="BM201" s="3" t="s">
        <v>292</v>
      </c>
      <c r="BN201" s="3" t="s">
        <v>92</v>
      </c>
      <c r="BO201" s="3" t="s">
        <v>36</v>
      </c>
      <c r="BP201" s="3" t="s">
        <v>81</v>
      </c>
      <c r="BQ201" s="54">
        <v>32144362</v>
      </c>
      <c r="BR201" s="59">
        <f>COUNT($BQ$4:$BQ201) / COUNT($BQ$4:$BQ$292)</f>
        <v>0.68512110726643594</v>
      </c>
    </row>
    <row r="202" spans="64:71" x14ac:dyDescent="0.3">
      <c r="BL202" s="3">
        <v>2009</v>
      </c>
      <c r="BM202" s="3" t="s">
        <v>354</v>
      </c>
      <c r="BN202" s="3" t="s">
        <v>92</v>
      </c>
      <c r="BO202" s="3" t="s">
        <v>25</v>
      </c>
      <c r="BP202" s="3" t="s">
        <v>26</v>
      </c>
      <c r="BQ202" s="54">
        <v>32146074</v>
      </c>
      <c r="BR202" s="59">
        <f>COUNT($BQ$4:$BQ202) / COUNT($BQ$4:$BQ$292)</f>
        <v>0.68858131487889274</v>
      </c>
    </row>
    <row r="203" spans="64:71" x14ac:dyDescent="0.3">
      <c r="BL203" s="3">
        <v>2009</v>
      </c>
      <c r="BM203" s="3" t="s">
        <v>355</v>
      </c>
      <c r="BN203" s="3" t="s">
        <v>92</v>
      </c>
      <c r="BO203" s="3" t="s">
        <v>25</v>
      </c>
      <c r="BP203" s="3" t="s">
        <v>26</v>
      </c>
      <c r="BQ203" s="54">
        <v>32146074</v>
      </c>
      <c r="BR203" s="59">
        <f>COUNT($BQ$4:$BQ203) / COUNT($BQ$4:$BQ$292)</f>
        <v>0.69204152249134943</v>
      </c>
    </row>
    <row r="204" spans="64:71" x14ac:dyDescent="0.3">
      <c r="BL204" s="3">
        <v>2009</v>
      </c>
      <c r="BM204" s="3" t="s">
        <v>373</v>
      </c>
      <c r="BN204" s="3" t="s">
        <v>92</v>
      </c>
      <c r="BO204" s="3" t="s">
        <v>25</v>
      </c>
      <c r="BP204" s="3" t="s">
        <v>26</v>
      </c>
      <c r="BQ204" s="54">
        <v>32146074</v>
      </c>
      <c r="BR204" s="59">
        <f>COUNT($BQ$4:$BQ204) / COUNT($BQ$4:$BQ$292)</f>
        <v>0.69550173010380623</v>
      </c>
    </row>
    <row r="205" spans="64:71" x14ac:dyDescent="0.3">
      <c r="BL205" s="3">
        <v>2009</v>
      </c>
      <c r="BM205" s="3" t="s">
        <v>374</v>
      </c>
      <c r="BN205" s="3" t="s">
        <v>92</v>
      </c>
      <c r="BO205" s="3" t="s">
        <v>25</v>
      </c>
      <c r="BP205" s="3" t="s">
        <v>26</v>
      </c>
      <c r="BQ205" s="54">
        <v>32146074</v>
      </c>
      <c r="BR205" s="59">
        <f>COUNT($BQ$4:$BQ205) / COUNT($BQ$4:$BQ$292)</f>
        <v>0.69896193771626303</v>
      </c>
    </row>
    <row r="206" spans="64:71" x14ac:dyDescent="0.3">
      <c r="BL206" s="3">
        <v>2009</v>
      </c>
      <c r="BM206" s="3" t="s">
        <v>356</v>
      </c>
      <c r="BN206" s="3" t="s">
        <v>92</v>
      </c>
      <c r="BO206" s="3" t="s">
        <v>25</v>
      </c>
      <c r="BP206" s="3" t="s">
        <v>26</v>
      </c>
      <c r="BQ206" s="54">
        <v>32146074</v>
      </c>
      <c r="BR206" s="59">
        <f>COUNT($BQ$4:$BQ206) / COUNT($BQ$4:$BQ$292)</f>
        <v>0.70242214532871972</v>
      </c>
    </row>
    <row r="207" spans="64:71" x14ac:dyDescent="0.3">
      <c r="BL207" s="3">
        <v>2009</v>
      </c>
      <c r="BM207" s="3" t="s">
        <v>375</v>
      </c>
      <c r="BN207" s="3" t="s">
        <v>92</v>
      </c>
      <c r="BO207" s="3" t="s">
        <v>25</v>
      </c>
      <c r="BP207" s="3" t="s">
        <v>26</v>
      </c>
      <c r="BQ207" s="54">
        <v>32146074</v>
      </c>
      <c r="BR207" s="59">
        <f>COUNT($BQ$4:$BQ207) / COUNT($BQ$4:$BQ$292)</f>
        <v>0.70588235294117652</v>
      </c>
    </row>
    <row r="208" spans="64:71" x14ac:dyDescent="0.3">
      <c r="BL208" s="3">
        <v>2011</v>
      </c>
      <c r="BM208" s="3" t="s">
        <v>294</v>
      </c>
      <c r="BN208" s="3" t="s">
        <v>92</v>
      </c>
      <c r="BO208" s="3" t="s">
        <v>36</v>
      </c>
      <c r="BP208" s="3" t="s">
        <v>81</v>
      </c>
      <c r="BQ208" s="54">
        <v>32175479</v>
      </c>
      <c r="BR208" s="59">
        <f>COUNT($BQ$4:$BQ208) / COUNT($BQ$4:$BQ$292)</f>
        <v>0.70934256055363321</v>
      </c>
    </row>
    <row r="209" spans="64:70" x14ac:dyDescent="0.3">
      <c r="BL209" s="3">
        <v>2012</v>
      </c>
      <c r="BM209" s="3" t="s">
        <v>244</v>
      </c>
      <c r="BN209" s="3" t="s">
        <v>92</v>
      </c>
      <c r="BO209" s="3" t="s">
        <v>8</v>
      </c>
      <c r="BP209" s="3" t="s">
        <v>51</v>
      </c>
      <c r="BQ209" s="54">
        <v>32954820</v>
      </c>
      <c r="BR209" s="59">
        <f>COUNT($BQ$4:$BQ209) / COUNT($BQ$4:$BQ$292)</f>
        <v>0.71280276816609001</v>
      </c>
    </row>
    <row r="210" spans="64:70" x14ac:dyDescent="0.3">
      <c r="BL210" s="3">
        <v>2016</v>
      </c>
      <c r="BM210" s="3" t="s">
        <v>124</v>
      </c>
      <c r="BN210" s="3" t="s">
        <v>7</v>
      </c>
      <c r="BO210" s="3" t="s">
        <v>40</v>
      </c>
      <c r="BP210" s="3" t="s">
        <v>43</v>
      </c>
      <c r="BQ210" s="54">
        <v>33579996</v>
      </c>
      <c r="BR210" s="59">
        <f>COUNT($BQ$4:$BQ210) / COUNT($BQ$4:$BQ$292)</f>
        <v>0.7162629757785467</v>
      </c>
    </row>
    <row r="211" spans="64:70" x14ac:dyDescent="0.3">
      <c r="BL211" s="3">
        <v>2016</v>
      </c>
      <c r="BM211" s="3" t="s">
        <v>147</v>
      </c>
      <c r="BN211" s="3" t="s">
        <v>7</v>
      </c>
      <c r="BO211" s="3" t="s">
        <v>40</v>
      </c>
      <c r="BP211" s="3" t="s">
        <v>43</v>
      </c>
      <c r="BQ211" s="54">
        <v>33579996</v>
      </c>
      <c r="BR211" s="59">
        <f>COUNT($BQ$4:$BQ211) / COUNT($BQ$4:$BQ$292)</f>
        <v>0.7197231833910035</v>
      </c>
    </row>
    <row r="212" spans="64:70" x14ac:dyDescent="0.3">
      <c r="BL212" s="3">
        <v>2016</v>
      </c>
      <c r="BM212" s="3" t="s">
        <v>123</v>
      </c>
      <c r="BN212" s="3" t="s">
        <v>7</v>
      </c>
      <c r="BO212" s="3" t="s">
        <v>40</v>
      </c>
      <c r="BP212" s="3" t="s">
        <v>43</v>
      </c>
      <c r="BQ212" s="54">
        <v>33579996</v>
      </c>
      <c r="BR212" s="59">
        <f>COUNT($BQ$4:$BQ212) / COUNT($BQ$4:$BQ$292)</f>
        <v>0.72318339100346019</v>
      </c>
    </row>
    <row r="213" spans="64:70" x14ac:dyDescent="0.3">
      <c r="BL213" s="3">
        <v>2016</v>
      </c>
      <c r="BM213" s="3" t="s">
        <v>145</v>
      </c>
      <c r="BN213" s="3" t="s">
        <v>7</v>
      </c>
      <c r="BO213" s="3" t="s">
        <v>40</v>
      </c>
      <c r="BP213" s="3" t="s">
        <v>43</v>
      </c>
      <c r="BQ213" s="54">
        <v>33579996</v>
      </c>
      <c r="BR213" s="59">
        <f>COUNT($BQ$4:$BQ213) / COUNT($BQ$4:$BQ$292)</f>
        <v>0.72664359861591699</v>
      </c>
    </row>
    <row r="214" spans="64:70" x14ac:dyDescent="0.3">
      <c r="BL214" s="3">
        <v>2016</v>
      </c>
      <c r="BM214" s="3" t="s">
        <v>146</v>
      </c>
      <c r="BN214" s="3" t="s">
        <v>7</v>
      </c>
      <c r="BO214" s="3" t="s">
        <v>40</v>
      </c>
      <c r="BP214" s="3" t="s">
        <v>43</v>
      </c>
      <c r="BQ214" s="54">
        <v>33579996</v>
      </c>
      <c r="BR214" s="59">
        <f>COUNT($BQ$4:$BQ214) / COUNT($BQ$4:$BQ$292)</f>
        <v>0.73010380622837368</v>
      </c>
    </row>
    <row r="215" spans="64:70" x14ac:dyDescent="0.3">
      <c r="BL215" s="3">
        <v>2016</v>
      </c>
      <c r="BM215" s="3" t="s">
        <v>148</v>
      </c>
      <c r="BN215" s="3" t="s">
        <v>7</v>
      </c>
      <c r="BO215" s="3" t="s">
        <v>40</v>
      </c>
      <c r="BP215" s="3" t="s">
        <v>43</v>
      </c>
      <c r="BQ215" s="54">
        <v>33579996</v>
      </c>
      <c r="BR215" s="59">
        <f>COUNT($BQ$4:$BQ215) / COUNT($BQ$4:$BQ$292)</f>
        <v>0.73356401384083048</v>
      </c>
    </row>
    <row r="216" spans="64:70" x14ac:dyDescent="0.3">
      <c r="BL216" s="3">
        <v>2009</v>
      </c>
      <c r="BM216" s="3" t="s">
        <v>117</v>
      </c>
      <c r="BN216" s="3" t="s">
        <v>155</v>
      </c>
      <c r="BO216" s="3" t="s">
        <v>25</v>
      </c>
      <c r="BP216" s="3" t="s">
        <v>26</v>
      </c>
      <c r="BQ216" s="54">
        <v>33633173</v>
      </c>
      <c r="BR216" s="59">
        <f>COUNT($BQ$4:$BQ216) / COUNT($BQ$4:$BQ$292)</f>
        <v>0.73702422145328716</v>
      </c>
    </row>
    <row r="217" spans="64:70" x14ac:dyDescent="0.3">
      <c r="BL217" s="3">
        <v>2018</v>
      </c>
      <c r="BM217" s="3" t="s">
        <v>50</v>
      </c>
      <c r="BN217" s="3" t="s">
        <v>7</v>
      </c>
      <c r="BO217" s="3" t="s">
        <v>8</v>
      </c>
      <c r="BP217" s="3" t="s">
        <v>51</v>
      </c>
      <c r="BQ217" s="54">
        <v>33846997</v>
      </c>
      <c r="BR217" s="59">
        <f>COUNT($BQ$4:$BQ217) / COUNT($BQ$4:$BQ$292)</f>
        <v>0.74048442906574397</v>
      </c>
    </row>
    <row r="218" spans="64:70" x14ac:dyDescent="0.3">
      <c r="BL218" s="3">
        <v>2014</v>
      </c>
      <c r="BM218" s="3" t="s">
        <v>193</v>
      </c>
      <c r="BN218" s="3" t="s">
        <v>7</v>
      </c>
      <c r="BO218" s="3" t="s">
        <v>36</v>
      </c>
      <c r="BP218" s="3" t="s">
        <v>81</v>
      </c>
      <c r="BQ218" s="54">
        <v>35519351</v>
      </c>
      <c r="BR218" s="59">
        <f>COUNT($BQ$4:$BQ218) / COUNT($BQ$4:$BQ$292)</f>
        <v>0.74394463667820065</v>
      </c>
    </row>
    <row r="219" spans="64:70" x14ac:dyDescent="0.3">
      <c r="BL219" s="3">
        <v>2014</v>
      </c>
      <c r="BM219" s="3" t="s">
        <v>196</v>
      </c>
      <c r="BN219" s="3" t="s">
        <v>7</v>
      </c>
      <c r="BO219" s="3" t="s">
        <v>36</v>
      </c>
      <c r="BP219" s="3" t="s">
        <v>81</v>
      </c>
      <c r="BQ219" s="54">
        <v>35519351</v>
      </c>
      <c r="BR219" s="59">
        <f>COUNT($BQ$4:$BQ219) / COUNT($BQ$4:$BQ$292)</f>
        <v>0.74740484429065746</v>
      </c>
    </row>
    <row r="220" spans="64:70" x14ac:dyDescent="0.3">
      <c r="BL220" s="3">
        <v>2010</v>
      </c>
      <c r="BM220" s="3" t="s">
        <v>332</v>
      </c>
      <c r="BN220" s="3" t="s">
        <v>92</v>
      </c>
      <c r="BO220" s="3" t="s">
        <v>36</v>
      </c>
      <c r="BP220" s="3" t="s">
        <v>81</v>
      </c>
      <c r="BQ220" s="54">
        <v>35797093</v>
      </c>
      <c r="BR220" s="59">
        <f>COUNT($BQ$4:$BQ220) / COUNT($BQ$4:$BQ$292)</f>
        <v>0.75086505190311414</v>
      </c>
    </row>
    <row r="221" spans="64:70" x14ac:dyDescent="0.3">
      <c r="BL221" s="3">
        <v>2013</v>
      </c>
      <c r="BM221" s="3" t="s">
        <v>218</v>
      </c>
      <c r="BN221" s="3" t="s">
        <v>7</v>
      </c>
      <c r="BO221" s="3" t="s">
        <v>12</v>
      </c>
      <c r="BP221" s="3" t="s">
        <v>13</v>
      </c>
      <c r="BQ221" s="54">
        <v>37093340</v>
      </c>
      <c r="BR221" s="59">
        <f>COUNT($BQ$4:$BQ221) / COUNT($BQ$4:$BQ$292)</f>
        <v>0.75432525951557095</v>
      </c>
    </row>
    <row r="222" spans="64:70" x14ac:dyDescent="0.3">
      <c r="BL222" s="3">
        <v>2010</v>
      </c>
      <c r="BM222" s="3" t="s">
        <v>306</v>
      </c>
      <c r="BN222" s="3" t="s">
        <v>283</v>
      </c>
      <c r="BO222" s="3" t="s">
        <v>8</v>
      </c>
      <c r="BP222" s="3" t="s">
        <v>51</v>
      </c>
      <c r="BQ222" s="54">
        <v>38031431</v>
      </c>
      <c r="BR222" s="59">
        <f>COUNT($BQ$4:$BQ222) / COUNT($BQ$4:$BQ$292)</f>
        <v>0.75778546712802763</v>
      </c>
    </row>
    <row r="223" spans="64:70" x14ac:dyDescent="0.3">
      <c r="BL223" s="3">
        <v>2010</v>
      </c>
      <c r="BM223" s="3" t="s">
        <v>347</v>
      </c>
      <c r="BN223" s="3" t="s">
        <v>155</v>
      </c>
      <c r="BO223" s="3" t="s">
        <v>54</v>
      </c>
      <c r="BP223" s="3" t="s">
        <v>55</v>
      </c>
      <c r="BQ223" s="54">
        <v>40212258</v>
      </c>
      <c r="BR223" s="59">
        <f>COUNT($BQ$4:$BQ223) / COUNT($BQ$4:$BQ$292)</f>
        <v>0.76124567474048443</v>
      </c>
    </row>
    <row r="224" spans="64:70" x14ac:dyDescent="0.3">
      <c r="BL224" s="3">
        <v>2017</v>
      </c>
      <c r="BM224" s="3" t="s">
        <v>99</v>
      </c>
      <c r="BN224" s="3" t="s">
        <v>7</v>
      </c>
      <c r="BO224" s="3" t="s">
        <v>36</v>
      </c>
      <c r="BP224" s="3" t="s">
        <v>81</v>
      </c>
      <c r="BQ224" s="54">
        <v>41357831</v>
      </c>
      <c r="BR224" s="59">
        <f>COUNT($BQ$4:$BQ224) / COUNT($BQ$4:$BQ$292)</f>
        <v>0.76470588235294112</v>
      </c>
    </row>
    <row r="225" spans="64:71" x14ac:dyDescent="0.3">
      <c r="BL225" s="3">
        <v>2017</v>
      </c>
      <c r="BM225" s="3" t="s">
        <v>116</v>
      </c>
      <c r="BN225" s="3" t="s">
        <v>7</v>
      </c>
      <c r="BO225" s="3" t="s">
        <v>25</v>
      </c>
      <c r="BP225" s="3" t="s">
        <v>117</v>
      </c>
      <c r="BQ225" s="54">
        <v>41916213</v>
      </c>
      <c r="BR225" s="59">
        <f>COUNT($BQ$4:$BQ225) / COUNT($BQ$4:$BQ$292)</f>
        <v>0.76816608996539792</v>
      </c>
    </row>
    <row r="226" spans="64:71" x14ac:dyDescent="0.3">
      <c r="BL226" s="3">
        <v>2011</v>
      </c>
      <c r="BM226" s="3" t="s">
        <v>284</v>
      </c>
      <c r="BN226" s="3" t="s">
        <v>283</v>
      </c>
      <c r="BO226" s="3" t="s">
        <v>64</v>
      </c>
      <c r="BP226" s="3" t="s">
        <v>65</v>
      </c>
      <c r="BQ226" s="54">
        <v>42742111</v>
      </c>
      <c r="BR226" s="59">
        <f>COUNT($BQ$4:$BQ226) / COUNT($BQ$4:$BQ$292)</f>
        <v>0.77162629757785473</v>
      </c>
    </row>
    <row r="227" spans="64:71" x14ac:dyDescent="0.3">
      <c r="BL227" s="3">
        <v>2009</v>
      </c>
      <c r="BM227" s="3" t="s">
        <v>381</v>
      </c>
      <c r="BN227" s="3" t="s">
        <v>283</v>
      </c>
      <c r="BO227" s="3" t="s">
        <v>290</v>
      </c>
      <c r="BP227" s="3" t="s">
        <v>291</v>
      </c>
      <c r="BQ227" s="54">
        <v>45363063</v>
      </c>
      <c r="BR227" s="59">
        <f>COUNT($BQ$4:$BQ227) / COUNT($BQ$4:$BQ$292)</f>
        <v>0.77508650519031141</v>
      </c>
    </row>
    <row r="228" spans="64:71" x14ac:dyDescent="0.3">
      <c r="BL228" s="3">
        <v>2011</v>
      </c>
      <c r="BM228" s="3" t="s">
        <v>164</v>
      </c>
      <c r="BN228" s="3" t="s">
        <v>155</v>
      </c>
      <c r="BO228" s="3" t="s">
        <v>164</v>
      </c>
      <c r="BP228" s="3" t="s">
        <v>165</v>
      </c>
      <c r="BQ228" s="54">
        <v>45746758</v>
      </c>
      <c r="BR228" s="59">
        <f>COUNT($BQ$4:$BQ228) / COUNT($BQ$4:$BQ$292)</f>
        <v>0.77854671280276821</v>
      </c>
    </row>
    <row r="229" spans="64:71" x14ac:dyDescent="0.3">
      <c r="BL229" s="3">
        <v>2012</v>
      </c>
      <c r="BM229" s="3" t="s">
        <v>258</v>
      </c>
      <c r="BN229" s="3" t="s">
        <v>92</v>
      </c>
      <c r="BO229" s="3" t="s">
        <v>8</v>
      </c>
      <c r="BP229" s="3" t="s">
        <v>51</v>
      </c>
      <c r="BQ229" s="54">
        <v>47105412</v>
      </c>
      <c r="BR229" s="59">
        <f>COUNT($BQ$4:$BQ229) / COUNT($BQ$4:$BQ$292)</f>
        <v>0.7820069204152249</v>
      </c>
    </row>
    <row r="230" spans="64:71" x14ac:dyDescent="0.3">
      <c r="BL230" s="3">
        <v>2014</v>
      </c>
      <c r="BM230" s="3" t="s">
        <v>192</v>
      </c>
      <c r="BN230" s="3" t="s">
        <v>7</v>
      </c>
      <c r="BO230" s="3" t="s">
        <v>36</v>
      </c>
      <c r="BP230" s="3" t="s">
        <v>37</v>
      </c>
      <c r="BQ230" s="54">
        <v>47108300</v>
      </c>
      <c r="BR230" s="59">
        <f>COUNT($BQ$4:$BQ230) / COUNT($BQ$4:$BQ$292)</f>
        <v>0.7854671280276817</v>
      </c>
    </row>
    <row r="231" spans="64:71" x14ac:dyDescent="0.3">
      <c r="BL231" s="3">
        <v>2016</v>
      </c>
      <c r="BM231" s="3" t="s">
        <v>134</v>
      </c>
      <c r="BN231" s="3" t="s">
        <v>7</v>
      </c>
      <c r="BO231" s="3" t="s">
        <v>20</v>
      </c>
      <c r="BP231" s="3" t="s">
        <v>23</v>
      </c>
      <c r="BQ231" s="54">
        <v>47863950</v>
      </c>
      <c r="BR231" s="59">
        <f>COUNT($BQ$4:$BQ231) / COUNT($BQ$4:$BQ$292)</f>
        <v>0.78892733564013839</v>
      </c>
    </row>
    <row r="232" spans="64:71" x14ac:dyDescent="0.3">
      <c r="BL232" s="3">
        <v>2013</v>
      </c>
      <c r="BM232" s="3" t="s">
        <v>231</v>
      </c>
      <c r="BN232" s="3" t="s">
        <v>7</v>
      </c>
      <c r="BO232" s="3" t="s">
        <v>20</v>
      </c>
      <c r="BP232" s="3" t="s">
        <v>120</v>
      </c>
      <c r="BQ232" s="54">
        <v>48796342</v>
      </c>
      <c r="BR232" s="59">
        <f>COUNT($BQ$4:$BQ232) / COUNT($BQ$4:$BQ$292)</f>
        <v>0.79238754325259519</v>
      </c>
    </row>
    <row r="233" spans="64:71" x14ac:dyDescent="0.3">
      <c r="BL233" s="3">
        <v>2012</v>
      </c>
      <c r="BM233" s="3" t="s">
        <v>248</v>
      </c>
      <c r="BN233" s="3" t="s">
        <v>7</v>
      </c>
      <c r="BO233" s="3" t="s">
        <v>54</v>
      </c>
      <c r="BP233" s="3" t="s">
        <v>236</v>
      </c>
      <c r="BQ233" s="54">
        <v>49668573</v>
      </c>
      <c r="BR233" s="59">
        <f>COUNT($BQ$4:$BQ233) / COUNT($BQ$4:$BQ$292)</f>
        <v>0.79584775086505188</v>
      </c>
    </row>
    <row r="234" spans="64:71" x14ac:dyDescent="0.3">
      <c r="BL234" s="3">
        <v>2010</v>
      </c>
      <c r="BM234" s="3" t="s">
        <v>338</v>
      </c>
      <c r="BN234" s="3" t="s">
        <v>7</v>
      </c>
      <c r="BO234" s="3" t="s">
        <v>32</v>
      </c>
      <c r="BP234" s="3" t="s">
        <v>33</v>
      </c>
      <c r="BQ234" s="54">
        <v>49718183</v>
      </c>
      <c r="BR234" s="59">
        <f>COUNT($BQ$4:$BQ234) / COUNT($BQ$4:$BQ$292)</f>
        <v>0.79930795847750868</v>
      </c>
    </row>
    <row r="235" spans="64:71" x14ac:dyDescent="0.3">
      <c r="BL235" s="3">
        <v>2018</v>
      </c>
      <c r="BM235" s="3" t="s">
        <v>84</v>
      </c>
      <c r="BN235" s="3" t="s">
        <v>7</v>
      </c>
      <c r="BO235" s="3" t="s">
        <v>36</v>
      </c>
      <c r="BP235" s="3" t="s">
        <v>81</v>
      </c>
      <c r="BQ235" s="54">
        <v>52402172</v>
      </c>
      <c r="BR235" s="59">
        <f>COUNT($BQ$4:$BQ235) / COUNT($BQ$4:$BQ$292)</f>
        <v>0.80276816608996537</v>
      </c>
      <c r="BS235">
        <v>9</v>
      </c>
    </row>
    <row r="236" spans="64:71" x14ac:dyDescent="0.3">
      <c r="BL236" s="30">
        <v>2020</v>
      </c>
      <c r="BM236" s="30" t="s">
        <v>1313</v>
      </c>
      <c r="BN236" s="30" t="s">
        <v>7</v>
      </c>
      <c r="BO236" s="30" t="s">
        <v>12</v>
      </c>
      <c r="BP236" s="30" t="s">
        <v>1314</v>
      </c>
      <c r="BQ236" s="54">
        <v>52698328</v>
      </c>
      <c r="BR236" s="59">
        <f>COUNT($BQ$4:$BQ236) / COUNT($BQ$4:$BQ$292)</f>
        <v>0.80622837370242217</v>
      </c>
    </row>
    <row r="237" spans="64:71" x14ac:dyDescent="0.3">
      <c r="BL237" s="3">
        <v>2010</v>
      </c>
      <c r="BM237" s="3" t="s">
        <v>328</v>
      </c>
      <c r="BN237" s="3" t="s">
        <v>7</v>
      </c>
      <c r="BO237" s="3" t="s">
        <v>36</v>
      </c>
      <c r="BP237" s="3" t="s">
        <v>94</v>
      </c>
      <c r="BQ237" s="54">
        <v>54286313</v>
      </c>
      <c r="BR237" s="59">
        <f>COUNT($BQ$4:$BQ237) / COUNT($BQ$4:$BQ$292)</f>
        <v>0.80968858131487886</v>
      </c>
    </row>
    <row r="238" spans="64:71" x14ac:dyDescent="0.3">
      <c r="BL238" s="3">
        <v>2010</v>
      </c>
      <c r="BM238" s="3" t="s">
        <v>330</v>
      </c>
      <c r="BN238" s="3" t="s">
        <v>7</v>
      </c>
      <c r="BO238" s="3" t="s">
        <v>36</v>
      </c>
      <c r="BP238" s="3" t="s">
        <v>94</v>
      </c>
      <c r="BQ238" s="54">
        <v>54286313</v>
      </c>
      <c r="BR238" s="59">
        <f>COUNT($BQ$4:$BQ238) / COUNT($BQ$4:$BQ$292)</f>
        <v>0.81314878892733566</v>
      </c>
    </row>
    <row r="239" spans="64:71" x14ac:dyDescent="0.3">
      <c r="BL239" s="3">
        <v>2010</v>
      </c>
      <c r="BM239" s="3" t="s">
        <v>331</v>
      </c>
      <c r="BN239" s="3" t="s">
        <v>7</v>
      </c>
      <c r="BO239" s="3" t="s">
        <v>36</v>
      </c>
      <c r="BP239" s="3" t="s">
        <v>94</v>
      </c>
      <c r="BQ239" s="54">
        <v>54286313</v>
      </c>
      <c r="BR239" s="59">
        <f>COUNT($BQ$4:$BQ239) / COUNT($BQ$4:$BQ$292)</f>
        <v>0.81660899653979235</v>
      </c>
    </row>
    <row r="240" spans="64:71" x14ac:dyDescent="0.3">
      <c r="BL240" s="30">
        <v>2020</v>
      </c>
      <c r="BM240" s="30" t="s">
        <v>715</v>
      </c>
      <c r="BN240" s="30" t="s">
        <v>67</v>
      </c>
      <c r="BO240" s="30" t="s">
        <v>54</v>
      </c>
      <c r="BP240" s="30" t="s">
        <v>236</v>
      </c>
      <c r="BQ240" s="54">
        <v>56677013</v>
      </c>
      <c r="BR240" s="59">
        <f>COUNT($BQ$4:$BQ240) / COUNT($BQ$4:$BQ$292)</f>
        <v>0.82006920415224915</v>
      </c>
    </row>
    <row r="241" spans="64:70" x14ac:dyDescent="0.3">
      <c r="BL241" s="3">
        <v>2017</v>
      </c>
      <c r="BM241" s="3" t="s">
        <v>96</v>
      </c>
      <c r="BN241" s="3" t="s">
        <v>7</v>
      </c>
      <c r="BO241" s="3" t="s">
        <v>36</v>
      </c>
      <c r="BP241" s="3" t="s">
        <v>94</v>
      </c>
      <c r="BQ241" s="54">
        <v>56842692</v>
      </c>
      <c r="BR241" s="59">
        <f>COUNT($BQ$4:$BQ241) / COUNT($BQ$4:$BQ$292)</f>
        <v>0.82352941176470584</v>
      </c>
    </row>
    <row r="242" spans="64:70" x14ac:dyDescent="0.3">
      <c r="BL242" s="30">
        <v>2020</v>
      </c>
      <c r="BM242" s="30" t="s">
        <v>1297</v>
      </c>
      <c r="BN242" s="30" t="s">
        <v>7</v>
      </c>
      <c r="BO242" s="30" t="s">
        <v>12</v>
      </c>
      <c r="BP242" s="30" t="s">
        <v>13</v>
      </c>
      <c r="BQ242" s="54">
        <v>57422510</v>
      </c>
      <c r="BR242" s="59">
        <f>COUNT($BQ$4:$BQ242) / COUNT($BQ$4:$BQ$292)</f>
        <v>0.82698961937716264</v>
      </c>
    </row>
    <row r="243" spans="64:70" x14ac:dyDescent="0.3">
      <c r="BL243" s="3">
        <v>2019</v>
      </c>
      <c r="BM243" s="3" t="s">
        <v>39</v>
      </c>
      <c r="BN243" s="3" t="s">
        <v>7</v>
      </c>
      <c r="BO243" s="3" t="s">
        <v>40</v>
      </c>
      <c r="BP243" s="3" t="s">
        <v>41</v>
      </c>
      <c r="BQ243" s="54">
        <v>57769694</v>
      </c>
      <c r="BR243" s="59">
        <f>COUNT($BQ$4:$BQ243) / COUNT($BQ$4:$BQ$292)</f>
        <v>0.83044982698961933</v>
      </c>
    </row>
    <row r="244" spans="64:70" x14ac:dyDescent="0.3">
      <c r="BL244" s="3">
        <v>2018</v>
      </c>
      <c r="BM244" s="3" t="s">
        <v>53</v>
      </c>
      <c r="BN244" s="3" t="s">
        <v>7</v>
      </c>
      <c r="BO244" s="3" t="s">
        <v>54</v>
      </c>
      <c r="BP244" s="3" t="s">
        <v>55</v>
      </c>
      <c r="BQ244" s="54">
        <v>58364108</v>
      </c>
      <c r="BR244" s="59">
        <f>COUNT($BQ$4:$BQ244) / COUNT($BQ$4:$BQ$292)</f>
        <v>0.83391003460207613</v>
      </c>
    </row>
    <row r="245" spans="64:70" x14ac:dyDescent="0.3">
      <c r="BL245" s="3">
        <v>2014</v>
      </c>
      <c r="BM245" s="3" t="s">
        <v>208</v>
      </c>
      <c r="BN245" s="3" t="s">
        <v>7</v>
      </c>
      <c r="BO245" s="3" t="s">
        <v>40</v>
      </c>
      <c r="BP245" s="3" t="s">
        <v>160</v>
      </c>
      <c r="BQ245" s="54">
        <v>60148823</v>
      </c>
      <c r="BR245" s="59">
        <f>COUNT($BQ$4:$BQ245) / COUNT($BQ$4:$BQ$292)</f>
        <v>0.83737024221453282</v>
      </c>
    </row>
    <row r="246" spans="64:70" x14ac:dyDescent="0.3">
      <c r="BL246" s="3">
        <v>2018</v>
      </c>
      <c r="BM246" s="3" t="s">
        <v>85</v>
      </c>
      <c r="BN246" s="3" t="s">
        <v>7</v>
      </c>
      <c r="BO246" s="3" t="s">
        <v>40</v>
      </c>
      <c r="BP246" s="3" t="s">
        <v>41</v>
      </c>
      <c r="BQ246" s="54">
        <v>62400632</v>
      </c>
      <c r="BR246" s="59">
        <f>COUNT($BQ$4:$BQ246) / COUNT($BQ$4:$BQ$292)</f>
        <v>0.84083044982698962</v>
      </c>
    </row>
    <row r="247" spans="64:70" x14ac:dyDescent="0.3">
      <c r="BL247" s="3">
        <v>2018</v>
      </c>
      <c r="BM247" s="3" t="s">
        <v>79</v>
      </c>
      <c r="BN247" s="3" t="s">
        <v>7</v>
      </c>
      <c r="BO247" s="3" t="s">
        <v>36</v>
      </c>
      <c r="BP247" s="3" t="s">
        <v>37</v>
      </c>
      <c r="BQ247" s="54">
        <v>63199382</v>
      </c>
      <c r="BR247" s="59">
        <f>COUNT($BQ$4:$BQ247) / COUNT($BQ$4:$BQ$292)</f>
        <v>0.84429065743944631</v>
      </c>
    </row>
    <row r="248" spans="64:70" x14ac:dyDescent="0.3">
      <c r="BL248" s="3">
        <v>2011</v>
      </c>
      <c r="BM248" s="3" t="s">
        <v>300</v>
      </c>
      <c r="BN248" s="3" t="s">
        <v>7</v>
      </c>
      <c r="BO248" s="3" t="s">
        <v>12</v>
      </c>
      <c r="BP248" s="3" t="s">
        <v>13</v>
      </c>
      <c r="BQ248" s="54">
        <v>64804226</v>
      </c>
      <c r="BR248" s="59">
        <f>COUNT($BQ$4:$BQ248) / COUNT($BQ$4:$BQ$292)</f>
        <v>0.84775086505190311</v>
      </c>
    </row>
    <row r="249" spans="64:70" x14ac:dyDescent="0.3">
      <c r="BL249" s="3">
        <v>2017</v>
      </c>
      <c r="BM249" s="3" t="s">
        <v>101</v>
      </c>
      <c r="BN249" s="3" t="s">
        <v>7</v>
      </c>
      <c r="BO249" s="3" t="s">
        <v>32</v>
      </c>
      <c r="BP249" s="3" t="s">
        <v>33</v>
      </c>
      <c r="BQ249" s="54">
        <v>73309273</v>
      </c>
      <c r="BR249" s="59">
        <f>COUNT($BQ$4:$BQ249) / COUNT($BQ$4:$BQ$292)</f>
        <v>0.85121107266435991</v>
      </c>
    </row>
    <row r="250" spans="64:70" x14ac:dyDescent="0.3">
      <c r="BL250" s="3">
        <v>2013</v>
      </c>
      <c r="BM250" s="3" t="s">
        <v>224</v>
      </c>
      <c r="BN250" s="3" t="s">
        <v>7</v>
      </c>
      <c r="BO250" s="3" t="s">
        <v>12</v>
      </c>
      <c r="BP250" s="3" t="s">
        <v>12</v>
      </c>
      <c r="BQ250" s="54">
        <v>74795519</v>
      </c>
      <c r="BR250" s="59">
        <f>COUNT($BQ$4:$BQ250) / COUNT($BQ$4:$BQ$292)</f>
        <v>0.8546712802768166</v>
      </c>
    </row>
    <row r="251" spans="64:70" x14ac:dyDescent="0.3">
      <c r="BL251" s="3">
        <v>2015</v>
      </c>
      <c r="BM251" s="3" t="s">
        <v>169</v>
      </c>
      <c r="BN251" s="3" t="s">
        <v>7</v>
      </c>
      <c r="BO251" s="3" t="s">
        <v>36</v>
      </c>
      <c r="BP251" s="3" t="s">
        <v>37</v>
      </c>
      <c r="BQ251" s="54">
        <v>77615694</v>
      </c>
      <c r="BR251" s="59">
        <f>COUNT($BQ$4:$BQ251) / COUNT($BQ$4:$BQ$292)</f>
        <v>0.8581314878892734</v>
      </c>
    </row>
    <row r="252" spans="64:70" x14ac:dyDescent="0.3">
      <c r="BL252" s="3">
        <v>2014</v>
      </c>
      <c r="BM252" s="3" t="s">
        <v>198</v>
      </c>
      <c r="BN252" s="3" t="s">
        <v>7</v>
      </c>
      <c r="BO252" s="3" t="s">
        <v>54</v>
      </c>
      <c r="BP252" s="3" t="s">
        <v>55</v>
      </c>
      <c r="BQ252" s="54">
        <v>78013596</v>
      </c>
      <c r="BR252" s="59">
        <f>COUNT($BQ$4:$BQ252) / COUNT($BQ$4:$BQ$292)</f>
        <v>0.86159169550173009</v>
      </c>
    </row>
    <row r="253" spans="64:70" x14ac:dyDescent="0.3">
      <c r="BL253" s="3">
        <v>2017</v>
      </c>
      <c r="BM253" s="3" t="s">
        <v>93</v>
      </c>
      <c r="BN253" s="3" t="s">
        <v>7</v>
      </c>
      <c r="BO253" s="3" t="s">
        <v>36</v>
      </c>
      <c r="BP253" s="3" t="s">
        <v>94</v>
      </c>
      <c r="BQ253" s="54">
        <v>79976867</v>
      </c>
      <c r="BR253" s="59">
        <f>COUNT($BQ$4:$BQ253) / COUNT($BQ$4:$BQ$292)</f>
        <v>0.86505190311418689</v>
      </c>
    </row>
    <row r="254" spans="64:70" x14ac:dyDescent="0.3">
      <c r="BL254" s="30">
        <v>2020</v>
      </c>
      <c r="BM254" s="30" t="s">
        <v>1296</v>
      </c>
      <c r="BN254" s="30" t="s">
        <v>7</v>
      </c>
      <c r="BO254" s="30" t="s">
        <v>12</v>
      </c>
      <c r="BP254" s="30" t="s">
        <v>13</v>
      </c>
      <c r="BQ254" s="54">
        <v>84297308</v>
      </c>
      <c r="BR254" s="59">
        <f>COUNT($BQ$4:$BQ254) / COUNT($BQ$4:$BQ$292)</f>
        <v>0.86851211072664358</v>
      </c>
    </row>
    <row r="255" spans="64:70" x14ac:dyDescent="0.3">
      <c r="BL255" s="3">
        <v>2016</v>
      </c>
      <c r="BM255" s="3" t="s">
        <v>126</v>
      </c>
      <c r="BN255" s="3" t="s">
        <v>7</v>
      </c>
      <c r="BO255" s="3" t="s">
        <v>64</v>
      </c>
      <c r="BP255" s="3" t="s">
        <v>65</v>
      </c>
      <c r="BQ255" s="54">
        <v>84542423</v>
      </c>
      <c r="BR255" s="59">
        <f>COUNT($BQ$4:$BQ255) / COUNT($BQ$4:$BQ$292)</f>
        <v>0.87197231833910038</v>
      </c>
    </row>
    <row r="256" spans="64:70" x14ac:dyDescent="0.3">
      <c r="BL256" s="3">
        <v>2018</v>
      </c>
      <c r="BM256" s="3" t="s">
        <v>70</v>
      </c>
      <c r="BN256" s="3" t="s">
        <v>7</v>
      </c>
      <c r="BO256" s="3" t="s">
        <v>71</v>
      </c>
      <c r="BP256" s="3" t="s">
        <v>72</v>
      </c>
      <c r="BQ256" s="54">
        <v>84799384</v>
      </c>
      <c r="BR256" s="59">
        <f>COUNT($BQ$4:$BQ256) / COUNT($BQ$4:$BQ$292)</f>
        <v>0.87543252595155707</v>
      </c>
    </row>
    <row r="257" spans="64:71" x14ac:dyDescent="0.3">
      <c r="BL257" s="3">
        <v>2011</v>
      </c>
      <c r="BM257" s="3" t="s">
        <v>303</v>
      </c>
      <c r="BN257" s="3" t="s">
        <v>7</v>
      </c>
      <c r="BO257" s="3" t="s">
        <v>36</v>
      </c>
      <c r="BP257" s="3" t="s">
        <v>37</v>
      </c>
      <c r="BQ257" s="54">
        <v>88519635</v>
      </c>
      <c r="BR257" s="59">
        <f>COUNT($BQ$4:$BQ257) / COUNT($BQ$4:$BQ$292)</f>
        <v>0.87889273356401387</v>
      </c>
    </row>
    <row r="258" spans="64:71" x14ac:dyDescent="0.3">
      <c r="BL258" s="3">
        <v>2013</v>
      </c>
      <c r="BM258" s="3" t="s">
        <v>219</v>
      </c>
      <c r="BN258" s="3" t="s">
        <v>7</v>
      </c>
      <c r="BO258" s="3" t="s">
        <v>40</v>
      </c>
      <c r="BP258" s="3" t="s">
        <v>160</v>
      </c>
      <c r="BQ258" s="54">
        <v>90606946</v>
      </c>
      <c r="BR258" s="59">
        <f>COUNT($BQ$4:$BQ258) / COUNT($BQ$4:$BQ$292)</f>
        <v>0.88235294117647056</v>
      </c>
    </row>
    <row r="259" spans="64:71" x14ac:dyDescent="0.3">
      <c r="BL259" s="3">
        <v>2013</v>
      </c>
      <c r="BM259" s="3" t="s">
        <v>235</v>
      </c>
      <c r="BN259" s="3" t="s">
        <v>7</v>
      </c>
      <c r="BO259" s="3" t="s">
        <v>54</v>
      </c>
      <c r="BP259" s="3" t="s">
        <v>236</v>
      </c>
      <c r="BQ259" s="54">
        <v>94844638</v>
      </c>
      <c r="BR259" s="59">
        <f>COUNT($BQ$4:$BQ259) / COUNT($BQ$4:$BQ$292)</f>
        <v>0.88581314878892736</v>
      </c>
    </row>
    <row r="260" spans="64:71" x14ac:dyDescent="0.3">
      <c r="BL260" s="3">
        <v>2010</v>
      </c>
      <c r="BM260" s="3" t="s">
        <v>326</v>
      </c>
      <c r="BN260" s="3" t="s">
        <v>92</v>
      </c>
      <c r="BO260" s="3" t="s">
        <v>36</v>
      </c>
      <c r="BP260" s="3" t="s">
        <v>37</v>
      </c>
      <c r="BQ260" s="54">
        <v>97146306</v>
      </c>
      <c r="BR260" s="59">
        <f>COUNT($BQ$4:$BQ260) / COUNT($BQ$4:$BQ$292)</f>
        <v>0.88927335640138405</v>
      </c>
    </row>
    <row r="261" spans="64:71" x14ac:dyDescent="0.3">
      <c r="BL261" s="3">
        <v>2020</v>
      </c>
      <c r="BM261" s="3" t="s">
        <v>1301</v>
      </c>
      <c r="BN261" s="3" t="s">
        <v>7</v>
      </c>
      <c r="BO261" s="3" t="s">
        <v>36</v>
      </c>
      <c r="BP261" s="3" t="s">
        <v>1302</v>
      </c>
      <c r="BQ261" s="54">
        <v>104435176</v>
      </c>
      <c r="BR261" s="59">
        <f>COUNT($BQ$4:$BQ261) / COUNT($BQ$4:$BQ$292)</f>
        <v>0.89273356401384085</v>
      </c>
      <c r="BS261">
        <v>10</v>
      </c>
    </row>
    <row r="262" spans="64:71" x14ac:dyDescent="0.3">
      <c r="BL262" s="3">
        <v>2015</v>
      </c>
      <c r="BM262" s="3" t="s">
        <v>166</v>
      </c>
      <c r="BN262" s="3" t="s">
        <v>7</v>
      </c>
      <c r="BO262" s="3" t="s">
        <v>71</v>
      </c>
      <c r="BP262" s="3" t="s">
        <v>167</v>
      </c>
      <c r="BQ262" s="54">
        <v>107765502</v>
      </c>
      <c r="BR262" s="59">
        <f>COUNT($BQ$4:$BQ262) / COUNT($BQ$4:$BQ$292)</f>
        <v>0.89619377162629754</v>
      </c>
    </row>
    <row r="263" spans="64:71" x14ac:dyDescent="0.3">
      <c r="BL263" s="3">
        <v>2012</v>
      </c>
      <c r="BM263" s="3" t="s">
        <v>253</v>
      </c>
      <c r="BN263" s="3" t="s">
        <v>92</v>
      </c>
      <c r="BO263" s="3" t="s">
        <v>8</v>
      </c>
      <c r="BP263" s="3" t="s">
        <v>51</v>
      </c>
      <c r="BQ263" s="54">
        <v>109325122</v>
      </c>
      <c r="BR263" s="59">
        <f>COUNT($BQ$4:$BQ263) / COUNT($BQ$4:$BQ$292)</f>
        <v>0.89965397923875434</v>
      </c>
    </row>
    <row r="264" spans="64:71" x14ac:dyDescent="0.3">
      <c r="BL264" s="3">
        <v>2018</v>
      </c>
      <c r="BM264" s="3" t="s">
        <v>63</v>
      </c>
      <c r="BN264" s="3" t="s">
        <v>7</v>
      </c>
      <c r="BO264" s="3" t="s">
        <v>64</v>
      </c>
      <c r="BP264" s="3" t="s">
        <v>65</v>
      </c>
      <c r="BQ264" s="54">
        <v>109703625</v>
      </c>
      <c r="BR264" s="59">
        <f>COUNT($BQ$4:$BQ264) / COUNT($BQ$4:$BQ$292)</f>
        <v>0.90311418685121103</v>
      </c>
    </row>
    <row r="265" spans="64:71" x14ac:dyDescent="0.3">
      <c r="BL265" s="3">
        <v>2014</v>
      </c>
      <c r="BM265" s="3" t="s">
        <v>201</v>
      </c>
      <c r="BN265" s="3" t="s">
        <v>92</v>
      </c>
      <c r="BO265" s="3" t="s">
        <v>20</v>
      </c>
      <c r="BP265" s="3" t="s">
        <v>23</v>
      </c>
      <c r="BQ265" s="54">
        <v>111003501</v>
      </c>
      <c r="BR265" s="59">
        <f>COUNT($BQ$4:$BQ265) / COUNT($BQ$4:$BQ$292)</f>
        <v>0.90657439446366783</v>
      </c>
    </row>
    <row r="266" spans="64:71" x14ac:dyDescent="0.3">
      <c r="BL266" s="3">
        <v>2015</v>
      </c>
      <c r="BM266" s="3" t="s">
        <v>154</v>
      </c>
      <c r="BN266" s="3" t="s">
        <v>155</v>
      </c>
      <c r="BO266" s="3" t="s">
        <v>8</v>
      </c>
      <c r="BP266" s="3" t="s">
        <v>156</v>
      </c>
      <c r="BQ266" s="54">
        <v>122905053</v>
      </c>
      <c r="BR266" s="59">
        <f>COUNT($BQ$4:$BQ266) / COUNT($BQ$4:$BQ$292)</f>
        <v>0.91003460207612452</v>
      </c>
    </row>
    <row r="267" spans="64:71" x14ac:dyDescent="0.3">
      <c r="BL267" s="3">
        <v>2011</v>
      </c>
      <c r="BM267" s="3" t="s">
        <v>297</v>
      </c>
      <c r="BN267" s="3" t="s">
        <v>283</v>
      </c>
      <c r="BO267" s="3" t="s">
        <v>20</v>
      </c>
      <c r="BP267" s="3" t="s">
        <v>23</v>
      </c>
      <c r="BQ267" s="54">
        <v>132500546</v>
      </c>
      <c r="BR267" s="59">
        <f>COUNT($BQ$4:$BQ267) / COUNT($BQ$4:$BQ$292)</f>
        <v>0.91349480968858132</v>
      </c>
    </row>
    <row r="268" spans="64:71" x14ac:dyDescent="0.3">
      <c r="BL268" s="3">
        <v>2015</v>
      </c>
      <c r="BM268" s="3" t="s">
        <v>172</v>
      </c>
      <c r="BN268" s="3" t="s">
        <v>7</v>
      </c>
      <c r="BO268" s="3" t="s">
        <v>64</v>
      </c>
      <c r="BP268" s="3" t="s">
        <v>65</v>
      </c>
      <c r="BQ268" s="54">
        <v>150087404</v>
      </c>
      <c r="BR268" s="59">
        <f>COUNT($BQ$4:$BQ268) / COUNT($BQ$4:$BQ$292)</f>
        <v>0.91695501730103801</v>
      </c>
    </row>
    <row r="269" spans="64:71" x14ac:dyDescent="0.3">
      <c r="BL269" s="3">
        <v>2011</v>
      </c>
      <c r="BM269" s="3" t="s">
        <v>293</v>
      </c>
      <c r="BN269" s="3" t="s">
        <v>92</v>
      </c>
      <c r="BO269" s="3" t="s">
        <v>36</v>
      </c>
      <c r="BP269" s="3" t="s">
        <v>81</v>
      </c>
      <c r="BQ269" s="54">
        <v>163943385</v>
      </c>
      <c r="BR269" s="59">
        <f>COUNT($BQ$4:$BQ269) / COUNT($BQ$4:$BQ$292)</f>
        <v>0.92041522491349481</v>
      </c>
    </row>
    <row r="270" spans="64:71" x14ac:dyDescent="0.3">
      <c r="BL270" s="3">
        <v>2013</v>
      </c>
      <c r="BM270" s="3" t="s">
        <v>221</v>
      </c>
      <c r="BN270" s="3" t="s">
        <v>7</v>
      </c>
      <c r="BO270" s="3" t="s">
        <v>36</v>
      </c>
      <c r="BP270" s="3" t="s">
        <v>94</v>
      </c>
      <c r="BQ270" s="54">
        <v>176613415</v>
      </c>
      <c r="BR270" s="59">
        <f>COUNT($BQ$4:$BQ270) / COUNT($BQ$4:$BQ$292)</f>
        <v>0.92387543252595161</v>
      </c>
    </row>
    <row r="271" spans="64:71" x14ac:dyDescent="0.3">
      <c r="BL271" s="3">
        <v>2009</v>
      </c>
      <c r="BM271" s="3" t="s">
        <v>360</v>
      </c>
      <c r="BN271" s="3" t="s">
        <v>283</v>
      </c>
      <c r="BO271" s="3" t="s">
        <v>36</v>
      </c>
      <c r="BP271" s="3" t="s">
        <v>37</v>
      </c>
      <c r="BQ271" s="54">
        <v>198682667</v>
      </c>
      <c r="BR271" s="59">
        <f>COUNT($BQ$4:$BQ271) / COUNT($BQ$4:$BQ$292)</f>
        <v>0.9273356401384083</v>
      </c>
    </row>
    <row r="272" spans="64:71" x14ac:dyDescent="0.3">
      <c r="BL272" s="3">
        <v>2016</v>
      </c>
      <c r="BM272" s="3" t="s">
        <v>149</v>
      </c>
      <c r="BN272" s="3" t="s">
        <v>67</v>
      </c>
      <c r="BO272" s="3" t="s">
        <v>25</v>
      </c>
      <c r="BP272" s="3" t="s">
        <v>26</v>
      </c>
      <c r="BQ272" s="54">
        <v>210567084</v>
      </c>
      <c r="BR272" s="59">
        <f>COUNT($BQ$4:$BQ272) / COUNT($BQ$4:$BQ$292)</f>
        <v>0.9307958477508651</v>
      </c>
    </row>
    <row r="273" spans="64:70" x14ac:dyDescent="0.3">
      <c r="BL273" s="3">
        <v>2018</v>
      </c>
      <c r="BM273" s="3" t="s">
        <v>56</v>
      </c>
      <c r="BN273" s="3" t="s">
        <v>7</v>
      </c>
      <c r="BO273" s="3" t="s">
        <v>54</v>
      </c>
      <c r="BP273" s="3" t="s">
        <v>55</v>
      </c>
      <c r="BQ273" s="54">
        <v>222058229</v>
      </c>
      <c r="BR273" s="59">
        <f>COUNT($BQ$4:$BQ273) / COUNT($BQ$4:$BQ$292)</f>
        <v>0.93425605536332179</v>
      </c>
    </row>
    <row r="274" spans="64:70" x14ac:dyDescent="0.3">
      <c r="BL274" s="3">
        <v>2011</v>
      </c>
      <c r="BM274" s="3" t="s">
        <v>298</v>
      </c>
      <c r="BN274" s="3" t="s">
        <v>7</v>
      </c>
      <c r="BO274" s="3" t="s">
        <v>32</v>
      </c>
      <c r="BP274" s="3" t="s">
        <v>33</v>
      </c>
      <c r="BQ274" s="54">
        <v>232570553</v>
      </c>
      <c r="BR274" s="59">
        <f>COUNT($BQ$4:$BQ274) / COUNT($BQ$4:$BQ$292)</f>
        <v>0.93771626297577859</v>
      </c>
    </row>
    <row r="275" spans="64:70" x14ac:dyDescent="0.3">
      <c r="BL275" s="3">
        <v>2010</v>
      </c>
      <c r="BM275" s="3" t="s">
        <v>315</v>
      </c>
      <c r="BN275" s="3" t="s">
        <v>92</v>
      </c>
      <c r="BO275" s="3" t="s">
        <v>36</v>
      </c>
      <c r="BP275" s="3" t="s">
        <v>37</v>
      </c>
      <c r="BQ275" s="54">
        <v>258885559</v>
      </c>
      <c r="BR275" s="59">
        <f>COUNT($BQ$4:$BQ275) / COUNT($BQ$4:$BQ$292)</f>
        <v>0.94117647058823528</v>
      </c>
    </row>
    <row r="276" spans="64:70" x14ac:dyDescent="0.3">
      <c r="BL276" s="3">
        <v>2010</v>
      </c>
      <c r="BM276" s="3" t="s">
        <v>314</v>
      </c>
      <c r="BN276" s="3" t="s">
        <v>92</v>
      </c>
      <c r="BO276" s="3" t="s">
        <v>36</v>
      </c>
      <c r="BP276" s="3" t="s">
        <v>37</v>
      </c>
      <c r="BQ276" s="54">
        <v>258885559</v>
      </c>
      <c r="BR276" s="59">
        <f>COUNT($BQ$4:$BQ276) / COUNT($BQ$4:$BQ$292)</f>
        <v>0.94463667820069208</v>
      </c>
    </row>
    <row r="277" spans="64:70" x14ac:dyDescent="0.3">
      <c r="BL277" s="3">
        <v>2010</v>
      </c>
      <c r="BM277" s="3" t="s">
        <v>312</v>
      </c>
      <c r="BN277" s="3" t="s">
        <v>92</v>
      </c>
      <c r="BO277" s="3" t="s">
        <v>36</v>
      </c>
      <c r="BP277" s="3" t="s">
        <v>37</v>
      </c>
      <c r="BQ277" s="54">
        <v>258885559</v>
      </c>
      <c r="BR277" s="59">
        <f>COUNT($BQ$4:$BQ277) / COUNT($BQ$4:$BQ$292)</f>
        <v>0.94809688581314877</v>
      </c>
    </row>
    <row r="278" spans="64:70" x14ac:dyDescent="0.3">
      <c r="BL278" s="3">
        <v>2010</v>
      </c>
      <c r="BM278" s="3" t="s">
        <v>311</v>
      </c>
      <c r="BN278" s="3" t="s">
        <v>92</v>
      </c>
      <c r="BO278" s="3" t="s">
        <v>36</v>
      </c>
      <c r="BP278" s="3" t="s">
        <v>37</v>
      </c>
      <c r="BQ278" s="54">
        <v>258885559</v>
      </c>
      <c r="BR278" s="59">
        <f>COUNT($BQ$4:$BQ278) / COUNT($BQ$4:$BQ$292)</f>
        <v>0.95155709342560557</v>
      </c>
    </row>
    <row r="279" spans="64:70" x14ac:dyDescent="0.3">
      <c r="BL279" s="3">
        <v>2010</v>
      </c>
      <c r="BM279" s="3" t="s">
        <v>313</v>
      </c>
      <c r="BN279" s="3" t="s">
        <v>92</v>
      </c>
      <c r="BO279" s="3" t="s">
        <v>36</v>
      </c>
      <c r="BP279" s="3" t="s">
        <v>37</v>
      </c>
      <c r="BQ279" s="54">
        <v>258885559</v>
      </c>
      <c r="BR279" s="59">
        <f>COUNT($BQ$4:$BQ279) / COUNT($BQ$4:$BQ$292)</f>
        <v>0.95501730103806226</v>
      </c>
    </row>
    <row r="280" spans="64:70" x14ac:dyDescent="0.3">
      <c r="BL280" s="3">
        <v>2010</v>
      </c>
      <c r="BM280" s="3" t="s">
        <v>341</v>
      </c>
      <c r="BN280" s="3" t="s">
        <v>92</v>
      </c>
      <c r="BO280" s="3" t="s">
        <v>36</v>
      </c>
      <c r="BP280" s="3" t="s">
        <v>37</v>
      </c>
      <c r="BQ280" s="54">
        <v>258885559</v>
      </c>
      <c r="BR280" s="59">
        <f>COUNT($BQ$4:$BQ280) / COUNT($BQ$4:$BQ$292)</f>
        <v>0.95847750865051906</v>
      </c>
    </row>
    <row r="281" spans="64:70" x14ac:dyDescent="0.3">
      <c r="BL281" s="3">
        <v>2010</v>
      </c>
      <c r="BM281" s="3" t="s">
        <v>323</v>
      </c>
      <c r="BN281" s="3" t="s">
        <v>92</v>
      </c>
      <c r="BO281" s="3" t="s">
        <v>36</v>
      </c>
      <c r="BP281" s="3" t="s">
        <v>37</v>
      </c>
      <c r="BQ281" s="54">
        <v>258885559</v>
      </c>
      <c r="BR281" s="59">
        <f>COUNT($BQ$4:$BQ281) / COUNT($BQ$4:$BQ$292)</f>
        <v>0.96193771626297575</v>
      </c>
    </row>
    <row r="282" spans="64:70" x14ac:dyDescent="0.3">
      <c r="BL282" s="3">
        <v>2013</v>
      </c>
      <c r="BM282" s="3" t="s">
        <v>242</v>
      </c>
      <c r="BN282" s="3" t="s">
        <v>7</v>
      </c>
      <c r="BO282" s="3" t="s">
        <v>54</v>
      </c>
      <c r="BP282" s="3" t="s">
        <v>243</v>
      </c>
      <c r="BQ282" s="54">
        <v>272097967</v>
      </c>
      <c r="BR282" s="59">
        <f>COUNT($BQ$4:$BQ282) / COUNT($BQ$4:$BQ$292)</f>
        <v>0.96539792387543255</v>
      </c>
    </row>
    <row r="283" spans="64:70" x14ac:dyDescent="0.3">
      <c r="BL283" s="3">
        <v>2011</v>
      </c>
      <c r="BM283" s="3" t="s">
        <v>288</v>
      </c>
      <c r="BN283" s="3" t="s">
        <v>155</v>
      </c>
      <c r="BO283" s="3" t="s">
        <v>40</v>
      </c>
      <c r="BP283" s="3" t="s">
        <v>43</v>
      </c>
      <c r="BQ283" s="54">
        <v>296151018</v>
      </c>
      <c r="BR283" s="59">
        <f>COUNT($BQ$4:$BQ283) / COUNT($BQ$4:$BQ$292)</f>
        <v>0.96885813148788924</v>
      </c>
    </row>
    <row r="284" spans="64:70" x14ac:dyDescent="0.3">
      <c r="BL284" s="3">
        <v>2014</v>
      </c>
      <c r="BM284" s="3" t="s">
        <v>202</v>
      </c>
      <c r="BN284" s="3" t="s">
        <v>92</v>
      </c>
      <c r="BO284" s="3" t="s">
        <v>64</v>
      </c>
      <c r="BP284" s="3" t="s">
        <v>203</v>
      </c>
      <c r="BQ284" s="54">
        <v>347262786</v>
      </c>
      <c r="BR284" s="59">
        <f>COUNT($BQ$4:$BQ284) / COUNT($BQ$4:$BQ$292)</f>
        <v>0.97231833910034604</v>
      </c>
    </row>
    <row r="285" spans="64:70" x14ac:dyDescent="0.3">
      <c r="BL285" s="3">
        <v>2011</v>
      </c>
      <c r="BM285" s="3" t="s">
        <v>295</v>
      </c>
      <c r="BN285" s="3" t="s">
        <v>92</v>
      </c>
      <c r="BO285" s="3" t="s">
        <v>36</v>
      </c>
      <c r="BP285" s="3" t="s">
        <v>81</v>
      </c>
      <c r="BQ285" s="54">
        <v>363893537</v>
      </c>
      <c r="BR285" s="59">
        <f>COUNT($BQ$4:$BQ285) / COUNT($BQ$4:$BQ$292)</f>
        <v>0.97577854671280273</v>
      </c>
    </row>
    <row r="286" spans="64:70" x14ac:dyDescent="0.3">
      <c r="BL286" s="3">
        <v>2014</v>
      </c>
      <c r="BM286" s="3" t="s">
        <v>199</v>
      </c>
      <c r="BN286" s="3" t="s">
        <v>7</v>
      </c>
      <c r="BO286" s="3" t="s">
        <v>32</v>
      </c>
      <c r="BP286" s="3" t="s">
        <v>33</v>
      </c>
      <c r="BQ286" s="54">
        <v>380801540</v>
      </c>
      <c r="BR286" s="59">
        <f>COUNT($BQ$4:$BQ286) / COUNT($BQ$4:$BQ$292)</f>
        <v>0.97923875432525953</v>
      </c>
    </row>
    <row r="287" spans="64:70" x14ac:dyDescent="0.3">
      <c r="BL287" s="3">
        <v>2015</v>
      </c>
      <c r="BM287" s="3" t="s">
        <v>185</v>
      </c>
      <c r="BN287" s="3" t="s">
        <v>7</v>
      </c>
      <c r="BO287" s="3" t="s">
        <v>36</v>
      </c>
      <c r="BP287" s="3" t="s">
        <v>98</v>
      </c>
      <c r="BQ287" s="54">
        <v>387010354</v>
      </c>
      <c r="BR287" s="59">
        <f>COUNT($BQ$4:$BQ287) / COUNT($BQ$4:$BQ$292)</f>
        <v>0.98269896193771622</v>
      </c>
    </row>
    <row r="288" spans="64:70" x14ac:dyDescent="0.3">
      <c r="BL288" s="3">
        <v>2013</v>
      </c>
      <c r="BM288" s="3" t="s">
        <v>232</v>
      </c>
      <c r="BN288" s="3" t="s">
        <v>7</v>
      </c>
      <c r="BO288" s="3" t="s">
        <v>233</v>
      </c>
      <c r="BP288" s="3" t="s">
        <v>234</v>
      </c>
      <c r="BQ288" s="54">
        <v>397522506</v>
      </c>
      <c r="BR288" s="59">
        <f>COUNT($BQ$4:$BQ288) / COUNT($BQ$4:$BQ$292)</f>
        <v>0.98615916955017302</v>
      </c>
    </row>
    <row r="289" spans="64:73" x14ac:dyDescent="0.3">
      <c r="BL289" s="30">
        <v>2020</v>
      </c>
      <c r="BM289" s="30" t="s">
        <v>1305</v>
      </c>
      <c r="BN289" s="30" t="s">
        <v>7</v>
      </c>
      <c r="BO289" s="30" t="s">
        <v>36</v>
      </c>
      <c r="BP289" s="30" t="s">
        <v>1306</v>
      </c>
      <c r="BQ289" s="54">
        <v>447169342</v>
      </c>
      <c r="BR289" s="59">
        <f>COUNT($BQ$4:$BQ289) / COUNT($BQ$4:$BQ$292)</f>
        <v>0.98961937716262971</v>
      </c>
    </row>
    <row r="290" spans="64:73" x14ac:dyDescent="0.3">
      <c r="BL290" s="30">
        <v>2020</v>
      </c>
      <c r="BM290" s="30" t="s">
        <v>1312</v>
      </c>
      <c r="BN290" s="30" t="s">
        <v>7</v>
      </c>
      <c r="BO290" s="30" t="s">
        <v>32</v>
      </c>
      <c r="BP290" s="30" t="s">
        <v>33</v>
      </c>
      <c r="BQ290" s="54">
        <v>811668151</v>
      </c>
      <c r="BR290" s="59">
        <f>COUNT($BQ$4:$BQ290) / COUNT($BQ$4:$BQ$292)</f>
        <v>0.99307958477508651</v>
      </c>
    </row>
    <row r="291" spans="64:73" x14ac:dyDescent="0.3">
      <c r="BL291" s="30">
        <v>2020</v>
      </c>
      <c r="BM291" s="30" t="s">
        <v>1310</v>
      </c>
      <c r="BN291" s="30" t="s">
        <v>7</v>
      </c>
      <c r="BO291" s="30" t="s">
        <v>233</v>
      </c>
      <c r="BP291" s="30" t="s">
        <v>234</v>
      </c>
      <c r="BQ291" s="54">
        <v>1087991160</v>
      </c>
      <c r="BR291" s="59">
        <f>COUNT($BQ$4:$BQ291) / COUNT($BQ$4:$BQ$292)</f>
        <v>0.9965397923875432</v>
      </c>
    </row>
    <row r="292" spans="64:73" x14ac:dyDescent="0.3">
      <c r="BL292" s="3">
        <v>2011</v>
      </c>
      <c r="BM292" s="3" t="s">
        <v>281</v>
      </c>
      <c r="BN292" s="3" t="s">
        <v>155</v>
      </c>
      <c r="BO292" s="3" t="s">
        <v>54</v>
      </c>
      <c r="BP292" s="3" t="s">
        <v>243</v>
      </c>
      <c r="BQ292" s="54">
        <v>3936302030</v>
      </c>
      <c r="BR292" s="59">
        <f>COUNT($BQ$4:$BQ292) / COUNT($BQ$4:$BQ$292)</f>
        <v>1</v>
      </c>
    </row>
    <row r="294" spans="64:73" x14ac:dyDescent="0.3">
      <c r="BP294" t="s">
        <v>2409</v>
      </c>
      <c r="BQ294" s="47">
        <f>AVERAGE(BQ4:BQ292)</f>
        <v>61832464.875432529</v>
      </c>
    </row>
    <row r="295" spans="64:73" x14ac:dyDescent="0.3">
      <c r="BP295" t="s">
        <v>2410</v>
      </c>
      <c r="BQ295" s="47">
        <f>MEDIAN(BQ4:BQ292)</f>
        <v>15173075</v>
      </c>
    </row>
    <row r="296" spans="64:73" x14ac:dyDescent="0.3">
      <c r="BP296" t="s">
        <v>2411</v>
      </c>
      <c r="BQ296" s="47">
        <f>_xlfn.STDEV.S(BQ4:BQ292)</f>
        <v>252379848.92025596</v>
      </c>
    </row>
    <row r="297" spans="64:73" x14ac:dyDescent="0.3">
      <c r="BP297" s="62" t="s">
        <v>2420</v>
      </c>
      <c r="BQ297" s="62" t="s">
        <v>2413</v>
      </c>
      <c r="BR297" s="62" t="s">
        <v>2419</v>
      </c>
      <c r="BS297" s="62" t="s">
        <v>1623</v>
      </c>
      <c r="BT297" s="62" t="s">
        <v>2412</v>
      </c>
      <c r="BU297" s="89" t="s">
        <v>2501</v>
      </c>
    </row>
    <row r="298" spans="64:73" x14ac:dyDescent="0.3">
      <c r="BP298" s="60">
        <v>1</v>
      </c>
      <c r="BQ298" s="60">
        <v>1</v>
      </c>
      <c r="BR298" s="60">
        <f>BQ299</f>
        <v>2000000</v>
      </c>
      <c r="BS298" s="26" cm="1">
        <f t="array" ref="BS298:BS307">FREQUENCY(BQ4:BQ292,BQ299:BQ307)</f>
        <v>34</v>
      </c>
      <c r="BT298" s="61">
        <f>BS298 / SUM($BS$298:$BS$307)</f>
        <v>0.11764705882352941</v>
      </c>
      <c r="BU298" t="s">
        <v>2492</v>
      </c>
    </row>
    <row r="299" spans="64:73" x14ac:dyDescent="0.3">
      <c r="BP299" s="60">
        <v>2</v>
      </c>
      <c r="BQ299" s="60">
        <v>2000000</v>
      </c>
      <c r="BR299" s="60">
        <f t="shared" ref="BR299:BR306" si="2">BQ300</f>
        <v>5000000</v>
      </c>
      <c r="BS299" s="26">
        <v>23</v>
      </c>
      <c r="BT299" s="61">
        <f t="shared" ref="BT299:BT307" si="3">BS299 / SUM($BS$298:$BS$307)</f>
        <v>7.9584775086505188E-2</v>
      </c>
      <c r="BU299" s="88" t="s">
        <v>2491</v>
      </c>
    </row>
    <row r="300" spans="64:73" x14ac:dyDescent="0.3">
      <c r="BP300" s="60">
        <v>3</v>
      </c>
      <c r="BQ300" s="60">
        <v>5000000</v>
      </c>
      <c r="BR300" s="60">
        <f t="shared" si="2"/>
        <v>7500000</v>
      </c>
      <c r="BS300" s="26">
        <v>24</v>
      </c>
      <c r="BT300" s="61">
        <f t="shared" si="3"/>
        <v>8.3044982698961933E-2</v>
      </c>
      <c r="BU300" s="88" t="s">
        <v>2493</v>
      </c>
    </row>
    <row r="301" spans="64:73" x14ac:dyDescent="0.3">
      <c r="BP301" s="60">
        <v>4</v>
      </c>
      <c r="BQ301" s="60">
        <v>7500000</v>
      </c>
      <c r="BR301" s="60">
        <f t="shared" si="2"/>
        <v>10000000</v>
      </c>
      <c r="BS301" s="26">
        <v>27</v>
      </c>
      <c r="BT301" s="61">
        <f t="shared" si="3"/>
        <v>9.3425605536332182E-2</v>
      </c>
      <c r="BU301" s="88" t="s">
        <v>2494</v>
      </c>
    </row>
    <row r="302" spans="64:73" x14ac:dyDescent="0.3">
      <c r="BP302" s="60">
        <v>5</v>
      </c>
      <c r="BQ302" s="60">
        <v>10000000</v>
      </c>
      <c r="BR302" s="60">
        <f t="shared" si="2"/>
        <v>15000000</v>
      </c>
      <c r="BS302" s="26">
        <v>36</v>
      </c>
      <c r="BT302" s="61">
        <f t="shared" si="3"/>
        <v>0.1245674740484429</v>
      </c>
      <c r="BU302" s="88" t="s">
        <v>2495</v>
      </c>
    </row>
    <row r="303" spans="64:73" x14ac:dyDescent="0.3">
      <c r="BP303" s="60">
        <v>6</v>
      </c>
      <c r="BQ303" s="60">
        <v>15000000</v>
      </c>
      <c r="BR303" s="60">
        <f t="shared" si="2"/>
        <v>20000000</v>
      </c>
      <c r="BS303" s="26">
        <v>27</v>
      </c>
      <c r="BT303" s="61">
        <f t="shared" si="3"/>
        <v>9.3425605536332182E-2</v>
      </c>
      <c r="BU303" s="88" t="s">
        <v>2496</v>
      </c>
    </row>
    <row r="304" spans="64:73" x14ac:dyDescent="0.3">
      <c r="BP304" s="60">
        <v>7</v>
      </c>
      <c r="BQ304" s="60">
        <v>20000000</v>
      </c>
      <c r="BR304" s="60">
        <f t="shared" si="2"/>
        <v>30000000</v>
      </c>
      <c r="BS304" s="26">
        <v>25</v>
      </c>
      <c r="BT304" s="61">
        <f t="shared" si="3"/>
        <v>8.6505190311418678E-2</v>
      </c>
      <c r="BU304" s="88" t="s">
        <v>2497</v>
      </c>
    </row>
    <row r="305" spans="68:73" x14ac:dyDescent="0.3">
      <c r="BP305" s="60">
        <v>8</v>
      </c>
      <c r="BQ305" s="60">
        <v>30000000</v>
      </c>
      <c r="BR305" s="60">
        <f t="shared" si="2"/>
        <v>50000000</v>
      </c>
      <c r="BS305" s="26">
        <v>35</v>
      </c>
      <c r="BT305" s="61">
        <f t="shared" si="3"/>
        <v>0.12110726643598616</v>
      </c>
      <c r="BU305" s="88" t="s">
        <v>2498</v>
      </c>
    </row>
    <row r="306" spans="68:73" x14ac:dyDescent="0.3">
      <c r="BP306" s="60">
        <v>9</v>
      </c>
      <c r="BQ306" s="60">
        <v>50000000</v>
      </c>
      <c r="BR306" s="60">
        <f t="shared" si="2"/>
        <v>100000000</v>
      </c>
      <c r="BS306" s="26">
        <v>26</v>
      </c>
      <c r="BT306" s="61">
        <f t="shared" si="3"/>
        <v>8.9965397923875437E-2</v>
      </c>
      <c r="BU306" s="88" t="s">
        <v>2499</v>
      </c>
    </row>
    <row r="307" spans="68:73" x14ac:dyDescent="0.3">
      <c r="BP307" s="60">
        <v>10</v>
      </c>
      <c r="BQ307" s="60">
        <v>100000000</v>
      </c>
      <c r="BR307" s="60"/>
      <c r="BS307" s="26">
        <v>32</v>
      </c>
      <c r="BT307" s="61">
        <f t="shared" si="3"/>
        <v>0.11072664359861592</v>
      </c>
      <c r="BU307" s="88" t="s">
        <v>2500</v>
      </c>
    </row>
    <row r="309" spans="68:73" x14ac:dyDescent="0.3">
      <c r="BP309" t="s">
        <v>2421</v>
      </c>
    </row>
  </sheetData>
  <sortState xmlns:xlrd2="http://schemas.microsoft.com/office/spreadsheetml/2017/richdata2" ref="BL4:BQ292">
    <sortCondition ref="BQ4:BQ292"/>
    <sortCondition descending="1" ref="BL4:BL292"/>
    <sortCondition ref="BM4:BM292"/>
  </sortState>
  <phoneticPr fontId="18" type="noConversion"/>
  <hyperlinks>
    <hyperlink ref="Y1" r:id="rId1" xr:uid="{2B3515F6-7BA2-483C-A233-BA5CAF9E0B2D}"/>
    <hyperlink ref="AQ1" r:id="rId2" xr:uid="{E1717206-D9E6-4D54-AB8D-77810877B045}"/>
    <hyperlink ref="BI29" r:id="rId3" xr:uid="{CD8CF1D3-1E47-4C95-9A95-B6BCF06C2C8B}"/>
    <hyperlink ref="BI28" r:id="rId4" xr:uid="{C6CFA1B6-5376-4AD2-94D5-72E45FA9EA7A}"/>
  </hyperlinks>
  <pageMargins left="0.7" right="0.7" top="0.75" bottom="0.75" header="0.3" footer="0.3"/>
  <drawing r:id="rId5"/>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B66C-393F-481B-84C2-D7667AFF4C77}">
  <dimension ref="A2:E48"/>
  <sheetViews>
    <sheetView zoomScale="80" zoomScaleNormal="80" workbookViewId="0">
      <pane xSplit="2" ySplit="2" topLeftCell="C18" activePane="bottomRight" state="frozen"/>
      <selection pane="topRight" activeCell="C1" sqref="C1"/>
      <selection pane="bottomLeft" activeCell="A3" sqref="A3"/>
      <selection pane="bottomRight" activeCell="H21" sqref="H21"/>
    </sheetView>
  </sheetViews>
  <sheetFormatPr baseColWidth="10" defaultColWidth="10.88671875" defaultRowHeight="14.4" x14ac:dyDescent="0.3"/>
  <cols>
    <col min="1" max="1" width="10.88671875" style="72"/>
    <col min="2" max="2" width="33" style="72" customWidth="1"/>
    <col min="3" max="3" width="16.109375" style="77" customWidth="1"/>
    <col min="4" max="4" width="65.109375" style="74" customWidth="1"/>
    <col min="6" max="16384" width="10.88671875" style="72"/>
  </cols>
  <sheetData>
    <row r="2" spans="1:5" x14ac:dyDescent="0.3">
      <c r="B2" s="72" t="s">
        <v>2432</v>
      </c>
      <c r="C2" s="77" t="s">
        <v>2433</v>
      </c>
      <c r="D2" s="74" t="s">
        <v>1316</v>
      </c>
    </row>
    <row r="3" spans="1:5" ht="72" x14ac:dyDescent="0.3">
      <c r="A3" s="72">
        <v>1</v>
      </c>
      <c r="B3" s="73" t="s">
        <v>2431</v>
      </c>
      <c r="C3" s="78"/>
      <c r="D3" s="75" t="s">
        <v>2466</v>
      </c>
    </row>
    <row r="4" spans="1:5" ht="96" x14ac:dyDescent="0.3">
      <c r="A4" s="72">
        <v>2</v>
      </c>
      <c r="B4" s="73" t="s">
        <v>2448</v>
      </c>
      <c r="C4" s="78"/>
      <c r="D4" s="75" t="s">
        <v>2449</v>
      </c>
    </row>
    <row r="5" spans="1:5" ht="36" x14ac:dyDescent="0.3">
      <c r="A5" s="72">
        <v>3</v>
      </c>
      <c r="B5" s="73" t="s">
        <v>2434</v>
      </c>
      <c r="C5" s="78" t="s">
        <v>2435</v>
      </c>
      <c r="D5" s="75" t="s">
        <v>2438</v>
      </c>
    </row>
    <row r="6" spans="1:5" ht="123.6" customHeight="1" x14ac:dyDescent="0.3">
      <c r="A6" s="72">
        <v>4</v>
      </c>
      <c r="B6" s="73" t="s">
        <v>2485</v>
      </c>
      <c r="C6" s="78" t="s">
        <v>92</v>
      </c>
      <c r="D6" s="76" t="s">
        <v>2478</v>
      </c>
    </row>
    <row r="7" spans="1:5" ht="82.5" customHeight="1" x14ac:dyDescent="0.3">
      <c r="A7" s="72">
        <v>5</v>
      </c>
      <c r="B7" s="73" t="s">
        <v>2486</v>
      </c>
      <c r="C7" s="78" t="s">
        <v>155</v>
      </c>
      <c r="D7" s="75" t="s">
        <v>2441</v>
      </c>
    </row>
    <row r="8" spans="1:5" ht="92.4" customHeight="1" x14ac:dyDescent="0.3">
      <c r="A8" s="72">
        <v>6</v>
      </c>
      <c r="B8" s="73" t="s">
        <v>2487</v>
      </c>
      <c r="C8" s="78" t="s">
        <v>7</v>
      </c>
      <c r="D8" s="75" t="s">
        <v>2472</v>
      </c>
    </row>
    <row r="9" spans="1:5" ht="60" x14ac:dyDescent="0.3">
      <c r="A9" s="72">
        <v>7</v>
      </c>
      <c r="B9" s="73" t="s">
        <v>2488</v>
      </c>
      <c r="C9" s="78" t="s">
        <v>67</v>
      </c>
      <c r="D9" s="75" t="s">
        <v>2442</v>
      </c>
    </row>
    <row r="10" spans="1:5" ht="91.5" customHeight="1" x14ac:dyDescent="0.3">
      <c r="A10" s="72">
        <v>8</v>
      </c>
      <c r="B10" s="73" t="s">
        <v>2489</v>
      </c>
      <c r="C10" s="78" t="s">
        <v>283</v>
      </c>
      <c r="D10" s="75" t="s">
        <v>2453</v>
      </c>
      <c r="E10" s="72"/>
    </row>
    <row r="11" spans="1:5" ht="65.25" customHeight="1" x14ac:dyDescent="0.3">
      <c r="A11" s="72">
        <v>10</v>
      </c>
      <c r="B11" s="73" t="s">
        <v>351</v>
      </c>
      <c r="C11" s="78"/>
      <c r="D11" s="75" t="s">
        <v>2467</v>
      </c>
      <c r="E11" s="72"/>
    </row>
    <row r="12" spans="1:5" ht="60" x14ac:dyDescent="0.3">
      <c r="A12" s="72">
        <v>11</v>
      </c>
      <c r="B12" s="73" t="s">
        <v>329</v>
      </c>
      <c r="C12" s="78"/>
      <c r="D12" s="75" t="s">
        <v>2468</v>
      </c>
      <c r="E12" s="72"/>
    </row>
    <row r="13" spans="1:5" ht="75" customHeight="1" x14ac:dyDescent="0.3">
      <c r="A13" s="72">
        <v>12</v>
      </c>
      <c r="B13" s="73" t="s">
        <v>310</v>
      </c>
      <c r="C13" s="78"/>
      <c r="D13" s="75" t="s">
        <v>2469</v>
      </c>
      <c r="E13" s="72"/>
    </row>
    <row r="14" spans="1:5" ht="36" x14ac:dyDescent="0.3">
      <c r="A14" s="72">
        <v>13</v>
      </c>
      <c r="B14" s="73" t="s">
        <v>399</v>
      </c>
      <c r="C14" s="78"/>
      <c r="D14" s="75" t="s">
        <v>2471</v>
      </c>
      <c r="E14" s="72"/>
    </row>
    <row r="15" spans="1:5" ht="92.25" customHeight="1" x14ac:dyDescent="0.3">
      <c r="A15" s="72">
        <v>14</v>
      </c>
      <c r="B15" s="73" t="s">
        <v>2484</v>
      </c>
      <c r="C15" s="78"/>
      <c r="D15" s="75" t="s">
        <v>2470</v>
      </c>
      <c r="E15" s="72"/>
    </row>
    <row r="16" spans="1:5" ht="54" customHeight="1" x14ac:dyDescent="0.3">
      <c r="A16" s="72">
        <v>15</v>
      </c>
      <c r="B16" s="73" t="s">
        <v>95</v>
      </c>
      <c r="C16" s="78"/>
      <c r="D16" s="75" t="s">
        <v>2481</v>
      </c>
      <c r="E16" s="72"/>
    </row>
    <row r="17" spans="1:5" ht="54" customHeight="1" x14ac:dyDescent="0.3">
      <c r="A17" s="72">
        <v>16</v>
      </c>
      <c r="B17" s="73" t="s">
        <v>89</v>
      </c>
      <c r="C17" s="78"/>
      <c r="D17" s="75" t="s">
        <v>2454</v>
      </c>
      <c r="E17" s="72"/>
    </row>
    <row r="18" spans="1:5" ht="57" customHeight="1" x14ac:dyDescent="0.3">
      <c r="A18" s="72">
        <v>17</v>
      </c>
      <c r="B18" s="73" t="s">
        <v>194</v>
      </c>
      <c r="C18" s="78"/>
      <c r="D18" s="75" t="s">
        <v>2480</v>
      </c>
      <c r="E18" s="72"/>
    </row>
    <row r="19" spans="1:5" ht="60" customHeight="1" x14ac:dyDescent="0.3">
      <c r="A19" s="72">
        <v>18</v>
      </c>
      <c r="B19" s="82" t="s">
        <v>2437</v>
      </c>
      <c r="C19" s="83"/>
      <c r="D19" s="84" t="s">
        <v>2436</v>
      </c>
      <c r="E19" s="72"/>
    </row>
    <row r="20" spans="1:5" ht="48" x14ac:dyDescent="0.3">
      <c r="A20" s="72">
        <v>19</v>
      </c>
      <c r="B20" s="82" t="s">
        <v>30</v>
      </c>
      <c r="C20" s="83" t="s">
        <v>2444</v>
      </c>
      <c r="D20" s="84" t="s">
        <v>2445</v>
      </c>
      <c r="E20" s="72"/>
    </row>
    <row r="21" spans="1:5" ht="84" x14ac:dyDescent="0.3">
      <c r="A21" s="72">
        <v>20</v>
      </c>
      <c r="B21" s="82" t="s">
        <v>10</v>
      </c>
      <c r="C21" s="83"/>
      <c r="D21" s="84" t="s">
        <v>2451</v>
      </c>
      <c r="E21" s="72"/>
    </row>
    <row r="22" spans="1:5" ht="72" x14ac:dyDescent="0.3">
      <c r="A22" s="72">
        <v>21</v>
      </c>
      <c r="B22" s="82" t="s">
        <v>27</v>
      </c>
      <c r="C22" s="83" t="s">
        <v>2446</v>
      </c>
      <c r="D22" s="84" t="s">
        <v>2452</v>
      </c>
      <c r="E22" s="72"/>
    </row>
    <row r="23" spans="1:5" ht="54.6" customHeight="1" x14ac:dyDescent="0.3">
      <c r="A23" s="72">
        <v>22</v>
      </c>
      <c r="B23" s="82" t="s">
        <v>2482</v>
      </c>
      <c r="C23" s="83" t="s">
        <v>2447</v>
      </c>
      <c r="D23" s="84" t="s">
        <v>2483</v>
      </c>
      <c r="E23" s="72"/>
    </row>
    <row r="24" spans="1:5" ht="36" x14ac:dyDescent="0.3">
      <c r="A24" s="72">
        <v>23</v>
      </c>
      <c r="B24" s="73" t="s">
        <v>2479</v>
      </c>
      <c r="C24" s="78"/>
      <c r="D24" s="75" t="s">
        <v>2455</v>
      </c>
      <c r="E24" s="72"/>
    </row>
    <row r="25" spans="1:5" ht="60" x14ac:dyDescent="0.3">
      <c r="A25" s="72">
        <v>24</v>
      </c>
      <c r="B25" s="73" t="s">
        <v>2440</v>
      </c>
      <c r="C25" s="78" t="s">
        <v>2439</v>
      </c>
      <c r="D25" s="75" t="s">
        <v>2465</v>
      </c>
      <c r="E25" s="72"/>
    </row>
    <row r="26" spans="1:5" ht="52.5" customHeight="1" x14ac:dyDescent="0.3">
      <c r="A26" s="72">
        <v>25</v>
      </c>
      <c r="B26" s="73" t="s">
        <v>2490</v>
      </c>
      <c r="C26" s="78"/>
      <c r="D26" s="75" t="s">
        <v>2443</v>
      </c>
      <c r="E26" s="72"/>
    </row>
    <row r="27" spans="1:5" ht="13.8" x14ac:dyDescent="0.3">
      <c r="A27" s="72">
        <v>26</v>
      </c>
      <c r="B27" s="73" t="str">
        <f>fuentes!B2</f>
        <v>Año de protocolo</v>
      </c>
      <c r="D27" s="75" t="str">
        <f>fuentes!C2</f>
        <v>Año en que se realizó la evaluación.</v>
      </c>
      <c r="E27" s="72"/>
    </row>
    <row r="28" spans="1:5" ht="13.8" x14ac:dyDescent="0.3">
      <c r="A28" s="72">
        <v>27</v>
      </c>
      <c r="B28" s="73" t="str">
        <f>fuentes!B3</f>
        <v>Programa / Institución</v>
      </c>
      <c r="D28" s="75" t="str">
        <f>fuentes!C3</f>
        <v>Programa o Institución evaluado(a).</v>
      </c>
      <c r="E28" s="72"/>
    </row>
    <row r="29" spans="1:5" ht="13.8" x14ac:dyDescent="0.3">
      <c r="A29" s="72">
        <v>28</v>
      </c>
      <c r="B29" s="73" t="str">
        <f>fuentes!B10</f>
        <v>Ministerio</v>
      </c>
      <c r="D29" s="75" t="str">
        <f>fuentes!C10</f>
        <v>Ministerio responsable del programa evaluado.</v>
      </c>
      <c r="E29" s="72"/>
    </row>
    <row r="30" spans="1:5" ht="13.8" x14ac:dyDescent="0.3">
      <c r="A30" s="72">
        <v>29</v>
      </c>
      <c r="B30" s="73" t="str">
        <f>fuentes!B11</f>
        <v>Servicio público</v>
      </c>
      <c r="D30" s="75" t="str">
        <f>fuentes!C11</f>
        <v>Unidad administrativa responsable del programa evaluado.</v>
      </c>
      <c r="E30" s="72"/>
    </row>
    <row r="31" spans="1:5" ht="13.8" x14ac:dyDescent="0.3">
      <c r="A31" s="72">
        <v>30</v>
      </c>
      <c r="B31" s="73" t="str">
        <f>fuentes!B13</f>
        <v>Está Vigente</v>
      </c>
      <c r="D31" s="75" t="str">
        <f>fuentes!C13</f>
        <v>Indica si el programa está vigente al año 2020.</v>
      </c>
      <c r="E31" s="72"/>
    </row>
    <row r="32" spans="1:5" ht="13.8" x14ac:dyDescent="0.3">
      <c r="A32" s="72">
        <v>31</v>
      </c>
      <c r="B32" s="73" t="str">
        <f>fuentes!B14</f>
        <v>Fecha inicio</v>
      </c>
      <c r="D32" s="75" t="str">
        <f>fuentes!C14</f>
        <v>Fecha en que se inició el programa.</v>
      </c>
      <c r="E32" s="72"/>
    </row>
    <row r="33" spans="1:5" ht="13.8" x14ac:dyDescent="0.3">
      <c r="A33" s="72">
        <v>32</v>
      </c>
      <c r="B33" s="73" t="str">
        <f>fuentes!B15</f>
        <v>Fecha fin</v>
      </c>
      <c r="D33" s="75" t="str">
        <f>fuentes!C15</f>
        <v>Fecha en que se finalizó el programa.</v>
      </c>
      <c r="E33" s="72"/>
    </row>
    <row r="36" spans="1:5" ht="24" x14ac:dyDescent="0.3">
      <c r="A36" s="74" t="s">
        <v>1315</v>
      </c>
      <c r="B36" s="75" t="s">
        <v>2477</v>
      </c>
      <c r="C36" s="79" t="s">
        <v>2450</v>
      </c>
      <c r="E36" s="72"/>
    </row>
    <row r="37" spans="1:5" ht="72" x14ac:dyDescent="0.25">
      <c r="A37" s="74" t="s">
        <v>1315</v>
      </c>
      <c r="B37" s="75" t="s">
        <v>2473</v>
      </c>
      <c r="C37" s="80" t="s">
        <v>2474</v>
      </c>
      <c r="E37" s="72"/>
    </row>
    <row r="38" spans="1:5" ht="36" x14ac:dyDescent="0.3">
      <c r="A38" s="74" t="s">
        <v>1315</v>
      </c>
      <c r="B38" s="75" t="s">
        <v>2475</v>
      </c>
      <c r="C38" s="81" t="s">
        <v>2476</v>
      </c>
      <c r="E38" s="72"/>
    </row>
    <row r="39" spans="1:5" ht="13.8" x14ac:dyDescent="0.3">
      <c r="C39" s="74"/>
      <c r="D39" s="72"/>
      <c r="E39" s="72"/>
    </row>
    <row r="40" spans="1:5" ht="13.8" x14ac:dyDescent="0.3">
      <c r="E40" s="72"/>
    </row>
    <row r="41" spans="1:5" ht="13.8" x14ac:dyDescent="0.3">
      <c r="E41" s="72"/>
    </row>
    <row r="42" spans="1:5" ht="13.8" x14ac:dyDescent="0.3">
      <c r="E42" s="72"/>
    </row>
    <row r="43" spans="1:5" ht="13.8" x14ac:dyDescent="0.3">
      <c r="E43" s="72"/>
    </row>
    <row r="44" spans="1:5" ht="13.8" x14ac:dyDescent="0.3">
      <c r="E44" s="72"/>
    </row>
    <row r="45" spans="1:5" ht="13.8" x14ac:dyDescent="0.3">
      <c r="E45" s="72"/>
    </row>
    <row r="46" spans="1:5" ht="13.8" x14ac:dyDescent="0.3">
      <c r="E46" s="72"/>
    </row>
    <row r="47" spans="1:5" ht="13.8" x14ac:dyDescent="0.3">
      <c r="E47" s="72"/>
    </row>
    <row r="48" spans="1:5" ht="13.8" x14ac:dyDescent="0.3">
      <c r="E48" s="72"/>
    </row>
  </sheetData>
  <sortState xmlns:xlrd2="http://schemas.microsoft.com/office/spreadsheetml/2017/richdata2" ref="F2:F631">
    <sortCondition ref="F2:F631"/>
  </sortState>
  <hyperlinks>
    <hyperlink ref="C36" r:id="rId1" xr:uid="{1E00F006-A446-40B1-B047-BB102E77F605}"/>
    <hyperlink ref="C37" r:id="rId2" xr:uid="{E1C51796-3DE5-4850-88EB-CF90BAD0EBFF}"/>
    <hyperlink ref="C38" r:id="rId3" xr:uid="{8D2DD88A-3E25-4D1B-9458-D910D66FE8EE}"/>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dataeval</vt:lpstr>
      <vt:lpstr>Notas reunion</vt:lpstr>
      <vt:lpstr>fuentes</vt:lpstr>
      <vt:lpstr>Deflactor</vt:lpstr>
      <vt:lpstr>Glosario</vt:lpstr>
      <vt:lpstr>fuentes!Área_de_extracción</vt:lpstr>
      <vt:lpstr>Glosario!Área_de_extracción</vt:lpstr>
      <vt:lpstr>Categorias_de_Presupuesto</vt:lpstr>
      <vt:lpstr>fuentes!Criterios</vt:lpstr>
      <vt:lpstr>Glosario!Criterios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user</cp:lastModifiedBy>
  <dcterms:created xsi:type="dcterms:W3CDTF">2020-09-08T01:42:51Z</dcterms:created>
  <dcterms:modified xsi:type="dcterms:W3CDTF">2021-08-21T14:36:04Z</dcterms:modified>
</cp:coreProperties>
</file>