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323" documentId="8_{CBEA9D6E-EB23-4661-9D82-50DA50A621CC}" xr6:coauthVersionLast="45" xr6:coauthVersionMax="45" xr10:uidLastSave="{B3E32412-69C6-4283-8B74-170B59633ECD}"/>
  <bookViews>
    <workbookView xWindow="-120" yWindow="-120" windowWidth="20730" windowHeight="11160" tabRatio="500" activeTab="1"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dataeval!$A$1:$AT$622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6" i="5" l="1"/>
  <c r="T34" i="5"/>
  <c r="T33" i="5"/>
  <c r="T32" i="5"/>
  <c r="T31" i="5"/>
  <c r="T30" i="5"/>
  <c r="T27" i="5" l="1"/>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l="1"/>
  <c r="AR98" i="1"/>
  <c r="AR108" i="1"/>
  <c r="AR110" i="1"/>
  <c r="AR123" i="1"/>
  <c r="AR152" i="1" l="1"/>
  <c r="AR153" i="1"/>
  <c r="J223" i="1" l="1"/>
  <c r="AR223" i="1"/>
  <c r="AR228" i="1"/>
  <c r="AR280" i="1" l="1"/>
  <c r="AR289" i="1"/>
  <c r="AR300" i="1" l="1"/>
  <c r="AR10" i="1" l="1"/>
  <c r="AR62" i="1"/>
  <c r="AR88" i="1"/>
  <c r="AR63" i="1" l="1"/>
  <c r="AR264" i="1" l="1"/>
  <c r="AT264" i="1"/>
  <c r="AR302" i="1"/>
  <c r="AT309" i="1"/>
  <c r="AT308" i="1"/>
  <c r="AT307" i="1"/>
  <c r="AT306" i="1"/>
  <c r="AT305" i="1"/>
  <c r="AT304" i="1"/>
  <c r="AT303" i="1"/>
  <c r="AT302" i="1"/>
  <c r="AT301" i="1"/>
  <c r="AT300" i="1"/>
  <c r="AT299" i="1"/>
  <c r="AT298" i="1"/>
  <c r="AT297" i="1"/>
  <c r="AT296" i="1"/>
  <c r="AT295" i="1"/>
  <c r="AT294" i="1"/>
  <c r="AT293" i="1"/>
  <c r="AT292" i="1"/>
  <c r="AT291" i="1"/>
  <c r="AT290" i="1"/>
  <c r="AT289" i="1"/>
  <c r="AT288" i="1"/>
  <c r="AT287" i="1"/>
  <c r="AT286" i="1"/>
  <c r="AT285" i="1"/>
  <c r="AT284" i="1"/>
  <c r="AT283" i="1"/>
  <c r="AT282" i="1"/>
  <c r="AT281" i="1"/>
  <c r="AT280" i="1"/>
  <c r="AT279" i="1"/>
  <c r="AT278" i="1"/>
  <c r="AT277" i="1"/>
  <c r="AT276" i="1"/>
  <c r="AT275" i="1"/>
  <c r="AT274" i="1"/>
  <c r="AT273" i="1"/>
  <c r="AT272" i="1"/>
  <c r="AT271" i="1"/>
  <c r="AT270" i="1"/>
  <c r="AT269" i="1"/>
  <c r="AT268" i="1"/>
  <c r="AT267" i="1"/>
  <c r="AT266" i="1"/>
  <c r="AT265" i="1"/>
  <c r="AT263" i="1"/>
  <c r="AT262" i="1"/>
  <c r="AT261" i="1"/>
  <c r="AT260" i="1"/>
  <c r="AT259" i="1"/>
  <c r="AT258" i="1"/>
  <c r="AT257" i="1"/>
  <c r="AT256" i="1"/>
  <c r="AT255" i="1"/>
  <c r="AT254" i="1"/>
  <c r="AT253" i="1"/>
  <c r="AT252" i="1"/>
  <c r="AT251" i="1"/>
  <c r="AT250" i="1"/>
  <c r="AT249" i="1"/>
  <c r="AT248" i="1"/>
  <c r="AT247" i="1"/>
  <c r="AT246" i="1"/>
  <c r="AT245" i="1"/>
  <c r="AT244" i="1"/>
  <c r="AT243" i="1"/>
  <c r="AT242" i="1"/>
  <c r="AT241" i="1"/>
  <c r="AT240" i="1"/>
  <c r="AT239" i="1"/>
  <c r="AT238" i="1"/>
  <c r="AT237" i="1"/>
  <c r="AT236" i="1"/>
  <c r="AT235" i="1"/>
  <c r="AT234" i="1"/>
  <c r="AT233" i="1"/>
  <c r="AT232" i="1"/>
  <c r="AT231" i="1"/>
  <c r="AT230" i="1"/>
  <c r="AT229" i="1"/>
  <c r="AT228" i="1"/>
  <c r="AT227" i="1"/>
  <c r="AT226" i="1"/>
  <c r="AT225" i="1"/>
  <c r="AT224" i="1"/>
  <c r="AT223" i="1"/>
  <c r="AT222" i="1"/>
  <c r="AT221" i="1"/>
  <c r="AT220" i="1"/>
  <c r="AT219" i="1"/>
  <c r="AT218" i="1"/>
  <c r="AT217" i="1"/>
  <c r="AT216" i="1"/>
  <c r="AT215" i="1"/>
  <c r="AT214" i="1"/>
  <c r="AT213" i="1"/>
  <c r="AT212" i="1"/>
  <c r="AT211" i="1"/>
  <c r="AT210" i="1"/>
  <c r="AT209" i="1"/>
  <c r="AT208" i="1"/>
  <c r="AT207" i="1"/>
  <c r="AT206" i="1"/>
  <c r="AT205" i="1"/>
  <c r="AT204" i="1"/>
  <c r="AT203" i="1"/>
  <c r="AT202" i="1"/>
  <c r="AT201" i="1"/>
  <c r="AT200" i="1"/>
  <c r="AT199" i="1"/>
  <c r="AT198" i="1"/>
  <c r="AT197" i="1"/>
  <c r="AT196" i="1"/>
  <c r="AT195" i="1"/>
  <c r="AT194" i="1"/>
  <c r="AT193" i="1"/>
  <c r="AT192" i="1"/>
  <c r="AT191" i="1"/>
  <c r="AT190" i="1"/>
  <c r="AT189" i="1"/>
  <c r="AT188" i="1"/>
  <c r="AT187" i="1"/>
  <c r="AT186" i="1"/>
  <c r="AT185" i="1"/>
  <c r="AT184" i="1"/>
  <c r="AT183" i="1"/>
  <c r="AT182" i="1"/>
  <c r="AT181" i="1"/>
  <c r="AT180" i="1"/>
  <c r="AT179" i="1"/>
  <c r="AT178" i="1"/>
  <c r="AT177" i="1"/>
  <c r="AT176" i="1"/>
  <c r="AT175" i="1"/>
  <c r="AT174" i="1"/>
  <c r="AT173" i="1"/>
  <c r="AT172" i="1"/>
  <c r="AT171" i="1"/>
  <c r="AT170" i="1"/>
  <c r="AT169" i="1"/>
  <c r="AT168" i="1"/>
  <c r="AT167" i="1"/>
  <c r="AT166" i="1"/>
  <c r="AT165" i="1"/>
  <c r="AT164" i="1"/>
  <c r="AT163" i="1"/>
  <c r="AT162" i="1"/>
  <c r="AT161" i="1"/>
  <c r="AT160" i="1"/>
  <c r="AT159" i="1"/>
  <c r="AT158" i="1"/>
  <c r="AT157" i="1"/>
  <c r="AT156" i="1"/>
  <c r="AT155" i="1"/>
  <c r="AT154" i="1"/>
  <c r="AT153" i="1"/>
  <c r="AT152" i="1"/>
  <c r="AT151" i="1"/>
  <c r="AT150" i="1"/>
  <c r="AT149" i="1"/>
  <c r="AT148" i="1"/>
  <c r="AT147" i="1"/>
  <c r="AT146" i="1"/>
  <c r="AT145" i="1"/>
  <c r="AT144" i="1"/>
  <c r="AT143" i="1"/>
  <c r="AT142" i="1"/>
  <c r="AT141" i="1"/>
  <c r="AT140" i="1"/>
  <c r="AT139" i="1"/>
  <c r="AT138" i="1"/>
  <c r="AT137" i="1"/>
  <c r="AT136" i="1"/>
  <c r="AT135" i="1"/>
  <c r="AT134" i="1"/>
  <c r="AT133" i="1"/>
  <c r="AT132" i="1"/>
  <c r="AT131" i="1"/>
  <c r="AT130" i="1"/>
  <c r="AT129" i="1"/>
  <c r="AT128" i="1"/>
  <c r="AT127" i="1"/>
  <c r="AT126" i="1"/>
  <c r="AT125" i="1"/>
  <c r="AT124" i="1"/>
  <c r="AT123" i="1"/>
  <c r="AT122" i="1"/>
  <c r="AT121" i="1"/>
  <c r="AT120" i="1"/>
  <c r="AT119" i="1"/>
  <c r="AT118" i="1"/>
  <c r="AT117"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T2" i="1"/>
  <c r="AR3" i="1" l="1"/>
  <c r="AR5" i="1"/>
  <c r="AR6" i="1"/>
  <c r="AR7" i="1"/>
  <c r="AR8" i="1"/>
  <c r="AR11" i="1"/>
  <c r="AR12" i="1"/>
  <c r="AR13" i="1"/>
  <c r="AR15" i="1"/>
  <c r="AR16" i="1"/>
  <c r="AR17" i="1"/>
  <c r="AR18" i="1"/>
  <c r="AR20" i="1" l="1"/>
  <c r="AR21" i="1"/>
  <c r="AR19" i="1"/>
  <c r="AR22" i="1"/>
  <c r="AR23" i="1"/>
  <c r="AR24" i="1"/>
  <c r="AR25" i="1"/>
  <c r="AR26" i="1"/>
  <c r="AR28" i="1"/>
  <c r="AR29" i="1"/>
  <c r="AR30" i="1"/>
  <c r="AR31" i="1"/>
  <c r="AR33" i="1" l="1"/>
  <c r="AR34" i="1"/>
  <c r="AR35" i="1" l="1"/>
  <c r="AR41" i="1"/>
  <c r="AR42" i="1"/>
  <c r="AR43" i="1"/>
  <c r="AR44" i="1"/>
  <c r="AR45" i="1"/>
  <c r="AR49" i="1"/>
  <c r="AR50" i="1"/>
  <c r="AR48" i="1"/>
  <c r="AR51" i="1"/>
  <c r="AR53" i="1"/>
  <c r="AR55" i="1"/>
  <c r="AR54" i="1"/>
  <c r="AR56" i="1"/>
  <c r="AR58" i="1" l="1"/>
  <c r="AR59" i="1"/>
  <c r="AR60" i="1"/>
  <c r="AR61" i="1"/>
  <c r="AR57" i="1"/>
  <c r="AR262" i="1"/>
  <c r="AR65" i="1"/>
  <c r="AR66" i="1"/>
  <c r="AR67" i="1"/>
  <c r="AR68" i="1"/>
  <c r="AR69" i="1"/>
  <c r="AR70" i="1"/>
  <c r="AR71" i="1"/>
  <c r="AR72" i="1"/>
  <c r="AR76" i="1"/>
  <c r="AR77" i="1"/>
  <c r="AR78" i="1"/>
  <c r="AR79" i="1"/>
  <c r="AR80" i="1"/>
  <c r="AR83" i="1" l="1"/>
  <c r="AR82" i="1"/>
  <c r="AR85" i="1"/>
  <c r="AR86" i="1"/>
  <c r="AR87" i="1"/>
  <c r="AR89" i="1"/>
  <c r="AR90" i="1"/>
  <c r="AR93" i="1"/>
  <c r="AR94" i="1"/>
  <c r="AR99" i="1"/>
  <c r="AR100" i="1"/>
  <c r="AR101" i="1"/>
  <c r="AR102" i="1"/>
  <c r="AR103" i="1"/>
  <c r="AR104" i="1"/>
  <c r="AR106" i="1"/>
  <c r="AR105" i="1"/>
  <c r="AR107" i="1"/>
  <c r="AR109" i="1" l="1"/>
  <c r="AR111" i="1"/>
  <c r="AR112" i="1"/>
  <c r="AR113" i="1"/>
  <c r="AR114" i="1"/>
  <c r="AR115" i="1"/>
  <c r="AR116" i="1"/>
  <c r="AR117" i="1"/>
  <c r="AR118" i="1"/>
  <c r="AR119" i="1"/>
  <c r="AR120" i="1"/>
  <c r="AR121" i="1"/>
  <c r="AR122" i="1"/>
  <c r="AR124" i="1"/>
  <c r="AS124" i="1"/>
  <c r="AR126" i="1" l="1"/>
  <c r="AR127" i="1"/>
  <c r="AR128" i="1"/>
  <c r="AR129" i="1"/>
  <c r="AR130" i="1"/>
  <c r="AR131" i="1"/>
  <c r="AR132" i="1"/>
  <c r="AR133" i="1"/>
  <c r="AR134" i="1"/>
  <c r="AR135" i="1"/>
  <c r="AR136" i="1"/>
  <c r="AR138" i="1"/>
  <c r="AR139" i="1"/>
  <c r="AR141" i="1"/>
  <c r="AR142" i="1"/>
  <c r="AR143" i="1"/>
  <c r="AR145" i="1"/>
  <c r="AR146" i="1"/>
  <c r="AR147" i="1"/>
  <c r="AR148" i="1"/>
  <c r="AR149" i="1"/>
  <c r="AR150" i="1"/>
  <c r="AR151" i="1" l="1"/>
  <c r="AR155" i="1"/>
  <c r="AR156" i="1"/>
  <c r="AR157" i="1"/>
  <c r="AR159" i="1"/>
  <c r="AR160" i="1"/>
  <c r="AR164" i="1"/>
  <c r="AR166" i="1"/>
  <c r="AR167" i="1"/>
  <c r="AR168" i="1"/>
  <c r="AR169" i="1"/>
  <c r="AR170" i="1"/>
  <c r="AR171" i="1"/>
  <c r="AR172" i="1"/>
  <c r="AR173" i="1"/>
  <c r="AR174" i="1" l="1"/>
  <c r="AR175" i="1" l="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l="1"/>
  <c r="AR205" i="1"/>
  <c r="AR208" i="1"/>
  <c r="AR209" i="1"/>
  <c r="AR207" i="1"/>
  <c r="AR210" i="1"/>
  <c r="AR211" i="1"/>
  <c r="AR212" i="1"/>
  <c r="AR213" i="1"/>
  <c r="AR214" i="1"/>
  <c r="AR215" i="1"/>
  <c r="AR216" i="1"/>
  <c r="AR217" i="1"/>
  <c r="AR218" i="1"/>
  <c r="AR222" i="1"/>
  <c r="AR221" i="1"/>
  <c r="AR220" i="1"/>
  <c r="AR219" i="1"/>
  <c r="AR224" i="1" l="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l="1"/>
  <c r="AR255" i="1"/>
  <c r="AR256" i="1"/>
  <c r="AR257" i="1" l="1"/>
  <c r="AR261" i="1" l="1"/>
  <c r="AR265" i="1"/>
  <c r="AR266" i="1"/>
  <c r="AR267" i="1"/>
  <c r="AR268" i="1"/>
  <c r="AR269" i="1"/>
  <c r="AR270" i="1"/>
  <c r="AR271" i="1"/>
  <c r="AR272" i="1"/>
  <c r="AR273" i="1"/>
  <c r="AR274" i="1"/>
  <c r="AR275" i="1"/>
  <c r="AR276" i="1"/>
  <c r="AR279" i="1"/>
  <c r="AR278" i="1"/>
  <c r="AR277" i="1"/>
  <c r="AR293" i="1"/>
  <c r="AR281" i="1" l="1"/>
  <c r="AR282" i="1"/>
  <c r="AR283" i="1"/>
  <c r="AR284" i="1"/>
  <c r="AR287" i="1"/>
  <c r="AR290" i="1"/>
  <c r="AR291" i="1"/>
  <c r="AR292" i="1"/>
  <c r="AR295" i="1"/>
  <c r="AR294" i="1"/>
  <c r="AR296" i="1"/>
  <c r="AR299" i="1"/>
  <c r="AR301" i="1"/>
  <c r="AR303" i="1" l="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<sst xmlns="http://schemas.openxmlformats.org/spreadsheetml/2006/main" count="5979" uniqueCount="2391">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</sst>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53">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3" fontId="0" fillId="0" borderId="0" xfId="43" applyNumberFormat="1" applyFont="1" applyAlignment="1"/>
    <xf numFmtId="0" fontId="0" fillId="0" borderId="0" xfId="0" applyNumberFormat="1" applyFill="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58" Type="http://schemas.openxmlformats.org/officeDocument/2006/relationships/printerSettings" Target="../printerSettings/printerSettings1.bin"/><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hyperlink" Target="https://www.dipres.gob.cl/597/articles-177369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256" Type="http://schemas.openxmlformats.org/officeDocument/2006/relationships/hyperlink" Target="https://www.dipres.gob.cl/597/articles-177369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26" Type="http://schemas.openxmlformats.org/officeDocument/2006/relationships/hyperlink" Target="https://programassociales.ministeriodesarrollosocial.gob.cl/pdf/2020/PRG2020_3_59244.pdf" TargetMode="External"/><Relationship Id="rId39" Type="http://schemas.openxmlformats.org/officeDocument/2006/relationships/hyperlink" Target="http://www.doh.cl/Gestion/Paginas/default.aspx" TargetMode="External"/><Relationship Id="rId21" Type="http://schemas.openxmlformats.org/officeDocument/2006/relationships/hyperlink" Target="https://programassociales.ministeriodesarrollosocial.gob.cl/" TargetMode="External"/><Relationship Id="rId34" Type="http://schemas.openxmlformats.org/officeDocument/2006/relationships/hyperlink" Target="https://programassociales.ministeriodesarrollosocial.gob.cl/pdf/2018/PRG2018_3_60237.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0" Type="http://schemas.openxmlformats.org/officeDocument/2006/relationships/hyperlink" Target="https://programassociales.ministeriodesarrollosocial.gob.cl/pdf/2020/PRG2020_3_59464.pdf" TargetMode="External"/><Relationship Id="rId29" Type="http://schemas.openxmlformats.org/officeDocument/2006/relationships/hyperlink" Target="https://programassociales.ministeriodesarrollosocial.gob.cl/" TargetMode="External"/><Relationship Id="rId41" Type="http://schemas.openxmlformats.org/officeDocument/2006/relationships/hyperlink" Target="https://programassociales.ministeriodesarrollosocial.gob.c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31" Type="http://schemas.openxmlformats.org/officeDocument/2006/relationships/hyperlink" Target="https://programassociales.ministeriodesarrollosocial.gob.cl/pdf/2020/PRG2020_3_59470.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T622"/>
  <sheetViews>
    <sheetView zoomScaleNormal="100" workbookViewId="0">
      <pane xSplit="2" ySplit="1" topLeftCell="AR4" activePane="bottomRight" state="frozen"/>
      <selection pane="topRight" activeCell="C1" sqref="C1"/>
      <selection pane="bottomLeft" activeCell="A2" sqref="A2"/>
      <selection pane="bottomRight" activeCell="AS4" sqref="AS4"/>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43" bestFit="1" customWidth="1"/>
    <col min="46" max="46" width="14.7109375" bestFit="1" customWidth="1"/>
  </cols>
  <sheetData>
    <row r="1" spans="1:46"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2372</v>
      </c>
      <c r="AS1" s="45" t="s">
        <v>2373</v>
      </c>
      <c r="AT1" s="7" t="s">
        <v>2375</v>
      </c>
    </row>
    <row r="2" spans="1:46" s="33" customFormat="1" hidden="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36">
        <f xml:space="preserve"> 66837203 * 1000</f>
        <v>66837203000</v>
      </c>
      <c r="AS2" s="46"/>
      <c r="AT2" s="49">
        <f>J2 / AR2</f>
        <v>1.4943773155797677</v>
      </c>
    </row>
    <row r="3" spans="1:46" s="33" customFormat="1" hidden="1" x14ac:dyDescent="0.25">
      <c r="A3" s="30">
        <v>2020</v>
      </c>
      <c r="B3" s="30" t="s">
        <v>1297</v>
      </c>
      <c r="C3" s="30" t="s">
        <v>7</v>
      </c>
      <c r="D3" s="30" t="s">
        <v>12</v>
      </c>
      <c r="E3" s="30" t="s">
        <v>13</v>
      </c>
      <c r="F3" s="30" t="s">
        <v>27</v>
      </c>
      <c r="G3" s="30" t="s">
        <v>723</v>
      </c>
      <c r="H3" s="30">
        <v>1993</v>
      </c>
      <c r="I3" s="30"/>
      <c r="J3" s="31">
        <f xml:space="preserve">  46695 * 1000000</f>
        <v>46695000000</v>
      </c>
      <c r="K3" s="30" t="s">
        <v>2311</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6"/>
      <c r="AT3" s="33">
        <f t="shared" ref="AT3:AT66" si="0">J3 / AR3</f>
        <v>1.025613317093083</v>
      </c>
    </row>
    <row r="4" spans="1:46" s="33" customFormat="1" x14ac:dyDescent="0.2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36" t="s">
        <v>2370</v>
      </c>
      <c r="AS4" s="46"/>
      <c r="AT4" s="33" t="e">
        <f t="shared" si="0"/>
        <v>#VALUE!</v>
      </c>
    </row>
    <row r="5" spans="1:46" s="33" customFormat="1" hidden="1" x14ac:dyDescent="0.2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6"/>
      <c r="AT5" s="33">
        <f t="shared" si="0"/>
        <v>1.6631221353440546</v>
      </c>
    </row>
    <row r="6" spans="1:46" hidden="1" x14ac:dyDescent="0.2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36">
        <f xml:space="preserve"> 505952 * 1000</f>
        <v>505952000</v>
      </c>
      <c r="AT6">
        <f t="shared" si="0"/>
        <v>40.456227072923916</v>
      </c>
    </row>
    <row r="7" spans="1:46" hidden="1"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c r="AT7">
        <f t="shared" si="0"/>
        <v>1.0221087242285576</v>
      </c>
    </row>
    <row r="8" spans="1:46" s="33" customFormat="1" hidden="1" x14ac:dyDescent="0.25">
      <c r="A8" s="30">
        <v>2020</v>
      </c>
      <c r="B8" s="30" t="s">
        <v>1303</v>
      </c>
      <c r="C8" s="30" t="s">
        <v>7</v>
      </c>
      <c r="D8" s="30" t="s">
        <v>36</v>
      </c>
      <c r="E8" s="30" t="s">
        <v>81</v>
      </c>
      <c r="F8" s="30" t="s">
        <v>10</v>
      </c>
      <c r="G8" s="30" t="s">
        <v>723</v>
      </c>
      <c r="H8" s="30">
        <v>1996</v>
      </c>
      <c r="I8" s="30"/>
      <c r="J8" s="31">
        <f xml:space="preserve"> 11541 * 1000000</f>
        <v>11541000000</v>
      </c>
      <c r="K8" s="3" t="s">
        <v>2297</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6"/>
      <c r="AT8" s="33">
        <f t="shared" si="0"/>
        <v>1.0118412872451799</v>
      </c>
    </row>
    <row r="9" spans="1:46" s="33" customFormat="1" x14ac:dyDescent="0.2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36" t="s">
        <v>2370</v>
      </c>
      <c r="AS9" s="46"/>
      <c r="AT9" s="33" t="e">
        <f t="shared" si="0"/>
        <v>#VALUE!</v>
      </c>
    </row>
    <row r="10" spans="1:46" s="33" customFormat="1" hidden="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36">
        <f xml:space="preserve"> (340757129 + 13792128) * 1000</f>
        <v>354549257000</v>
      </c>
      <c r="AS10" s="46"/>
      <c r="AT10" s="33">
        <f t="shared" si="0"/>
        <v>0.94402397802796689</v>
      </c>
    </row>
    <row r="11" spans="1:46" s="33" customFormat="1" hidden="1" x14ac:dyDescent="0.25">
      <c r="A11" s="30">
        <v>2020</v>
      </c>
      <c r="B11" s="30" t="s">
        <v>390</v>
      </c>
      <c r="C11" s="30" t="s">
        <v>7</v>
      </c>
      <c r="D11" s="30" t="s">
        <v>17</v>
      </c>
      <c r="E11" s="30" t="s">
        <v>18</v>
      </c>
      <c r="F11" s="30" t="s">
        <v>10</v>
      </c>
      <c r="G11" s="30" t="s">
        <v>723</v>
      </c>
      <c r="H11" s="30">
        <v>1992</v>
      </c>
      <c r="I11" s="30"/>
      <c r="J11" s="31">
        <f xml:space="preserve"> 16035 * 1000000</f>
        <v>16035000000</v>
      </c>
      <c r="K11" s="30" t="s">
        <v>2279</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6"/>
      <c r="AT11" s="33">
        <f t="shared" si="0"/>
        <v>1.0460596332926564</v>
      </c>
    </row>
    <row r="12" spans="1:46" s="33" customFormat="1" hidden="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6"/>
      <c r="AT12" s="33">
        <f t="shared" si="0"/>
        <v>1.0805462681421234</v>
      </c>
    </row>
    <row r="13" spans="1:46" s="33" customFormat="1" hidden="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6">
        <f xml:space="preserve"> 24562966 * 1000</f>
        <v>24562966000</v>
      </c>
      <c r="AS13" s="46"/>
      <c r="AT13" s="33">
        <f t="shared" si="0"/>
        <v>3.0426700098025621</v>
      </c>
    </row>
    <row r="14" spans="1:46" s="33" customFormat="1" x14ac:dyDescent="0.2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36" t="s">
        <v>2370</v>
      </c>
      <c r="AS14" s="46"/>
      <c r="AT14" s="33" t="e">
        <f t="shared" si="0"/>
        <v>#VALUE!</v>
      </c>
    </row>
    <row r="15" spans="1:46" s="33" customFormat="1" hidden="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2280</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6"/>
      <c r="AT15" s="33">
        <f t="shared" si="0"/>
        <v>1.0000896514659199</v>
      </c>
    </row>
    <row r="16" spans="1:46" s="33" customFormat="1" hidden="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36">
        <f xml:space="preserve"> 10064158 * 1000</f>
        <v>10064158000</v>
      </c>
      <c r="AS16" s="46"/>
      <c r="AT16" s="33">
        <f t="shared" si="0"/>
        <v>1.0875226720407212</v>
      </c>
    </row>
    <row r="17" spans="1:46" s="33" customFormat="1" hidden="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6"/>
      <c r="AT17" s="33">
        <f t="shared" si="0"/>
        <v>0.99999978090319319</v>
      </c>
    </row>
    <row r="18" spans="1:46" s="33" customFormat="1" hidden="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2282</v>
      </c>
      <c r="L18" s="30" t="s">
        <v>2281</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6"/>
      <c r="AT18" s="33">
        <f t="shared" si="0"/>
        <v>1.3531285119552079</v>
      </c>
    </row>
    <row r="19" spans="1:46" s="33" customFormat="1" hidden="1" x14ac:dyDescent="0.25">
      <c r="A19" s="30">
        <v>2019</v>
      </c>
      <c r="B19" s="30" t="s">
        <v>6</v>
      </c>
      <c r="C19" s="30" t="s">
        <v>7</v>
      </c>
      <c r="D19" s="30" t="s">
        <v>8</v>
      </c>
      <c r="E19" s="30" t="s">
        <v>9</v>
      </c>
      <c r="F19" s="30" t="s">
        <v>10</v>
      </c>
      <c r="G19" s="30" t="s">
        <v>723</v>
      </c>
      <c r="H19" s="39">
        <v>1985</v>
      </c>
      <c r="I19" s="40"/>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36">
        <f t="shared" ref="AR19:AR21" si="1" xml:space="preserve"> 1163741 * 1000</f>
        <v>1163741000</v>
      </c>
      <c r="AS19" s="46"/>
      <c r="AT19" s="33">
        <f t="shared" si="0"/>
        <v>5.8775431131153751E-2</v>
      </c>
    </row>
    <row r="20" spans="1:46" s="33" customFormat="1" hidden="1" x14ac:dyDescent="0.25">
      <c r="A20" s="30">
        <v>2019</v>
      </c>
      <c r="B20" s="30" t="s">
        <v>11</v>
      </c>
      <c r="C20" s="30" t="s">
        <v>7</v>
      </c>
      <c r="D20" s="30" t="s">
        <v>12</v>
      </c>
      <c r="E20" s="30" t="s">
        <v>13</v>
      </c>
      <c r="F20" s="30" t="s">
        <v>14</v>
      </c>
      <c r="G20" s="30" t="s">
        <v>723</v>
      </c>
      <c r="H20" s="39">
        <v>2014</v>
      </c>
      <c r="I20" s="40"/>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6">
        <f xml:space="preserve"> 6964632 * 1000</f>
        <v>6964632000</v>
      </c>
      <c r="AS20" s="46"/>
      <c r="AT20" s="33">
        <f t="shared" si="0"/>
        <v>1430.7475254973988</v>
      </c>
    </row>
    <row r="21" spans="1:46" s="38" customFormat="1" hidden="1" x14ac:dyDescent="0.25">
      <c r="A21" s="14">
        <v>2019</v>
      </c>
      <c r="B21" s="14" t="s">
        <v>15</v>
      </c>
      <c r="C21" s="14" t="s">
        <v>7</v>
      </c>
      <c r="D21" s="14" t="s">
        <v>8</v>
      </c>
      <c r="E21" s="14" t="s">
        <v>9</v>
      </c>
      <c r="F21" s="14" t="s">
        <v>10</v>
      </c>
      <c r="G21" s="14" t="s">
        <v>723</v>
      </c>
      <c r="H21" s="34">
        <v>1985</v>
      </c>
      <c r="I21" s="35"/>
      <c r="J21" s="36">
        <v>68399379</v>
      </c>
      <c r="K21" s="14" t="s">
        <v>1043</v>
      </c>
      <c r="L21" s="14" t="s">
        <v>729</v>
      </c>
      <c r="M21" s="14" t="s">
        <v>730</v>
      </c>
      <c r="N21" s="14" t="s">
        <v>731</v>
      </c>
      <c r="O21" s="14" t="s">
        <v>732</v>
      </c>
      <c r="P21" s="14" t="s">
        <v>733</v>
      </c>
      <c r="Q21" s="14"/>
      <c r="R21" s="37" t="s">
        <v>2040</v>
      </c>
      <c r="S21" s="37" t="s">
        <v>2041</v>
      </c>
      <c r="T21" s="14"/>
      <c r="U21" s="14"/>
      <c r="V21" s="14"/>
      <c r="W21" s="36">
        <f>IF( J21="s.i", "s.i", IF(ISBLANK(J21),"Actualizando información",IFERROR(J21 / VLOOKUP(A21,Deflactor!$G$3:$H$64,2,0),"Revisar error" )))</f>
        <v>53491537.120826639</v>
      </c>
      <c r="X21" s="38" t="s">
        <v>2000</v>
      </c>
      <c r="Y21" s="38" t="s">
        <v>2001</v>
      </c>
      <c r="Z21" s="38" t="s">
        <v>2002</v>
      </c>
      <c r="AR21" s="36">
        <f t="shared" si="1"/>
        <v>1163741000</v>
      </c>
      <c r="AS21" s="47"/>
      <c r="AT21" s="38">
        <f t="shared" si="0"/>
        <v>5.8775431131153751E-2</v>
      </c>
    </row>
    <row r="22" spans="1:46" hidden="1"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f t="shared" si="0"/>
        <v>0.99996157451028289</v>
      </c>
    </row>
    <row r="23" spans="1:46" hidden="1"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f t="shared" si="0"/>
        <v>1.1820246975780044</v>
      </c>
    </row>
    <row r="24" spans="1:46" hidden="1"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36">
        <f xml:space="preserve"> 3348243 * 1000</f>
        <v>3348243000</v>
      </c>
      <c r="AT24">
        <f t="shared" si="0"/>
        <v>1E-3</v>
      </c>
    </row>
    <row r="25" spans="1:46" hidden="1" x14ac:dyDescent="0.2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6">
        <f xml:space="preserve"> 3435061 * 1000</f>
        <v>3435061000</v>
      </c>
      <c r="AT25">
        <f t="shared" si="0"/>
        <v>5.2834578483467975</v>
      </c>
    </row>
    <row r="26" spans="1:46" hidden="1"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f t="shared" si="0"/>
        <v>1.3673418007240401</v>
      </c>
    </row>
    <row r="27" spans="1:46"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36" t="s">
        <v>2370</v>
      </c>
      <c r="AT27" t="e">
        <f t="shared" si="0"/>
        <v>#VALUE!</v>
      </c>
    </row>
    <row r="28" spans="1:46" hidden="1"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36">
        <f xml:space="preserve"> 1163741 * 1000</f>
        <v>1163741000</v>
      </c>
      <c r="AT28">
        <f t="shared" si="0"/>
        <v>5.8775431131153751E-2</v>
      </c>
    </row>
    <row r="29" spans="1:46" hidden="1"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f t="shared" si="0"/>
        <v>0.86487669182050542</v>
      </c>
    </row>
    <row r="30" spans="1:46" hidden="1" x14ac:dyDescent="0.25">
      <c r="A30" s="3">
        <v>2019</v>
      </c>
      <c r="B30" s="3" t="s">
        <v>38</v>
      </c>
      <c r="C30" s="3" t="s">
        <v>7</v>
      </c>
      <c r="D30" s="3" t="s">
        <v>36</v>
      </c>
      <c r="E30" s="3" t="s">
        <v>37</v>
      </c>
      <c r="F30" s="3" t="s">
        <v>14</v>
      </c>
      <c r="G30" s="3" t="s">
        <v>723</v>
      </c>
      <c r="H30" s="13">
        <v>1994</v>
      </c>
      <c r="I30" s="13"/>
      <c r="J30" s="10">
        <f xml:space="preserve"> 7721 * 1000000</f>
        <v>7721000000</v>
      </c>
      <c r="K30" s="3" t="s">
        <v>2294</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f t="shared" si="0"/>
        <v>1.0446565297595194</v>
      </c>
    </row>
    <row r="31" spans="1:46" hidden="1"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6">
        <f xml:space="preserve"> 40590781 * 1000</f>
        <v>40590781000</v>
      </c>
      <c r="AT31">
        <f t="shared" si="0"/>
        <v>1.9655694725361406</v>
      </c>
    </row>
    <row r="32" spans="1:46"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36" t="s">
        <v>2370</v>
      </c>
      <c r="AT32" t="e">
        <f t="shared" si="0"/>
        <v>#VALUE!</v>
      </c>
    </row>
    <row r="33" spans="1:46" hidden="1"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6">
        <f xml:space="preserve"> 5251170 * 1000</f>
        <v>5251170000</v>
      </c>
      <c r="AT33">
        <f t="shared" si="0"/>
        <v>1361.7915626422302</v>
      </c>
    </row>
    <row r="34" spans="1:46" hidden="1"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f t="shared" si="0"/>
        <v>1.4183709744467465</v>
      </c>
    </row>
    <row r="35" spans="1:46" hidden="1"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36">
        <f xml:space="preserve"> 21671920 * 1000</f>
        <v>21671920000</v>
      </c>
      <c r="AT35">
        <f t="shared" si="0"/>
        <v>1.8708025407993384E-3</v>
      </c>
    </row>
    <row r="36" spans="1:46"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36" t="s">
        <v>2370</v>
      </c>
      <c r="AT36" t="e">
        <f t="shared" si="0"/>
        <v>#VALUE!</v>
      </c>
    </row>
    <row r="37" spans="1:46"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36" t="s">
        <v>2370</v>
      </c>
      <c r="AT37" t="e">
        <f t="shared" si="0"/>
        <v>#VALUE!</v>
      </c>
    </row>
    <row r="38" spans="1:46"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36" t="s">
        <v>2370</v>
      </c>
      <c r="AT38" t="e">
        <f t="shared" si="0"/>
        <v>#VALUE!</v>
      </c>
    </row>
    <row r="39" spans="1:46"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36" t="s">
        <v>2370</v>
      </c>
      <c r="AT39" t="e">
        <f t="shared" si="0"/>
        <v>#VALUE!</v>
      </c>
    </row>
    <row r="40" spans="1:46"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2384</v>
      </c>
      <c r="S40" s="11" t="s">
        <v>2385</v>
      </c>
      <c r="T40" s="11" t="s">
        <v>2386</v>
      </c>
      <c r="U40" s="3"/>
      <c r="V40" s="3"/>
      <c r="W40" s="10">
        <f>IF( J40="s.i", "s.i", IF(ISBLANK(J40),"Actualizando información",IFERROR(J40 / VLOOKUP(A40,Deflactor!$G$3:$H$64,2,0),"Revisar error" )))</f>
        <v>5649426.1846524477</v>
      </c>
      <c r="AR40" s="36" t="s">
        <v>2370</v>
      </c>
      <c r="AT40" t="e">
        <f t="shared" si="0"/>
        <v>#VALUE!</v>
      </c>
    </row>
    <row r="41" spans="1:46" hidden="1"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6">
        <f xml:space="preserve"> 1057262 * 1000</f>
        <v>1057262000</v>
      </c>
      <c r="AT41">
        <f t="shared" si="0"/>
        <v>10.366399246355208</v>
      </c>
    </row>
    <row r="42" spans="1:46" hidden="1"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6">
        <f xml:space="preserve"> (1356365 + 1453073) * 1000</f>
        <v>2809438000</v>
      </c>
      <c r="AT42">
        <f t="shared" si="0"/>
        <v>10.109495208650271</v>
      </c>
    </row>
    <row r="43" spans="1:46" hidden="1"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f t="shared" si="0"/>
        <v>1.0097915613969997</v>
      </c>
    </row>
    <row r="44" spans="1:46" hidden="1"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36">
        <f xml:space="preserve"> 6992399 * 1000</f>
        <v>6992399000</v>
      </c>
      <c r="AT44">
        <f t="shared" si="0"/>
        <v>9.7462973723324426E-4</v>
      </c>
    </row>
    <row r="45" spans="1:46" hidden="1"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f t="shared" si="0"/>
        <v>1.0262949807516275</v>
      </c>
    </row>
    <row r="46" spans="1:46"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36" t="s">
        <v>2370</v>
      </c>
      <c r="AT46" t="e">
        <f t="shared" si="0"/>
        <v>#VALUE!</v>
      </c>
    </row>
    <row r="47" spans="1:46" x14ac:dyDescent="0.2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36" t="s">
        <v>2370</v>
      </c>
      <c r="AT47" t="e">
        <f t="shared" si="0"/>
        <v>#VALUE!</v>
      </c>
    </row>
    <row r="48" spans="1:46" hidden="1"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6">
        <f xml:space="preserve"> 3591821 * 1000</f>
        <v>3591821000</v>
      </c>
      <c r="AT48">
        <f t="shared" si="0"/>
        <v>3.6583114804440422</v>
      </c>
    </row>
    <row r="49" spans="1:46" hidden="1"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f t="shared" si="0"/>
        <v>1.0292548054214938</v>
      </c>
    </row>
    <row r="50" spans="1:46" hidden="1"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6">
        <f xml:space="preserve"> 4951278 * 1000</f>
        <v>4951278000</v>
      </c>
      <c r="AT50">
        <f t="shared" si="0"/>
        <v>2.6538602760741772</v>
      </c>
    </row>
    <row r="51" spans="1:46" hidden="1"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f t="shared" si="0"/>
        <v>1.0007786787622917</v>
      </c>
    </row>
    <row r="52" spans="1:46"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36" t="s">
        <v>2370</v>
      </c>
      <c r="AT52" t="e">
        <f t="shared" si="0"/>
        <v>#VALUE!</v>
      </c>
    </row>
    <row r="53" spans="1:46" hidden="1"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f t="shared" si="0"/>
        <v>1</v>
      </c>
    </row>
    <row r="54" spans="1:46" hidden="1"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f t="shared" si="0"/>
        <v>1.0207518381045197</v>
      </c>
    </row>
    <row r="55" spans="1:46" hidden="1"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f t="shared" si="0"/>
        <v>1.0207248451812729</v>
      </c>
    </row>
    <row r="56" spans="1:46" hidden="1" x14ac:dyDescent="0.25">
      <c r="A56" s="3">
        <v>2018</v>
      </c>
      <c r="B56" s="3" t="s">
        <v>85</v>
      </c>
      <c r="C56" s="3" t="s">
        <v>7</v>
      </c>
      <c r="D56" s="3" t="s">
        <v>40</v>
      </c>
      <c r="E56" s="3" t="s">
        <v>41</v>
      </c>
      <c r="F56" s="3" t="s">
        <v>10</v>
      </c>
      <c r="G56" s="3" t="s">
        <v>623</v>
      </c>
      <c r="H56" s="13">
        <v>2012</v>
      </c>
      <c r="I56" s="13" t="s">
        <v>623</v>
      </c>
      <c r="J56" s="10">
        <f xml:space="preserve"> 39178854 * 1000</f>
        <v>39178854000</v>
      </c>
      <c r="K56" s="3" t="s">
        <v>2285</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f t="shared" si="0"/>
        <v>0.98058556486271442</v>
      </c>
    </row>
    <row r="57" spans="1:46" hidden="1" x14ac:dyDescent="0.2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6">
        <f xml:space="preserve"> 11725662 * 1000</f>
        <v>11725662000</v>
      </c>
      <c r="AT57">
        <f t="shared" si="0"/>
        <v>1113.6816838145257</v>
      </c>
    </row>
    <row r="58" spans="1:46" hidden="1"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f t="shared" si="0"/>
        <v>0.78329319783178208</v>
      </c>
    </row>
    <row r="59" spans="1:46" hidden="1" x14ac:dyDescent="0.2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f t="shared" si="0"/>
        <v>1.2653652538520299</v>
      </c>
    </row>
    <row r="60" spans="1:46" hidden="1" x14ac:dyDescent="0.25">
      <c r="A60" s="3">
        <v>2017</v>
      </c>
      <c r="B60" s="3" t="s">
        <v>93</v>
      </c>
      <c r="C60" s="3" t="s">
        <v>7</v>
      </c>
      <c r="D60" s="3" t="s">
        <v>36</v>
      </c>
      <c r="E60" s="3" t="s">
        <v>94</v>
      </c>
      <c r="F60" s="3" t="s">
        <v>95</v>
      </c>
      <c r="G60" s="3" t="s">
        <v>723</v>
      </c>
      <c r="H60" s="13">
        <v>1981</v>
      </c>
      <c r="I60" s="13"/>
      <c r="J60" s="10">
        <f xml:space="preserve"> 90298449 * 1000</f>
        <v>90298449000</v>
      </c>
      <c r="K60" s="3" t="s">
        <v>2301</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f t="shared" si="0"/>
        <v>1.7388064673620034</v>
      </c>
    </row>
    <row r="61" spans="1:46" hidden="1" x14ac:dyDescent="0.25">
      <c r="A61" s="3">
        <v>2017</v>
      </c>
      <c r="B61" s="3" t="s">
        <v>96</v>
      </c>
      <c r="C61" s="3" t="s">
        <v>7</v>
      </c>
      <c r="D61" s="3" t="s">
        <v>36</v>
      </c>
      <c r="E61" s="3" t="s">
        <v>94</v>
      </c>
      <c r="F61" s="3" t="s">
        <v>95</v>
      </c>
      <c r="G61" s="3" t="s">
        <v>723</v>
      </c>
      <c r="H61" s="13">
        <v>1981</v>
      </c>
      <c r="I61" s="13"/>
      <c r="J61" s="10">
        <f xml:space="preserve"> 90298449 * 1000</f>
        <v>90298449000</v>
      </c>
      <c r="K61" s="3" t="s">
        <v>2301</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6">
        <f xml:space="preserve"> 36909596 * 1000</f>
        <v>36909596000</v>
      </c>
      <c r="AT61">
        <f t="shared" si="0"/>
        <v>2.4464762226061754</v>
      </c>
    </row>
    <row r="62" spans="1:46" hidden="1" x14ac:dyDescent="0.25">
      <c r="A62" s="3">
        <v>2017</v>
      </c>
      <c r="B62" s="3" t="s">
        <v>97</v>
      </c>
      <c r="C62" s="3" t="s">
        <v>7</v>
      </c>
      <c r="D62" s="3" t="s">
        <v>36</v>
      </c>
      <c r="E62" s="3" t="s">
        <v>98</v>
      </c>
      <c r="F62" s="3" t="s">
        <v>95</v>
      </c>
      <c r="G62" s="3" t="s">
        <v>623</v>
      </c>
      <c r="H62" s="13">
        <v>1990</v>
      </c>
      <c r="I62" s="3" t="s">
        <v>623</v>
      </c>
      <c r="J62" s="10">
        <f xml:space="preserve"> 13089972 * 1000</f>
        <v>13089972000</v>
      </c>
      <c r="K62" s="3" t="s">
        <v>2287</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36">
        <f xml:space="preserve"> 10060686 * 1000</f>
        <v>10060686000</v>
      </c>
      <c r="AT62">
        <f t="shared" si="0"/>
        <v>1.3011013364297426</v>
      </c>
    </row>
    <row r="63" spans="1:46" hidden="1" x14ac:dyDescent="0.2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6">
        <f xml:space="preserve"> 26854830 * 1000</f>
        <v>26854830000</v>
      </c>
      <c r="AT63">
        <f t="shared" si="0"/>
        <v>1006.9646316882289</v>
      </c>
    </row>
    <row r="64" spans="1:46" hidden="1" x14ac:dyDescent="0.2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36">
        <f xml:space="preserve"> 19446013 * 1000</f>
        <v>19446013000</v>
      </c>
      <c r="AT64">
        <f t="shared" si="0"/>
        <v>1045.6989306754037</v>
      </c>
    </row>
    <row r="65" spans="1:46" hidden="1" x14ac:dyDescent="0.2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f t="shared" si="0"/>
        <v>1.2056261461089903</v>
      </c>
    </row>
    <row r="66" spans="1:46" hidden="1" x14ac:dyDescent="0.25">
      <c r="A66" s="3">
        <v>2017</v>
      </c>
      <c r="B66" s="3" t="s">
        <v>102</v>
      </c>
      <c r="C66" s="3" t="s">
        <v>7</v>
      </c>
      <c r="D66" s="3" t="s">
        <v>87</v>
      </c>
      <c r="E66" s="3" t="s">
        <v>88</v>
      </c>
      <c r="F66" s="3" t="s">
        <v>89</v>
      </c>
      <c r="G66" s="3" t="s">
        <v>723</v>
      </c>
      <c r="H66" s="13">
        <v>2014</v>
      </c>
      <c r="I66" s="13"/>
      <c r="J66" s="10">
        <f xml:space="preserve"> 8586768 * 1000000</f>
        <v>8586768000000</v>
      </c>
      <c r="K66" s="3" t="s">
        <v>2289</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6">
        <f xml:space="preserve"> (230133 + 7356890) * 1000</f>
        <v>7587023000</v>
      </c>
      <c r="AT66">
        <f t="shared" si="0"/>
        <v>1131.7703926823472</v>
      </c>
    </row>
    <row r="67" spans="1:46" hidden="1" x14ac:dyDescent="0.2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f t="shared" ref="AT67:AT130" si="2">J67 / AR67</f>
        <v>1.0759078004348568</v>
      </c>
    </row>
    <row r="68" spans="1:46" hidden="1"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f t="shared" si="2"/>
        <v>0.94981340931496694</v>
      </c>
    </row>
    <row r="69" spans="1:46" hidden="1" x14ac:dyDescent="0.2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f t="shared" si="2"/>
        <v>1.112047508224717</v>
      </c>
    </row>
    <row r="70" spans="1:46" hidden="1" x14ac:dyDescent="0.25">
      <c r="A70" s="3">
        <v>2017</v>
      </c>
      <c r="B70" s="3" t="s">
        <v>109</v>
      </c>
      <c r="C70" s="3" t="s">
        <v>7</v>
      </c>
      <c r="D70" s="3" t="s">
        <v>87</v>
      </c>
      <c r="E70" s="3" t="s">
        <v>88</v>
      </c>
      <c r="F70" s="3" t="s">
        <v>89</v>
      </c>
      <c r="G70" s="3" t="s">
        <v>723</v>
      </c>
      <c r="H70" s="13">
        <v>2002</v>
      </c>
      <c r="I70" s="13"/>
      <c r="J70" s="10">
        <f xml:space="preserve"> 6577906 * 1000000</f>
        <v>6577906000000</v>
      </c>
      <c r="K70" s="3" t="s">
        <v>2288</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6">
        <f xml:space="preserve"> 4930461 * 1000</f>
        <v>4930461000</v>
      </c>
      <c r="AT70">
        <f t="shared" si="2"/>
        <v>1334.1360980240995</v>
      </c>
    </row>
    <row r="71" spans="1:46" hidden="1" x14ac:dyDescent="0.25">
      <c r="A71" s="3">
        <v>2017</v>
      </c>
      <c r="B71" s="3" t="s">
        <v>110</v>
      </c>
      <c r="C71" s="3" t="s">
        <v>7</v>
      </c>
      <c r="D71" s="3" t="s">
        <v>87</v>
      </c>
      <c r="E71" s="3" t="s">
        <v>88</v>
      </c>
      <c r="F71" s="3" t="s">
        <v>89</v>
      </c>
      <c r="G71" s="3" t="s">
        <v>723</v>
      </c>
      <c r="H71" s="13">
        <v>2015</v>
      </c>
      <c r="I71" s="13"/>
      <c r="J71" s="10">
        <f xml:space="preserve"> 9208672 * 1000000</f>
        <v>9208672000000</v>
      </c>
      <c r="K71" s="3" t="s">
        <v>2288</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6">
        <f xml:space="preserve"> (59658 + 7556828) * 1000</f>
        <v>7616486000</v>
      </c>
      <c r="AT71">
        <f t="shared" si="2"/>
        <v>1209.0446959398337</v>
      </c>
    </row>
    <row r="72" spans="1:46" hidden="1" x14ac:dyDescent="0.2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6">
        <f xml:space="preserve"> 8240855 * 1000</f>
        <v>8240855000</v>
      </c>
      <c r="AT72">
        <f t="shared" si="2"/>
        <v>1000</v>
      </c>
    </row>
    <row r="73" spans="1:46" x14ac:dyDescent="0.25">
      <c r="A73" s="3">
        <v>2017</v>
      </c>
      <c r="B73" s="3" t="s">
        <v>112</v>
      </c>
      <c r="C73" s="3" t="s">
        <v>7</v>
      </c>
      <c r="D73" s="3" t="s">
        <v>54</v>
      </c>
      <c r="E73" s="3" t="s">
        <v>55</v>
      </c>
      <c r="F73" s="3" t="s">
        <v>30</v>
      </c>
      <c r="G73" s="3" t="s">
        <v>723</v>
      </c>
      <c r="H73" s="13">
        <v>2015</v>
      </c>
      <c r="I73" s="13"/>
      <c r="J73" s="10">
        <f xml:space="preserve"> 3679766 * 1000000</f>
        <v>3679766000000</v>
      </c>
      <c r="K73" s="3" t="s">
        <v>2286</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36" t="s">
        <v>2370</v>
      </c>
      <c r="AT73" t="e">
        <f t="shared" si="2"/>
        <v>#VALUE!</v>
      </c>
    </row>
    <row r="74" spans="1:46" x14ac:dyDescent="0.2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36" t="s">
        <v>2370</v>
      </c>
      <c r="AT74" t="e">
        <f t="shared" si="2"/>
        <v>#VALUE!</v>
      </c>
    </row>
    <row r="75" spans="1:46" x14ac:dyDescent="0.2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36" t="s">
        <v>2370</v>
      </c>
      <c r="AT75" t="e">
        <f t="shared" si="2"/>
        <v>#VALUE!</v>
      </c>
    </row>
    <row r="76" spans="1:46" hidden="1" x14ac:dyDescent="0.2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f t="shared" si="2"/>
        <v>0.99996431530992158</v>
      </c>
    </row>
    <row r="77" spans="1:46" hidden="1" x14ac:dyDescent="0.25">
      <c r="A77" s="3">
        <v>2017</v>
      </c>
      <c r="B77" s="3" t="s">
        <v>116</v>
      </c>
      <c r="C77" s="3" t="s">
        <v>7</v>
      </c>
      <c r="D77" s="3" t="s">
        <v>25</v>
      </c>
      <c r="E77" s="3" t="s">
        <v>117</v>
      </c>
      <c r="F77" s="3" t="s">
        <v>30</v>
      </c>
      <c r="G77" s="3" t="s">
        <v>623</v>
      </c>
      <c r="H77" s="13">
        <v>2014</v>
      </c>
      <c r="I77" s="13" t="s">
        <v>623</v>
      </c>
      <c r="J77" s="10">
        <f xml:space="preserve"> 38171814 * 1000000</f>
        <v>38171814000000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6">
        <f xml:space="preserve"> 27217404 * 1000</f>
        <v>27217404000</v>
      </c>
      <c r="AT77">
        <f t="shared" si="2"/>
        <v>1402.4781349463012</v>
      </c>
    </row>
    <row r="78" spans="1:46" hidden="1" x14ac:dyDescent="0.25">
      <c r="A78" s="3">
        <v>2017</v>
      </c>
      <c r="B78" s="3" t="s">
        <v>118</v>
      </c>
      <c r="C78" s="3" t="s">
        <v>7</v>
      </c>
      <c r="D78" s="3" t="s">
        <v>25</v>
      </c>
      <c r="E78" s="3" t="s">
        <v>117</v>
      </c>
      <c r="F78" s="3" t="s">
        <v>30</v>
      </c>
      <c r="G78" s="3" t="s">
        <v>623</v>
      </c>
      <c r="H78" s="13">
        <v>2014</v>
      </c>
      <c r="I78" s="13" t="s">
        <v>623</v>
      </c>
      <c r="J78" s="10">
        <f xml:space="preserve"> 38171814 * 1000000</f>
        <v>38171814000000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6">
        <f xml:space="preserve"> (954890 + 4676246 + 1709309) * 1000</f>
        <v>7340445000</v>
      </c>
      <c r="AT78">
        <f t="shared" si="2"/>
        <v>5200.2043472841224</v>
      </c>
    </row>
    <row r="79" spans="1:46" hidden="1"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6">
        <f>11502842 * 1000</f>
        <v>11502842000</v>
      </c>
      <c r="AT79">
        <f t="shared" si="2"/>
        <v>1000</v>
      </c>
    </row>
    <row r="80" spans="1:46" hidden="1" x14ac:dyDescent="0.25">
      <c r="A80" s="3">
        <v>2017</v>
      </c>
      <c r="B80" s="3" t="s">
        <v>121</v>
      </c>
      <c r="C80" s="3" t="s">
        <v>7</v>
      </c>
      <c r="D80" s="3" t="s">
        <v>64</v>
      </c>
      <c r="E80" s="3" t="s">
        <v>65</v>
      </c>
      <c r="F80" s="3" t="s">
        <v>95</v>
      </c>
      <c r="G80" s="3" t="s">
        <v>723</v>
      </c>
      <c r="H80" s="13">
        <v>2004</v>
      </c>
      <c r="I80" s="13"/>
      <c r="J80" s="10">
        <f xml:space="preserve"> 18378 * 1000000</f>
        <v>18378000000</v>
      </c>
      <c r="K80" s="3" t="s">
        <v>2290</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f t="shared" si="2"/>
        <v>1.1030788071119233</v>
      </c>
    </row>
    <row r="81" spans="1:46"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36" t="s">
        <v>2370</v>
      </c>
      <c r="AT81" t="e">
        <f t="shared" si="2"/>
        <v>#VALUE!</v>
      </c>
    </row>
    <row r="82" spans="1:46" hidden="1"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2283</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f t="shared" si="2"/>
        <v>1.4845513227499261</v>
      </c>
    </row>
    <row r="83" spans="1:46" hidden="1"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2283</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f t="shared" si="2"/>
        <v>1.4845513227499261</v>
      </c>
    </row>
    <row r="84" spans="1:46"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36" t="s">
        <v>2370</v>
      </c>
      <c r="AT84" t="e">
        <f t="shared" si="2"/>
        <v>#VALUE!</v>
      </c>
    </row>
    <row r="85" spans="1:46" hidden="1"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2292</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f t="shared" si="2"/>
        <v>1</v>
      </c>
    </row>
    <row r="86" spans="1:46" hidden="1" x14ac:dyDescent="0.25">
      <c r="A86" s="3">
        <v>2016</v>
      </c>
      <c r="B86" s="3" t="s">
        <v>127</v>
      </c>
      <c r="C86" s="3" t="s">
        <v>7</v>
      </c>
      <c r="D86" s="3" t="s">
        <v>64</v>
      </c>
      <c r="E86" s="3" t="s">
        <v>128</v>
      </c>
      <c r="F86" s="3" t="s">
        <v>89</v>
      </c>
      <c r="G86" s="3" t="s">
        <v>723</v>
      </c>
      <c r="H86" s="13">
        <v>2001</v>
      </c>
      <c r="I86" s="13" t="s">
        <v>623</v>
      </c>
      <c r="J86" s="10">
        <f xml:space="preserve"> 7905 * 1000000</f>
        <v>7905000000</v>
      </c>
      <c r="K86" s="3" t="s">
        <v>2293</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f t="shared" si="2"/>
        <v>1.0000005060091113</v>
      </c>
    </row>
    <row r="87" spans="1:46" hidden="1" x14ac:dyDescent="0.25">
      <c r="A87" s="3">
        <v>2016</v>
      </c>
      <c r="B87" s="3" t="s">
        <v>129</v>
      </c>
      <c r="C87" s="3" t="s">
        <v>7</v>
      </c>
      <c r="D87" s="3" t="s">
        <v>36</v>
      </c>
      <c r="E87" s="3" t="s">
        <v>130</v>
      </c>
      <c r="F87" s="3" t="s">
        <v>95</v>
      </c>
      <c r="G87" s="3" t="s">
        <v>723</v>
      </c>
      <c r="H87" s="13">
        <v>2002</v>
      </c>
      <c r="I87" s="13" t="s">
        <v>623</v>
      </c>
      <c r="J87" s="10">
        <f xml:space="preserve"> 8615 * 1000000</f>
        <v>8615000000</v>
      </c>
      <c r="K87" s="3" t="s">
        <v>2295</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f t="shared" si="2"/>
        <v>1.6087416950927496</v>
      </c>
    </row>
    <row r="88" spans="1:46" hidden="1"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36">
        <f>20271928 * 1000</f>
        <v>20271928000</v>
      </c>
      <c r="AT88">
        <f t="shared" si="2"/>
        <v>1.0309823515553134</v>
      </c>
    </row>
    <row r="89" spans="1:46" hidden="1" x14ac:dyDescent="0.25">
      <c r="A89" s="3">
        <v>2016</v>
      </c>
      <c r="B89" s="3" t="s">
        <v>132</v>
      </c>
      <c r="C89" s="3" t="s">
        <v>7</v>
      </c>
      <c r="D89" s="3" t="s">
        <v>36</v>
      </c>
      <c r="E89" s="3" t="s">
        <v>37</v>
      </c>
      <c r="F89" s="3" t="s">
        <v>89</v>
      </c>
      <c r="G89" s="3" t="s">
        <v>723</v>
      </c>
      <c r="H89" s="13">
        <v>2004</v>
      </c>
      <c r="I89" s="13" t="s">
        <v>623</v>
      </c>
      <c r="J89" s="10">
        <f xml:space="preserve"> 1667 * 1000000</f>
        <v>1667000000</v>
      </c>
      <c r="K89" s="3" t="s">
        <v>2298</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36">
        <f>10738110 * 1000</f>
        <v>10738110000</v>
      </c>
      <c r="AT89">
        <f t="shared" si="2"/>
        <v>0.15524147173012756</v>
      </c>
    </row>
    <row r="90" spans="1:46" hidden="1" x14ac:dyDescent="0.25">
      <c r="A90" s="3">
        <v>2016</v>
      </c>
      <c r="B90" s="3" t="s">
        <v>133</v>
      </c>
      <c r="C90" s="3" t="s">
        <v>7</v>
      </c>
      <c r="D90" s="3" t="s">
        <v>36</v>
      </c>
      <c r="E90" s="3" t="s">
        <v>37</v>
      </c>
      <c r="F90" s="3" t="s">
        <v>89</v>
      </c>
      <c r="G90" s="3" t="s">
        <v>723</v>
      </c>
      <c r="H90" s="13">
        <v>2002</v>
      </c>
      <c r="I90" s="13" t="s">
        <v>623</v>
      </c>
      <c r="J90" s="10" t="s">
        <v>623</v>
      </c>
      <c r="K90" s="3" t="s">
        <v>132</v>
      </c>
      <c r="L90" s="3" t="s">
        <v>2296</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36">
        <f>10738110 * 1000</f>
        <v>10738110000</v>
      </c>
      <c r="AT90" t="e">
        <f t="shared" si="2"/>
        <v>#VALUE!</v>
      </c>
    </row>
    <row r="91" spans="1:46" hidden="1"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36">
        <f>32395873 * 1000</f>
        <v>32395873000</v>
      </c>
      <c r="AT91">
        <f t="shared" si="2"/>
        <v>6.7954513218396677</v>
      </c>
    </row>
    <row r="92" spans="1:46"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36" t="s">
        <v>2370</v>
      </c>
      <c r="AT92" t="e">
        <f t="shared" si="2"/>
        <v>#VALUE!</v>
      </c>
    </row>
    <row r="93" spans="1:46" hidden="1" x14ac:dyDescent="0.2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f t="shared" si="2"/>
        <v>1.0299999613147068</v>
      </c>
    </row>
    <row r="94" spans="1:46" hidden="1"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36">
        <f>498240 * 1000</f>
        <v>498240000</v>
      </c>
      <c r="AT94" t="e">
        <f t="shared" si="2"/>
        <v>#VALUE!</v>
      </c>
    </row>
    <row r="95" spans="1:46"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36" t="s">
        <v>2370</v>
      </c>
      <c r="AT95" t="e">
        <f t="shared" si="2"/>
        <v>#VALUE!</v>
      </c>
    </row>
    <row r="96" spans="1:46" x14ac:dyDescent="0.25">
      <c r="A96" s="3">
        <v>2016</v>
      </c>
      <c r="B96" s="3" t="s">
        <v>141</v>
      </c>
      <c r="C96" s="3" t="s">
        <v>7</v>
      </c>
      <c r="D96" s="3" t="s">
        <v>32</v>
      </c>
      <c r="E96" s="3" t="s">
        <v>33</v>
      </c>
      <c r="F96" s="3" t="s">
        <v>95</v>
      </c>
      <c r="G96" s="3" t="s">
        <v>623</v>
      </c>
      <c r="H96" s="13">
        <v>2011</v>
      </c>
      <c r="I96" s="13" t="s">
        <v>623</v>
      </c>
      <c r="J96" s="10">
        <f xml:space="preserve"> 75570 * 1000000</f>
        <v>75570000000</v>
      </c>
      <c r="K96" s="3" t="s">
        <v>2299</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36" t="s">
        <v>2370</v>
      </c>
      <c r="AT96" t="e">
        <f t="shared" si="2"/>
        <v>#VALUE!</v>
      </c>
    </row>
    <row r="97" spans="1:46" x14ac:dyDescent="0.25">
      <c r="A97" s="3">
        <v>2016</v>
      </c>
      <c r="B97" s="3" t="s">
        <v>142</v>
      </c>
      <c r="C97" s="3" t="s">
        <v>7</v>
      </c>
      <c r="D97" s="3" t="s">
        <v>32</v>
      </c>
      <c r="E97" s="3" t="s">
        <v>33</v>
      </c>
      <c r="F97" s="3" t="s">
        <v>89</v>
      </c>
      <c r="G97" s="3" t="s">
        <v>623</v>
      </c>
      <c r="H97" s="13">
        <v>2011</v>
      </c>
      <c r="I97" s="13" t="s">
        <v>623</v>
      </c>
      <c r="J97" s="10">
        <f xml:space="preserve"> 75570 * 1000000</f>
        <v>75570000000</v>
      </c>
      <c r="K97" s="3" t="s">
        <v>2299</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36" t="s">
        <v>2370</v>
      </c>
      <c r="AT97" t="e">
        <f t="shared" si="2"/>
        <v>#VALUE!</v>
      </c>
    </row>
    <row r="98" spans="1:46" hidden="1" x14ac:dyDescent="0.25">
      <c r="A98" s="3">
        <v>2016</v>
      </c>
      <c r="B98" s="3" t="s">
        <v>143</v>
      </c>
      <c r="C98" s="3" t="s">
        <v>7</v>
      </c>
      <c r="D98" s="3" t="s">
        <v>12</v>
      </c>
      <c r="E98" s="3" t="s">
        <v>105</v>
      </c>
      <c r="F98" s="3" t="s">
        <v>89</v>
      </c>
      <c r="G98" s="3" t="s">
        <v>1004</v>
      </c>
      <c r="H98" s="13">
        <v>2010</v>
      </c>
      <c r="I98" s="13" t="s">
        <v>623</v>
      </c>
      <c r="J98" s="10">
        <f xml:space="preserve"> 4899869 * 1000000000</f>
        <v>4899869000000000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4219627652236092.5</v>
      </c>
      <c r="AR98" s="36">
        <f>4899869 * 1000</f>
        <v>4899869000</v>
      </c>
      <c r="AT98">
        <f t="shared" si="2"/>
        <v>1000000</v>
      </c>
    </row>
    <row r="99" spans="1:46" hidden="1" x14ac:dyDescent="0.25">
      <c r="A99" s="3">
        <v>2016</v>
      </c>
      <c r="B99" s="3" t="s">
        <v>144</v>
      </c>
      <c r="C99" s="3" t="s">
        <v>7</v>
      </c>
      <c r="D99" s="3" t="s">
        <v>25</v>
      </c>
      <c r="E99" s="3" t="s">
        <v>26</v>
      </c>
      <c r="F99" s="3" t="s">
        <v>89</v>
      </c>
      <c r="G99" s="3" t="s">
        <v>623</v>
      </c>
      <c r="H99" s="3">
        <v>1995</v>
      </c>
      <c r="I99" s="13" t="s">
        <v>623</v>
      </c>
      <c r="J99" s="10">
        <f xml:space="preserve"> 4905439 * 1000</f>
        <v>4905439000</v>
      </c>
      <c r="K99" s="3" t="s">
        <v>2300</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f t="shared" si="2"/>
        <v>1</v>
      </c>
    </row>
    <row r="100" spans="1:46" hidden="1"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2283</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f t="shared" si="2"/>
        <v>1.4845513227499261</v>
      </c>
    </row>
    <row r="101" spans="1:46" hidden="1" x14ac:dyDescent="0.2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2283</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f t="shared" si="2"/>
        <v>1.4845513227499261</v>
      </c>
    </row>
    <row r="102" spans="1:46" hidden="1" x14ac:dyDescent="0.25">
      <c r="A102" s="3">
        <v>2016</v>
      </c>
      <c r="B102" s="3" t="s">
        <v>147</v>
      </c>
      <c r="C102" s="3" t="s">
        <v>7</v>
      </c>
      <c r="D102" s="3" t="s">
        <v>40</v>
      </c>
      <c r="E102" s="3" t="s">
        <v>43</v>
      </c>
      <c r="F102" s="3" t="s">
        <v>89</v>
      </c>
      <c r="G102" s="3" t="s">
        <v>723</v>
      </c>
      <c r="H102" s="13">
        <v>2008</v>
      </c>
      <c r="I102" s="13" t="s">
        <v>623</v>
      </c>
      <c r="J102" s="10">
        <f t="shared" si="4"/>
        <v>33740927000</v>
      </c>
      <c r="K102" s="3" t="s">
        <v>2283</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f t="shared" si="2"/>
        <v>1.4845513227499261</v>
      </c>
    </row>
    <row r="103" spans="1:46" hidden="1" x14ac:dyDescent="0.25">
      <c r="A103" s="3">
        <v>2016</v>
      </c>
      <c r="B103" s="3" t="s">
        <v>148</v>
      </c>
      <c r="C103" s="3" t="s">
        <v>7</v>
      </c>
      <c r="D103" s="3" t="s">
        <v>40</v>
      </c>
      <c r="E103" s="3" t="s">
        <v>43</v>
      </c>
      <c r="F103" s="3" t="s">
        <v>89</v>
      </c>
      <c r="G103" s="3" t="s">
        <v>723</v>
      </c>
      <c r="H103" s="13">
        <v>2008</v>
      </c>
      <c r="I103" s="13" t="s">
        <v>623</v>
      </c>
      <c r="J103" s="10">
        <f t="shared" si="4"/>
        <v>33740927000</v>
      </c>
      <c r="K103" s="3" t="s">
        <v>2283</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f t="shared" si="2"/>
        <v>1.4845513227499261</v>
      </c>
    </row>
    <row r="104" spans="1:46" hidden="1" x14ac:dyDescent="0.25">
      <c r="A104" s="3">
        <v>2016</v>
      </c>
      <c r="B104" s="3" t="s">
        <v>149</v>
      </c>
      <c r="C104" s="3" t="s">
        <v>67</v>
      </c>
      <c r="D104" s="3" t="s">
        <v>25</v>
      </c>
      <c r="E104" s="3" t="s">
        <v>26</v>
      </c>
      <c r="F104" s="3" t="s">
        <v>10</v>
      </c>
      <c r="G104" s="3" t="s">
        <v>623</v>
      </c>
      <c r="H104" s="13">
        <v>2013</v>
      </c>
      <c r="I104" s="13" t="s">
        <v>623</v>
      </c>
      <c r="J104" s="10" t="s">
        <v>623</v>
      </c>
      <c r="K104" s="3" t="s">
        <v>2302</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36">
        <f>142518629 * 1000</f>
        <v>142518629000</v>
      </c>
      <c r="AT104" t="e">
        <f t="shared" si="2"/>
        <v>#VALUE!</v>
      </c>
    </row>
    <row r="105" spans="1:46" hidden="1"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2303</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6">
        <f>8818742 * 1000</f>
        <v>8818742000</v>
      </c>
      <c r="AT105">
        <f t="shared" si="2"/>
        <v>1253.2996202859772</v>
      </c>
    </row>
    <row r="106" spans="1:46" hidden="1"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f t="shared" si="2"/>
        <v>1.3696484331398266</v>
      </c>
    </row>
    <row r="107" spans="1:46" hidden="1"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2304</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c r="AT107">
        <f t="shared" si="2"/>
        <v>1.5868133925978929</v>
      </c>
    </row>
    <row r="108" spans="1:46" hidden="1" x14ac:dyDescent="0.2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36">
        <f>6577356 * 1000</f>
        <v>6577356000</v>
      </c>
      <c r="AT108" t="e">
        <f t="shared" si="2"/>
        <v>#VALUE!</v>
      </c>
    </row>
    <row r="109" spans="1:46" hidden="1" x14ac:dyDescent="0.2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c r="AT109">
        <f t="shared" si="2"/>
        <v>0.96282888284071455</v>
      </c>
    </row>
    <row r="110" spans="1:46" hidden="1"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36">
        <f xml:space="preserve"> 206000 * 1000</f>
        <v>206000000</v>
      </c>
      <c r="AT110">
        <f t="shared" si="2"/>
        <v>19.412228155339808</v>
      </c>
    </row>
    <row r="111" spans="1:46" hidden="1"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2310</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c r="AT111">
        <f t="shared" si="2"/>
        <v>1.0035533128549228</v>
      </c>
    </row>
    <row r="112" spans="1:46" hidden="1" x14ac:dyDescent="0.2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c r="AT112">
        <f t="shared" si="2"/>
        <v>1</v>
      </c>
    </row>
    <row r="113" spans="1:46" hidden="1"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36">
        <f xml:space="preserve"> 50779990 * 1000</f>
        <v>50779990000</v>
      </c>
      <c r="AT113">
        <f t="shared" si="2"/>
        <v>0.62488842553927249</v>
      </c>
    </row>
    <row r="114" spans="1:46" hidden="1"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c r="AT114">
        <f t="shared" si="2"/>
        <v>1</v>
      </c>
    </row>
    <row r="115" spans="1:46" hidden="1" x14ac:dyDescent="0.25">
      <c r="A115" s="3">
        <v>2015</v>
      </c>
      <c r="B115" s="3" t="s">
        <v>171</v>
      </c>
      <c r="C115" s="3" t="s">
        <v>7</v>
      </c>
      <c r="D115" s="3" t="s">
        <v>36</v>
      </c>
      <c r="E115" s="3" t="s">
        <v>68</v>
      </c>
      <c r="F115" s="3" t="s">
        <v>89</v>
      </c>
      <c r="G115" s="3" t="s">
        <v>723</v>
      </c>
      <c r="H115" s="13">
        <v>2014</v>
      </c>
      <c r="I115" s="13"/>
      <c r="J115" s="10">
        <f xml:space="preserve"> 4093 * 1000000</f>
        <v>4093000000</v>
      </c>
      <c r="K115" s="3" t="s">
        <v>2279</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c r="AT115">
        <f t="shared" si="2"/>
        <v>1.1518218230415582</v>
      </c>
    </row>
    <row r="116" spans="1:46" hidden="1" x14ac:dyDescent="0.25">
      <c r="A116" s="3">
        <v>2015</v>
      </c>
      <c r="B116" s="3" t="s">
        <v>172</v>
      </c>
      <c r="C116" s="3" t="s">
        <v>7</v>
      </c>
      <c r="D116" s="3" t="s">
        <v>64</v>
      </c>
      <c r="E116" s="3" t="s">
        <v>65</v>
      </c>
      <c r="F116" s="3" t="s">
        <v>89</v>
      </c>
      <c r="G116" s="3" t="s">
        <v>723</v>
      </c>
      <c r="H116" s="13">
        <v>2014</v>
      </c>
      <c r="I116" s="13"/>
      <c r="J116" s="10">
        <f xml:space="preserve"> 99252 * 1000000</f>
        <v>99252000000</v>
      </c>
      <c r="K116" s="3" t="s">
        <v>2291</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c r="AT116">
        <f t="shared" si="2"/>
        <v>1.0107690922999848</v>
      </c>
    </row>
    <row r="117" spans="1:46" hidden="1"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c r="AT117">
        <f t="shared" si="2"/>
        <v>1.0388909486615747</v>
      </c>
    </row>
    <row r="118" spans="1:46" hidden="1"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c r="AT118">
        <f t="shared" si="2"/>
        <v>1.0092549721414414</v>
      </c>
    </row>
    <row r="119" spans="1:46" hidden="1" x14ac:dyDescent="0.2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c r="AT119">
        <f t="shared" si="2"/>
        <v>1.3807375260728398</v>
      </c>
    </row>
    <row r="120" spans="1:46" hidden="1" x14ac:dyDescent="0.2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c r="AT120">
        <f t="shared" si="2"/>
        <v>1.0292974419372813</v>
      </c>
    </row>
    <row r="121" spans="1:46" hidden="1" x14ac:dyDescent="0.2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c r="AT121">
        <f t="shared" si="2"/>
        <v>1</v>
      </c>
    </row>
    <row r="122" spans="1:46" hidden="1"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36">
        <f xml:space="preserve"> 15439654 * 1000</f>
        <v>15439654000</v>
      </c>
      <c r="AT122">
        <f t="shared" si="2"/>
        <v>1112.0459694239262</v>
      </c>
    </row>
    <row r="123" spans="1:46" hidden="1" x14ac:dyDescent="0.2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36">
        <f xml:space="preserve"> 5861743 * 1000</f>
        <v>5861743000</v>
      </c>
      <c r="AT123">
        <f t="shared" si="2"/>
        <v>0.9998732458929025</v>
      </c>
    </row>
    <row r="124" spans="1:46" hidden="1" x14ac:dyDescent="0.2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36">
        <f xml:space="preserve"> 9670356 * 1000</f>
        <v>9670356000</v>
      </c>
      <c r="AS124" s="47">
        <f xml:space="preserve"> 13624 * 1000</f>
        <v>13624000</v>
      </c>
      <c r="AT124">
        <f t="shared" si="2"/>
        <v>3.579634089996273E-3</v>
      </c>
    </row>
    <row r="125" spans="1:46"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36" t="s">
        <v>2370</v>
      </c>
      <c r="AT125" t="e">
        <f t="shared" si="2"/>
        <v>#VALUE!</v>
      </c>
    </row>
    <row r="126" spans="1:46" hidden="1"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2310</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f t="shared" si="2"/>
        <v>1.0454302760287379</v>
      </c>
    </row>
    <row r="127" spans="1:46" hidden="1"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6">
        <f xml:space="preserve"> 711184 * 1000</f>
        <v>711184000</v>
      </c>
      <c r="AT127">
        <f t="shared" si="2"/>
        <v>27.021699025849852</v>
      </c>
    </row>
    <row r="128" spans="1:46" hidden="1"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6">
        <f xml:space="preserve"> 1081076 * 1000</f>
        <v>1081076000</v>
      </c>
      <c r="AT128">
        <f t="shared" si="2"/>
        <v>17.776178548039177</v>
      </c>
    </row>
    <row r="129" spans="1:46" ht="14.25" hidden="1"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6">
        <f xml:space="preserve"> 7165717 * 1000</f>
        <v>7165717000</v>
      </c>
      <c r="AT129">
        <f t="shared" si="2"/>
        <v>2.6818530511322174</v>
      </c>
    </row>
    <row r="130" spans="1:46" hidden="1"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6">
        <f xml:space="preserve"> 7766752 * 1000</f>
        <v>7766752000</v>
      </c>
      <c r="AT130">
        <f t="shared" si="2"/>
        <v>2.4743161620198508</v>
      </c>
    </row>
    <row r="131" spans="1:46" hidden="1" x14ac:dyDescent="0.2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6">
        <f xml:space="preserve"> 10389574 * 1000</f>
        <v>10389574000</v>
      </c>
      <c r="AT131">
        <f t="shared" ref="AT131:AT194" si="5">J131 / AR131</f>
        <v>1043.0227456871667</v>
      </c>
    </row>
    <row r="132" spans="1:46" hidden="1"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6">
        <f xml:space="preserve"> 2091851 * 1000</f>
        <v>2091851000</v>
      </c>
      <c r="AT132">
        <f t="shared" si="5"/>
        <v>9.1867919847063675</v>
      </c>
    </row>
    <row r="133" spans="1:46" hidden="1"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6">
        <f xml:space="preserve"> 1513506 * 1000</f>
        <v>1513506000</v>
      </c>
      <c r="AT133">
        <f t="shared" si="5"/>
        <v>12.697273747180388</v>
      </c>
    </row>
    <row r="134" spans="1:46" hidden="1"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6">
        <f xml:space="preserve"> 721000 * 1000</f>
        <v>721000000</v>
      </c>
      <c r="AT134">
        <f t="shared" si="5"/>
        <v>29.91123439667129</v>
      </c>
    </row>
    <row r="135" spans="1:46" hidden="1"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6">
        <f xml:space="preserve"> 26852009 * 1000</f>
        <v>26852009000</v>
      </c>
      <c r="AT135">
        <f t="shared" si="5"/>
        <v>1017.0574574140803</v>
      </c>
    </row>
    <row r="136" spans="1:46" hidden="1"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36">
        <f xml:space="preserve"> 20246240 * 1000</f>
        <v>20246240000</v>
      </c>
      <c r="AT136">
        <f t="shared" si="5"/>
        <v>0.5704269039584634</v>
      </c>
    </row>
    <row r="137" spans="1:46" x14ac:dyDescent="0.2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36" t="s">
        <v>2370</v>
      </c>
      <c r="AT137" t="e">
        <f t="shared" si="5"/>
        <v>#VALUE!</v>
      </c>
    </row>
    <row r="138" spans="1:46" hidden="1" x14ac:dyDescent="0.2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36">
        <f xml:space="preserve"> 20246240 * 1000</f>
        <v>20246240000</v>
      </c>
      <c r="AT138">
        <f t="shared" si="5"/>
        <v>0.5704269039584634</v>
      </c>
    </row>
    <row r="139" spans="1:46" hidden="1" x14ac:dyDescent="0.2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6">
        <f xml:space="preserve"> 314898 * 1000</f>
        <v>314898000</v>
      </c>
      <c r="AT139">
        <f t="shared" si="5"/>
        <v>36.675367896906302</v>
      </c>
    </row>
    <row r="140" spans="1:46" x14ac:dyDescent="0.25">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36" t="s">
        <v>2370</v>
      </c>
      <c r="AT140" t="e">
        <f t="shared" si="5"/>
        <v>#VALUE!</v>
      </c>
    </row>
    <row r="141" spans="1:46" hidden="1" x14ac:dyDescent="0.2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f t="shared" si="5"/>
        <v>1.9376804778482133</v>
      </c>
    </row>
    <row r="142" spans="1:46" hidden="1"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f t="shared" si="5"/>
        <v>1.0608326116784954</v>
      </c>
    </row>
    <row r="143" spans="1:46" hidden="1"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f t="shared" si="5"/>
        <v>0.99999463325032756</v>
      </c>
    </row>
    <row r="144" spans="1:46"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36" t="s">
        <v>2370</v>
      </c>
      <c r="AT144" t="e">
        <f t="shared" si="5"/>
        <v>#VALUE!</v>
      </c>
    </row>
    <row r="145" spans="1:46" hidden="1" x14ac:dyDescent="0.25">
      <c r="A145" s="3">
        <v>2014</v>
      </c>
      <c r="B145" s="3" t="s">
        <v>199</v>
      </c>
      <c r="C145" s="3" t="s">
        <v>7</v>
      </c>
      <c r="D145" s="3" t="s">
        <v>32</v>
      </c>
      <c r="E145" s="3" t="s">
        <v>33</v>
      </c>
      <c r="F145" s="3" t="s">
        <v>89</v>
      </c>
      <c r="G145" s="3" t="s">
        <v>723</v>
      </c>
      <c r="H145" s="13">
        <v>2011</v>
      </c>
      <c r="I145" s="13" t="s">
        <v>623</v>
      </c>
      <c r="J145" s="10">
        <f xml:space="preserve"> 215848343 * 1000000</f>
        <v>215848343000000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203810578800998.13</v>
      </c>
      <c r="AR145" s="36">
        <f xml:space="preserve"> (1579222 + 3838249 + 3098960 + 10958085 + 16878226 + 13818608 + 19349283 + 22186502 + 14847326 + 11585787 + 2293046 + 3914402 + 87911471 + 3954004 + 845955) * 1000</f>
        <v>217059126000</v>
      </c>
      <c r="AT145">
        <f t="shared" si="5"/>
        <v>994.42187471076431</v>
      </c>
    </row>
    <row r="146" spans="1:46" hidden="1" x14ac:dyDescent="0.25">
      <c r="A146" s="3">
        <v>2014</v>
      </c>
      <c r="B146" s="3" t="s">
        <v>200</v>
      </c>
      <c r="C146" s="3" t="s">
        <v>7</v>
      </c>
      <c r="D146" s="3" t="s">
        <v>32</v>
      </c>
      <c r="E146" s="3" t="s">
        <v>33</v>
      </c>
      <c r="F146" s="3" t="s">
        <v>89</v>
      </c>
      <c r="G146" s="3" t="s">
        <v>623</v>
      </c>
      <c r="H146" s="13">
        <v>2002</v>
      </c>
      <c r="I146" s="13" t="s">
        <v>623</v>
      </c>
      <c r="J146" s="10">
        <f xml:space="preserve"> 3040838 * 1000000</f>
        <v>3040838000000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2871251843800.6704</v>
      </c>
      <c r="AR146" s="36">
        <f xml:space="preserve"> 3040838 * 1000</f>
        <v>3040838000</v>
      </c>
      <c r="AT146">
        <f t="shared" si="5"/>
        <v>1000</v>
      </c>
    </row>
    <row r="147" spans="1:46" hidden="1"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36">
        <f xml:space="preserve"> 5863206 * 1000</f>
        <v>5863206000</v>
      </c>
      <c r="AT147" t="e">
        <f t="shared" si="5"/>
        <v>#VALUE!</v>
      </c>
    </row>
    <row r="148" spans="1:46" hidden="1"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f t="shared" si="5"/>
        <v>1.3908125880896387</v>
      </c>
    </row>
    <row r="149" spans="1:46" hidden="1"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f t="shared" si="5"/>
        <v>1.0000528310989765</v>
      </c>
    </row>
    <row r="150" spans="1:46" hidden="1"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f t="shared" si="5"/>
        <v>0.99999638677414804</v>
      </c>
    </row>
    <row r="151" spans="1:46" hidden="1"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36">
        <f xml:space="preserve"> 877025 * 1000</f>
        <v>877025000</v>
      </c>
      <c r="AT151">
        <f t="shared" si="5"/>
        <v>6.3156694506998088</v>
      </c>
    </row>
    <row r="152" spans="1:46" hidden="1" x14ac:dyDescent="0.2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36">
        <f xml:space="preserve"> 6969715 * 1000</f>
        <v>6969715000</v>
      </c>
      <c r="AT152" t="e">
        <f t="shared" si="5"/>
        <v>#VALUE!</v>
      </c>
    </row>
    <row r="153" spans="1:46" hidden="1"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36">
        <f xml:space="preserve"> 18361024 * 1000</f>
        <v>18361024000</v>
      </c>
      <c r="AT153">
        <f t="shared" si="5"/>
        <v>0.92320559027644644</v>
      </c>
    </row>
    <row r="154" spans="1:46"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36" t="s">
        <v>2370</v>
      </c>
      <c r="AT154" t="e">
        <f t="shared" si="5"/>
        <v>#VALUE!</v>
      </c>
    </row>
    <row r="155" spans="1:46" hidden="1"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2300</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c r="AT155">
        <f t="shared" si="5"/>
        <v>1.0332980289840097</v>
      </c>
    </row>
    <row r="156" spans="1:46" hidden="1"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c r="AT156">
        <f t="shared" si="5"/>
        <v>1.0002287733085971</v>
      </c>
    </row>
    <row r="157" spans="1:46" hidden="1" x14ac:dyDescent="0.2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c r="AT157">
        <f t="shared" si="5"/>
        <v>1.1707075150600434</v>
      </c>
    </row>
    <row r="158" spans="1:46" x14ac:dyDescent="0.25">
      <c r="A158" s="3">
        <v>2013</v>
      </c>
      <c r="B158" s="3" t="s">
        <v>223</v>
      </c>
      <c r="C158" s="3" t="s">
        <v>155</v>
      </c>
      <c r="D158" s="3" t="s">
        <v>54</v>
      </c>
      <c r="E158" s="3" t="s">
        <v>55</v>
      </c>
      <c r="F158" s="3" t="s">
        <v>157</v>
      </c>
      <c r="G158" s="3" t="s">
        <v>723</v>
      </c>
      <c r="H158" s="12">
        <v>1990</v>
      </c>
      <c r="I158" s="13"/>
      <c r="J158" s="13" t="s">
        <v>623</v>
      </c>
      <c r="K158" s="3"/>
      <c r="L158" s="3" t="s">
        <v>2374</v>
      </c>
      <c r="M158" s="3" t="s">
        <v>2259</v>
      </c>
      <c r="N158" s="3" t="s">
        <v>2260</v>
      </c>
      <c r="O158" s="3" t="s">
        <v>2261</v>
      </c>
      <c r="P158" s="3" t="s">
        <v>2262</v>
      </c>
      <c r="Q158" s="3"/>
      <c r="R158" s="11" t="s">
        <v>2257</v>
      </c>
      <c r="S158" s="11" t="s">
        <v>2258</v>
      </c>
      <c r="T158" s="3"/>
      <c r="U158" s="3"/>
      <c r="V158" s="3"/>
      <c r="W158" s="10" t="str">
        <f>IF( J158="s.i", "s.i", IF(ISBLANK(J158),"Actualizando información",IFERROR(J158 / VLOOKUP(A158,Deflactor!$G$3:$H$64,2,0),"Revisar error" )))</f>
        <v>s.i</v>
      </c>
      <c r="AR158" s="36" t="s">
        <v>2370</v>
      </c>
      <c r="AT158" t="e">
        <f t="shared" si="5"/>
        <v>#VALUE!</v>
      </c>
    </row>
    <row r="159" spans="1:46" hidden="1" x14ac:dyDescent="0.25">
      <c r="A159" s="3">
        <v>2013</v>
      </c>
      <c r="B159" s="3" t="s">
        <v>224</v>
      </c>
      <c r="C159" s="3" t="s">
        <v>7</v>
      </c>
      <c r="D159" s="3" t="s">
        <v>12</v>
      </c>
      <c r="E159" s="3" t="s">
        <v>12</v>
      </c>
      <c r="F159" s="3" t="s">
        <v>194</v>
      </c>
      <c r="G159" s="3" t="s">
        <v>723</v>
      </c>
      <c r="H159" s="12">
        <v>2009</v>
      </c>
      <c r="I159" s="13"/>
      <c r="J159" s="10">
        <f xml:space="preserve"> 273418358 * 1000</f>
        <v>273418358000</v>
      </c>
      <c r="K159" s="3" t="s">
        <v>2280</v>
      </c>
      <c r="L159" s="3" t="s">
        <v>2266</v>
      </c>
      <c r="M159" s="3" t="s">
        <v>2267</v>
      </c>
      <c r="N159" s="3" t="s">
        <v>2268</v>
      </c>
      <c r="O159" s="3" t="s">
        <v>2269</v>
      </c>
      <c r="P159" s="3" t="s">
        <v>2270</v>
      </c>
      <c r="Q159" s="3"/>
      <c r="R159" s="11" t="s">
        <v>2263</v>
      </c>
      <c r="S159" s="11" t="s">
        <v>2264</v>
      </c>
      <c r="T159" s="11" t="s">
        <v>2265</v>
      </c>
      <c r="U159" s="3"/>
      <c r="V159" s="3"/>
      <c r="W159" s="10">
        <f>IF( J159="s.i", "s.i", IF(ISBLANK(J159),"Actualizando información",IFERROR(J159 / VLOOKUP(A159,Deflactor!$G$3:$H$64,2,0),"Revisar error" )))</f>
        <v>273418358000</v>
      </c>
      <c r="AR159" s="36">
        <f xml:space="preserve"> 37023420 * 1000</f>
        <v>37023420000</v>
      </c>
      <c r="AT159">
        <f t="shared" si="5"/>
        <v>7.3850108390850977</v>
      </c>
    </row>
    <row r="160" spans="1:46" hidden="1"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2274</v>
      </c>
      <c r="M160" s="3" t="s">
        <v>2275</v>
      </c>
      <c r="N160" s="3" t="s">
        <v>2276</v>
      </c>
      <c r="O160" s="3" t="s">
        <v>2277</v>
      </c>
      <c r="P160" s="3" t="s">
        <v>2278</v>
      </c>
      <c r="Q160" s="3"/>
      <c r="R160" s="11" t="s">
        <v>2271</v>
      </c>
      <c r="S160" s="11" t="s">
        <v>2272</v>
      </c>
      <c r="T160" s="11" t="s">
        <v>2273</v>
      </c>
      <c r="U160" s="3"/>
      <c r="V160" s="3"/>
      <c r="W160" s="10">
        <f>IF( J160="s.i", "s.i", IF(ISBLANK(J160),"Actualizando información",IFERROR(J160 / VLOOKUP(A160,Deflactor!$G$3:$H$64,2,0),"Revisar error" )))</f>
        <v>3192335000</v>
      </c>
      <c r="AR160" s="10">
        <f xml:space="preserve"> 2267990 * 1000</f>
        <v>2267990000</v>
      </c>
      <c r="AT160">
        <f t="shared" si="5"/>
        <v>1.4075613208171112</v>
      </c>
    </row>
    <row r="161" spans="1:46"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36" t="s">
        <v>2370</v>
      </c>
      <c r="AT161" t="e">
        <f t="shared" si="5"/>
        <v>#VALUE!</v>
      </c>
    </row>
    <row r="162" spans="1:46"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36" t="s">
        <v>2370</v>
      </c>
      <c r="AT162" t="e">
        <f t="shared" si="5"/>
        <v>#VALUE!</v>
      </c>
    </row>
    <row r="163" spans="1:46"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36" t="s">
        <v>2370</v>
      </c>
      <c r="AT163" t="e">
        <f t="shared" si="5"/>
        <v>#VALUE!</v>
      </c>
    </row>
    <row r="164" spans="1:46" hidden="1"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c r="AT164">
        <f t="shared" si="5"/>
        <v>0</v>
      </c>
    </row>
    <row r="165" spans="1:46" x14ac:dyDescent="0.25">
      <c r="A165" s="3">
        <v>2013</v>
      </c>
      <c r="B165" s="3" t="s">
        <v>2371</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36" t="s">
        <v>2370</v>
      </c>
      <c r="AT165" t="e">
        <f t="shared" si="5"/>
        <v>#VALUE!</v>
      </c>
    </row>
    <row r="166" spans="1:46" hidden="1" x14ac:dyDescent="0.2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c r="AT166">
        <f t="shared" si="5"/>
        <v>0</v>
      </c>
    </row>
    <row r="167" spans="1:46" hidden="1" x14ac:dyDescent="0.2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c r="AT167">
        <f t="shared" si="5"/>
        <v>0</v>
      </c>
    </row>
    <row r="168" spans="1:46" hidden="1" x14ac:dyDescent="0.2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c r="AT168">
        <f t="shared" si="5"/>
        <v>0</v>
      </c>
    </row>
    <row r="169" spans="1:46" hidden="1" x14ac:dyDescent="0.2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c r="AT169">
        <f t="shared" si="5"/>
        <v>0</v>
      </c>
    </row>
    <row r="170" spans="1:46" hidden="1" x14ac:dyDescent="0.2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c r="AT170">
        <f t="shared" si="5"/>
        <v>0</v>
      </c>
    </row>
    <row r="171" spans="1:46" hidden="1" x14ac:dyDescent="0.2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c r="AT171">
        <f t="shared" si="5"/>
        <v>0</v>
      </c>
    </row>
    <row r="172" spans="1:46" hidden="1" x14ac:dyDescent="0.2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c r="AT172">
        <f t="shared" si="5"/>
        <v>0</v>
      </c>
    </row>
    <row r="173" spans="1:46" hidden="1" x14ac:dyDescent="0.2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c r="AT173">
        <f t="shared" si="5"/>
        <v>0</v>
      </c>
    </row>
    <row r="174" spans="1:46" hidden="1" x14ac:dyDescent="0.2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c r="AT174">
        <f t="shared" si="5"/>
        <v>0</v>
      </c>
    </row>
    <row r="175" spans="1:46" hidden="1" x14ac:dyDescent="0.25">
      <c r="A175" s="3">
        <v>2012</v>
      </c>
      <c r="B175" s="3" t="s">
        <v>244</v>
      </c>
      <c r="C175" s="3" t="s">
        <v>92</v>
      </c>
      <c r="D175" s="3" t="s">
        <v>8</v>
      </c>
      <c r="E175" s="3" t="s">
        <v>51</v>
      </c>
      <c r="F175" s="3" t="s">
        <v>157</v>
      </c>
      <c r="G175" s="3" t="s">
        <v>623</v>
      </c>
      <c r="H175" s="12">
        <v>2004</v>
      </c>
      <c r="I175" s="13" t="s">
        <v>623</v>
      </c>
      <c r="J175" s="10" t="s">
        <v>623</v>
      </c>
      <c r="K175" s="3" t="s">
        <v>2305</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36">
        <f xml:space="preserve"> 16040645 * 1000</f>
        <v>16040645000</v>
      </c>
      <c r="AT175" t="e">
        <f t="shared" si="5"/>
        <v>#VALUE!</v>
      </c>
    </row>
    <row r="176" spans="1:46" hidden="1" x14ac:dyDescent="0.2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f t="shared" si="5"/>
        <v>0.99995681016722315</v>
      </c>
    </row>
    <row r="177" spans="1:46" hidden="1"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f t="shared" si="5"/>
        <v>0.91937625398723599</v>
      </c>
    </row>
    <row r="178" spans="1:46"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36" t="s">
        <v>2370</v>
      </c>
      <c r="AT178" t="e">
        <f t="shared" si="5"/>
        <v>#VALUE!</v>
      </c>
    </row>
    <row r="179" spans="1:46" hidden="1"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f t="shared" si="5"/>
        <v>1.0605142528292617</v>
      </c>
    </row>
    <row r="180" spans="1:46" hidden="1" x14ac:dyDescent="0.25">
      <c r="A180" s="3">
        <v>2012</v>
      </c>
      <c r="B180" s="3" t="s">
        <v>249</v>
      </c>
      <c r="C180" s="3" t="s">
        <v>7</v>
      </c>
      <c r="D180" s="3" t="s">
        <v>20</v>
      </c>
      <c r="E180" s="3" t="s">
        <v>23</v>
      </c>
      <c r="F180" s="3" t="s">
        <v>89</v>
      </c>
      <c r="G180" s="3" t="s">
        <v>723</v>
      </c>
      <c r="H180" s="3">
        <v>2006</v>
      </c>
      <c r="I180" s="13" t="s">
        <v>623</v>
      </c>
      <c r="J180" s="10">
        <f xml:space="preserve"> 35827751 * 1000000000</f>
        <v>3.5827751E+16</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3.653593854429504E+16</v>
      </c>
      <c r="AR180" s="36">
        <f xml:space="preserve"> 3576648 * 1000</f>
        <v>3576648000</v>
      </c>
      <c r="AT180">
        <f t="shared" si="5"/>
        <v>10017130.844298908</v>
      </c>
    </row>
    <row r="181" spans="1:46" hidden="1"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f t="shared" si="5"/>
        <v>1.0182745944640283</v>
      </c>
    </row>
    <row r="182" spans="1:46" hidden="1"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36">
        <f xml:space="preserve"> 1573969 * 1000</f>
        <v>1573969000</v>
      </c>
      <c r="AT182" t="e">
        <f t="shared" si="5"/>
        <v>#VALUE!</v>
      </c>
    </row>
    <row r="183" spans="1:46" hidden="1" x14ac:dyDescent="0.25">
      <c r="A183" s="3">
        <v>2012</v>
      </c>
      <c r="B183" s="3" t="s">
        <v>252</v>
      </c>
      <c r="C183" s="3" t="s">
        <v>92</v>
      </c>
      <c r="D183" s="3" t="s">
        <v>8</v>
      </c>
      <c r="E183" s="3" t="s">
        <v>51</v>
      </c>
      <c r="F183" s="3" t="s">
        <v>157</v>
      </c>
      <c r="G183" s="3" t="s">
        <v>623</v>
      </c>
      <c r="H183" s="12">
        <v>1991</v>
      </c>
      <c r="I183" s="13" t="s">
        <v>623</v>
      </c>
      <c r="J183" s="10" t="s">
        <v>623</v>
      </c>
      <c r="K183" s="3" t="s">
        <v>2304</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36">
        <f xml:space="preserve"> 12117961 * 1000</f>
        <v>12117961000</v>
      </c>
      <c r="AT183" t="e">
        <f t="shared" si="5"/>
        <v>#VALUE!</v>
      </c>
    </row>
    <row r="184" spans="1:46" hidden="1" x14ac:dyDescent="0.25">
      <c r="A184" s="3">
        <v>2012</v>
      </c>
      <c r="B184" s="3" t="s">
        <v>253</v>
      </c>
      <c r="C184" s="3" t="s">
        <v>92</v>
      </c>
      <c r="D184" s="3" t="s">
        <v>8</v>
      </c>
      <c r="E184" s="3" t="s">
        <v>51</v>
      </c>
      <c r="F184" s="3" t="s">
        <v>157</v>
      </c>
      <c r="G184" s="3" t="s">
        <v>623</v>
      </c>
      <c r="H184" s="13" t="s">
        <v>623</v>
      </c>
      <c r="I184" s="13" t="s">
        <v>623</v>
      </c>
      <c r="J184" s="10" t="s">
        <v>623</v>
      </c>
      <c r="K184" s="3" t="s">
        <v>2304</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36">
        <f xml:space="preserve"> (36921991 + 16291636) * 1000</f>
        <v>53213627000</v>
      </c>
      <c r="AT184" t="e">
        <f t="shared" si="5"/>
        <v>#VALUE!</v>
      </c>
    </row>
    <row r="185" spans="1:46" hidden="1" x14ac:dyDescent="0.25">
      <c r="A185" s="3">
        <v>2012</v>
      </c>
      <c r="B185" s="3" t="s">
        <v>254</v>
      </c>
      <c r="C185" s="3" t="s">
        <v>92</v>
      </c>
      <c r="D185" s="3" t="s">
        <v>8</v>
      </c>
      <c r="E185" s="3" t="s">
        <v>51</v>
      </c>
      <c r="F185" s="3" t="s">
        <v>157</v>
      </c>
      <c r="G185" s="3" t="s">
        <v>623</v>
      </c>
      <c r="H185" s="12">
        <v>2008</v>
      </c>
      <c r="I185" s="13" t="s">
        <v>623</v>
      </c>
      <c r="J185" s="10" t="s">
        <v>623</v>
      </c>
      <c r="K185" s="3" t="s">
        <v>2306</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36">
        <f xml:space="preserve"> (4761492 + 2019538) * 1000</f>
        <v>6781030000</v>
      </c>
      <c r="AT185" t="e">
        <f t="shared" si="5"/>
        <v>#VALUE!</v>
      </c>
    </row>
    <row r="186" spans="1:46" hidden="1" x14ac:dyDescent="0.25">
      <c r="A186" s="3">
        <v>2012</v>
      </c>
      <c r="B186" s="3" t="s">
        <v>255</v>
      </c>
      <c r="C186" s="3" t="s">
        <v>92</v>
      </c>
      <c r="D186" s="3" t="s">
        <v>8</v>
      </c>
      <c r="E186" s="3" t="s">
        <v>51</v>
      </c>
      <c r="F186" s="3" t="s">
        <v>157</v>
      </c>
      <c r="G186" s="3" t="s">
        <v>623</v>
      </c>
      <c r="H186" s="12">
        <v>2009</v>
      </c>
      <c r="I186" s="13" t="s">
        <v>623</v>
      </c>
      <c r="J186" s="10" t="s">
        <v>623</v>
      </c>
      <c r="K186" s="3" t="s">
        <v>2307</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36">
        <f xml:space="preserve"> 1100133 * 1000</f>
        <v>1100133000</v>
      </c>
      <c r="AT186" t="e">
        <f t="shared" si="5"/>
        <v>#VALUE!</v>
      </c>
    </row>
    <row r="187" spans="1:46" hidden="1" x14ac:dyDescent="0.25">
      <c r="A187" s="3">
        <v>2012</v>
      </c>
      <c r="B187" s="3" t="s">
        <v>256</v>
      </c>
      <c r="C187" s="3" t="s">
        <v>92</v>
      </c>
      <c r="D187" s="3" t="s">
        <v>8</v>
      </c>
      <c r="E187" s="3" t="s">
        <v>51</v>
      </c>
      <c r="F187" s="3" t="s">
        <v>157</v>
      </c>
      <c r="G187" s="3" t="s">
        <v>623</v>
      </c>
      <c r="H187" s="12">
        <v>2010</v>
      </c>
      <c r="I187" s="13" t="s">
        <v>623</v>
      </c>
      <c r="J187" s="10" t="s">
        <v>623</v>
      </c>
      <c r="K187" s="3" t="s">
        <v>2308</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36">
        <f xml:space="preserve"> (7265706 + 4354755) * 1000</f>
        <v>11620461000</v>
      </c>
      <c r="AT187" t="e">
        <f t="shared" si="5"/>
        <v>#VALUE!</v>
      </c>
    </row>
    <row r="188" spans="1:46" hidden="1" x14ac:dyDescent="0.25">
      <c r="A188" s="3">
        <v>2012</v>
      </c>
      <c r="B188" s="3" t="s">
        <v>257</v>
      </c>
      <c r="C188" s="3" t="s">
        <v>92</v>
      </c>
      <c r="D188" s="3" t="s">
        <v>8</v>
      </c>
      <c r="E188" s="3" t="s">
        <v>51</v>
      </c>
      <c r="F188" s="3" t="s">
        <v>157</v>
      </c>
      <c r="G188" s="3" t="s">
        <v>623</v>
      </c>
      <c r="H188" s="12">
        <v>1992</v>
      </c>
      <c r="I188" s="13" t="s">
        <v>623</v>
      </c>
      <c r="J188" s="10" t="s">
        <v>623</v>
      </c>
      <c r="K188" s="3" t="s">
        <v>2309</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36">
        <f xml:space="preserve"> (1289112 + 327714) * 1000</f>
        <v>1616826000</v>
      </c>
      <c r="AT188" t="e">
        <f t="shared" si="5"/>
        <v>#VALUE!</v>
      </c>
    </row>
    <row r="189" spans="1:46" hidden="1" x14ac:dyDescent="0.25">
      <c r="A189" s="3">
        <v>2012</v>
      </c>
      <c r="B189" s="3" t="s">
        <v>258</v>
      </c>
      <c r="C189" s="3" t="s">
        <v>92</v>
      </c>
      <c r="D189" s="3" t="s">
        <v>8</v>
      </c>
      <c r="E189" s="3" t="s">
        <v>51</v>
      </c>
      <c r="F189" s="3" t="s">
        <v>157</v>
      </c>
      <c r="G189" s="3" t="s">
        <v>903</v>
      </c>
      <c r="H189" s="12">
        <v>2002</v>
      </c>
      <c r="I189" s="13" t="s">
        <v>623</v>
      </c>
      <c r="J189" s="10" t="s">
        <v>623</v>
      </c>
      <c r="K189" s="3" t="s">
        <v>2305</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36">
        <f xml:space="preserve"> (15597227 + 7331170) * 1000</f>
        <v>22928397000</v>
      </c>
      <c r="AT189" t="e">
        <f t="shared" si="5"/>
        <v>#VALUE!</v>
      </c>
    </row>
    <row r="190" spans="1:46" hidden="1"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36">
        <f xml:space="preserve"> 1286606 * 1000</f>
        <v>1286606000</v>
      </c>
      <c r="AT190" t="e">
        <f t="shared" si="5"/>
        <v>#VALUE!</v>
      </c>
    </row>
    <row r="191" spans="1:46" hidden="1" x14ac:dyDescent="0.25">
      <c r="A191" s="3">
        <v>2012</v>
      </c>
      <c r="B191" s="3" t="s">
        <v>260</v>
      </c>
      <c r="C191" s="3" t="s">
        <v>92</v>
      </c>
      <c r="D191" s="3" t="s">
        <v>8</v>
      </c>
      <c r="E191" s="3" t="s">
        <v>51</v>
      </c>
      <c r="F191" s="3" t="s">
        <v>157</v>
      </c>
      <c r="G191" s="3" t="s">
        <v>623</v>
      </c>
      <c r="H191" s="12">
        <v>2003</v>
      </c>
      <c r="I191" s="13" t="s">
        <v>623</v>
      </c>
      <c r="J191" s="10" t="s">
        <v>623</v>
      </c>
      <c r="K191" s="3" t="s">
        <v>2305</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36">
        <f xml:space="preserve"> 9813718 * 1000</f>
        <v>9813718000</v>
      </c>
      <c r="AT191" t="e">
        <f t="shared" si="5"/>
        <v>#VALUE!</v>
      </c>
    </row>
    <row r="192" spans="1:46" hidden="1"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6">
        <f xml:space="preserve"> (1420550 + 194489) * 1000</f>
        <v>1615039000</v>
      </c>
      <c r="AT192">
        <f t="shared" si="5"/>
        <v>1061232.5770461271</v>
      </c>
    </row>
    <row r="193" spans="1:46" hidden="1"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f t="shared" si="5"/>
        <v>1.0100635557298934</v>
      </c>
    </row>
    <row r="194" spans="1:46" hidden="1"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2284</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f t="shared" si="5"/>
        <v>1.9424428091366579</v>
      </c>
    </row>
    <row r="195" spans="1:46" hidden="1" x14ac:dyDescent="0.2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2284</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f t="shared" ref="AT195:AT258" si="9">J195 / AR195</f>
        <v>1.9424428091366579</v>
      </c>
    </row>
    <row r="196" spans="1:46" hidden="1" x14ac:dyDescent="0.25">
      <c r="A196" s="3">
        <v>2012</v>
      </c>
      <c r="B196" s="3" t="s">
        <v>267</v>
      </c>
      <c r="C196" s="3" t="s">
        <v>7</v>
      </c>
      <c r="D196" s="3" t="s">
        <v>40</v>
      </c>
      <c r="E196" s="3" t="s">
        <v>41</v>
      </c>
      <c r="F196" s="3" t="s">
        <v>89</v>
      </c>
      <c r="G196" s="3" t="s">
        <v>623</v>
      </c>
      <c r="H196" s="12">
        <v>2008</v>
      </c>
      <c r="I196" s="13" t="s">
        <v>623</v>
      </c>
      <c r="J196" s="10">
        <f t="shared" si="7"/>
        <v>14778000000</v>
      </c>
      <c r="K196" s="3" t="s">
        <v>2284</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f t="shared" si="9"/>
        <v>1.9424428091366579</v>
      </c>
    </row>
    <row r="197" spans="1:46" hidden="1" x14ac:dyDescent="0.25">
      <c r="A197" s="3">
        <v>2012</v>
      </c>
      <c r="B197" s="3" t="s">
        <v>268</v>
      </c>
      <c r="C197" s="3" t="s">
        <v>7</v>
      </c>
      <c r="D197" s="3" t="s">
        <v>40</v>
      </c>
      <c r="E197" s="3" t="s">
        <v>41</v>
      </c>
      <c r="F197" s="3" t="s">
        <v>89</v>
      </c>
      <c r="G197" s="3" t="s">
        <v>623</v>
      </c>
      <c r="H197" s="12">
        <v>2008</v>
      </c>
      <c r="I197" s="13" t="s">
        <v>623</v>
      </c>
      <c r="J197" s="10">
        <f t="shared" si="7"/>
        <v>14778000000</v>
      </c>
      <c r="K197" s="3" t="s">
        <v>2284</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f t="shared" si="9"/>
        <v>1.9424428091366579</v>
      </c>
    </row>
    <row r="198" spans="1:46" hidden="1" x14ac:dyDescent="0.25">
      <c r="A198" s="3">
        <v>2012</v>
      </c>
      <c r="B198" s="3" t="s">
        <v>269</v>
      </c>
      <c r="C198" s="3" t="s">
        <v>7</v>
      </c>
      <c r="D198" s="3" t="s">
        <v>40</v>
      </c>
      <c r="E198" s="3" t="s">
        <v>41</v>
      </c>
      <c r="F198" s="3" t="s">
        <v>89</v>
      </c>
      <c r="G198" s="3" t="s">
        <v>623</v>
      </c>
      <c r="H198" s="12">
        <v>2008</v>
      </c>
      <c r="I198" s="13" t="s">
        <v>623</v>
      </c>
      <c r="J198" s="10">
        <f t="shared" si="7"/>
        <v>14778000000</v>
      </c>
      <c r="K198" s="3" t="s">
        <v>2284</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f t="shared" si="9"/>
        <v>1.9424428091366579</v>
      </c>
    </row>
    <row r="199" spans="1:46" hidden="1" x14ac:dyDescent="0.25">
      <c r="A199" s="3">
        <v>2012</v>
      </c>
      <c r="B199" s="3" t="s">
        <v>270</v>
      </c>
      <c r="C199" s="3" t="s">
        <v>7</v>
      </c>
      <c r="D199" s="3" t="s">
        <v>40</v>
      </c>
      <c r="E199" s="3" t="s">
        <v>41</v>
      </c>
      <c r="F199" s="3" t="s">
        <v>89</v>
      </c>
      <c r="G199" s="3" t="s">
        <v>623</v>
      </c>
      <c r="H199" s="12">
        <v>2008</v>
      </c>
      <c r="I199" s="13" t="s">
        <v>623</v>
      </c>
      <c r="J199" s="10">
        <f t="shared" si="7"/>
        <v>14778000000</v>
      </c>
      <c r="K199" s="3" t="s">
        <v>2284</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f t="shared" si="9"/>
        <v>1.9424428091366579</v>
      </c>
    </row>
    <row r="200" spans="1:46" hidden="1" x14ac:dyDescent="0.25">
      <c r="A200" s="3">
        <v>2012</v>
      </c>
      <c r="B200" s="3" t="s">
        <v>271</v>
      </c>
      <c r="C200" s="3" t="s">
        <v>7</v>
      </c>
      <c r="D200" s="3" t="s">
        <v>40</v>
      </c>
      <c r="E200" s="3" t="s">
        <v>160</v>
      </c>
      <c r="F200" s="3" t="s">
        <v>30</v>
      </c>
      <c r="G200" s="3" t="s">
        <v>623</v>
      </c>
      <c r="H200" s="12">
        <v>2006</v>
      </c>
      <c r="I200" s="13" t="s">
        <v>623</v>
      </c>
      <c r="J200" s="10">
        <f xml:space="preserve"> 7097848 * 1000000</f>
        <v>7097848000000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7238147276527.2773</v>
      </c>
      <c r="AR200" s="36">
        <f xml:space="preserve"> 7097848 * 1000</f>
        <v>7097848000</v>
      </c>
      <c r="AT200">
        <f t="shared" si="9"/>
        <v>1000</v>
      </c>
    </row>
    <row r="201" spans="1:46" hidden="1"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36">
        <f xml:space="preserve"> 4151851 * 1000</f>
        <v>4151851000</v>
      </c>
      <c r="AT201">
        <f t="shared" si="9"/>
        <v>0.32997330588212342</v>
      </c>
    </row>
    <row r="202" spans="1:46" hidden="1" x14ac:dyDescent="0.25">
      <c r="A202" s="3">
        <v>2012</v>
      </c>
      <c r="B202" s="3" t="s">
        <v>273</v>
      </c>
      <c r="C202" s="3" t="s">
        <v>7</v>
      </c>
      <c r="D202" s="3" t="s">
        <v>36</v>
      </c>
      <c r="E202" s="3" t="s">
        <v>81</v>
      </c>
      <c r="F202" s="3" t="s">
        <v>95</v>
      </c>
      <c r="G202" s="3" t="s">
        <v>723</v>
      </c>
      <c r="H202" s="13">
        <v>2005</v>
      </c>
      <c r="I202" s="13" t="s">
        <v>623</v>
      </c>
      <c r="J202" s="10">
        <f xml:space="preserve"> 5021446 * 1000000</f>
        <v>5021446000000</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5120702174677.2813</v>
      </c>
      <c r="AR202" s="36">
        <f xml:space="preserve"> 5021446 * 1000</f>
        <v>5021446000</v>
      </c>
      <c r="AT202">
        <f t="shared" si="9"/>
        <v>1000</v>
      </c>
    </row>
    <row r="203" spans="1:46" hidden="1"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2303</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f t="shared" si="9"/>
        <v>1.5226788101272595</v>
      </c>
    </row>
    <row r="204" spans="1:46" hidden="1"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2303</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6">
        <f xml:space="preserve"> 2423221 * 1000</f>
        <v>2423221000</v>
      </c>
      <c r="AT204">
        <f t="shared" si="9"/>
        <v>2.9126522096003624</v>
      </c>
    </row>
    <row r="205" spans="1:46" hidden="1"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f t="shared" si="9"/>
        <v>0</v>
      </c>
    </row>
    <row r="206" spans="1:46" hidden="1"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f t="shared" si="9"/>
        <v>0</v>
      </c>
    </row>
    <row r="207" spans="1:46" hidden="1"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f t="shared" si="9"/>
        <v>0</v>
      </c>
    </row>
    <row r="208" spans="1:46" hidden="1"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f t="shared" si="9"/>
        <v>0</v>
      </c>
    </row>
    <row r="209" spans="1:46" hidden="1"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f t="shared" si="9"/>
        <v>0</v>
      </c>
    </row>
    <row r="210" spans="1:46" hidden="1"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f t="shared" si="9"/>
        <v>0</v>
      </c>
    </row>
    <row r="211" spans="1:46" hidden="1"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f t="shared" si="9"/>
        <v>0</v>
      </c>
    </row>
    <row r="212" spans="1:46" hidden="1"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f t="shared" si="9"/>
        <v>0</v>
      </c>
    </row>
    <row r="213" spans="1:46" hidden="1"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f t="shared" si="9"/>
        <v>0</v>
      </c>
    </row>
    <row r="214" spans="1:46" hidden="1"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f t="shared" si="9"/>
        <v>0</v>
      </c>
    </row>
    <row r="215" spans="1:46" hidden="1"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f t="shared" si="9"/>
        <v>0</v>
      </c>
    </row>
    <row r="216" spans="1:46" hidden="1"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f t="shared" si="9"/>
        <v>0</v>
      </c>
    </row>
    <row r="217" spans="1:46" hidden="1"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f t="shared" si="9"/>
        <v>0</v>
      </c>
    </row>
    <row r="218" spans="1:46" hidden="1"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f t="shared" si="9"/>
        <v>0</v>
      </c>
    </row>
    <row r="219" spans="1:46" hidden="1"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f t="shared" si="9"/>
        <v>0</v>
      </c>
    </row>
    <row r="220" spans="1:46" hidden="1"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f t="shared" si="9"/>
        <v>0</v>
      </c>
    </row>
    <row r="221" spans="1:46" hidden="1"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f t="shared" si="9"/>
        <v>0</v>
      </c>
    </row>
    <row r="222" spans="1:46" hidden="1"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f t="shared" si="9"/>
        <v>0</v>
      </c>
    </row>
    <row r="223" spans="1:46" hidden="1" x14ac:dyDescent="0.25">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VLOOKUP(A223,Deflactor!$G$3:$H$64,2,0),"Revisar error" )))</f>
        <v>3047180580507.9009</v>
      </c>
      <c r="AR223" s="36">
        <f xml:space="preserve"> 2954723 * 1000</f>
        <v>2954723000</v>
      </c>
      <c r="AT223">
        <f t="shared" si="9"/>
        <v>1000</v>
      </c>
    </row>
    <row r="224" spans="1:46" hidden="1"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f t="shared" si="9"/>
        <v>0</v>
      </c>
    </row>
    <row r="225" spans="1:46" hidden="1"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f t="shared" si="9"/>
        <v>0</v>
      </c>
    </row>
    <row r="226" spans="1:46" hidden="1"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f t="shared" si="9"/>
        <v>0</v>
      </c>
    </row>
    <row r="227" spans="1:46" hidden="1" x14ac:dyDescent="0.25">
      <c r="A227" s="3">
        <v>2011</v>
      </c>
      <c r="B227" s="3" t="s">
        <v>300</v>
      </c>
      <c r="C227" s="3" t="s">
        <v>7</v>
      </c>
      <c r="D227" s="3" t="s">
        <v>12</v>
      </c>
      <c r="E227" s="3" t="s">
        <v>13</v>
      </c>
      <c r="F227" s="3" t="s">
        <v>89</v>
      </c>
      <c r="G227" s="3"/>
      <c r="H227" s="12"/>
      <c r="I227" s="13"/>
      <c r="J227" s="10"/>
      <c r="K227" s="30" t="s">
        <v>2282</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f t="shared" si="9"/>
        <v>0</v>
      </c>
    </row>
    <row r="228" spans="1:46" hidden="1"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36">
        <f xml:space="preserve"> 1272553 * 1000</f>
        <v>1272553000</v>
      </c>
      <c r="AT228">
        <f t="shared" si="9"/>
        <v>0</v>
      </c>
    </row>
    <row r="229" spans="1:46" hidden="1"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f t="shared" si="9"/>
        <v>0</v>
      </c>
    </row>
    <row r="230" spans="1:46" hidden="1"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f t="shared" si="9"/>
        <v>0</v>
      </c>
    </row>
    <row r="231" spans="1:46" hidden="1"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f t="shared" si="9"/>
        <v>0</v>
      </c>
    </row>
    <row r="232" spans="1:46" hidden="1"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f t="shared" si="9"/>
        <v>0</v>
      </c>
    </row>
    <row r="233" spans="1:46" hidden="1"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36">
        <f xml:space="preserve"> 19410354 * 1000</f>
        <v>19410354000</v>
      </c>
      <c r="AT233" t="e">
        <f t="shared" si="9"/>
        <v>#VALUE!</v>
      </c>
    </row>
    <row r="234" spans="1:46"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36" t="s">
        <v>2370</v>
      </c>
      <c r="AT234" t="e">
        <f t="shared" si="9"/>
        <v>#VALUE!</v>
      </c>
    </row>
    <row r="235" spans="1:46" hidden="1"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f t="shared" si="9"/>
        <v>0</v>
      </c>
    </row>
    <row r="236" spans="1:46" hidden="1"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f t="shared" si="9"/>
        <v>0</v>
      </c>
    </row>
    <row r="237" spans="1:46" hidden="1" x14ac:dyDescent="0.25">
      <c r="A237" s="3">
        <v>2010</v>
      </c>
      <c r="B237" s="3" t="s">
        <v>311</v>
      </c>
      <c r="C237" s="3" t="s">
        <v>92</v>
      </c>
      <c r="D237" s="3" t="s">
        <v>36</v>
      </c>
      <c r="E237" s="3" t="s">
        <v>37</v>
      </c>
      <c r="F237" s="3" t="s">
        <v>89</v>
      </c>
      <c r="G237" s="3" t="s">
        <v>723</v>
      </c>
      <c r="H237" s="12">
        <v>2005</v>
      </c>
      <c r="I237" s="13" t="s">
        <v>623</v>
      </c>
      <c r="J237" s="10">
        <f xml:space="preserve"> 141370509 * 1000000</f>
        <v>141370509000000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150332635540530.41</v>
      </c>
      <c r="AR237" s="36">
        <f t="shared" ref="AR237:AR241" si="10" xml:space="preserve"> 132129142 * 1000</f>
        <v>132129142000</v>
      </c>
      <c r="AT237">
        <f t="shared" si="9"/>
        <v>1069.9419284808494</v>
      </c>
    </row>
    <row r="238" spans="1:46" hidden="1" x14ac:dyDescent="0.25">
      <c r="A238" s="3">
        <v>2010</v>
      </c>
      <c r="B238" s="3" t="s">
        <v>312</v>
      </c>
      <c r="C238" s="3" t="s">
        <v>92</v>
      </c>
      <c r="D238" s="3" t="s">
        <v>36</v>
      </c>
      <c r="E238" s="3" t="s">
        <v>37</v>
      </c>
      <c r="F238" s="3" t="s">
        <v>89</v>
      </c>
      <c r="G238" s="3" t="s">
        <v>723</v>
      </c>
      <c r="H238" s="12">
        <v>2007</v>
      </c>
      <c r="I238" s="13" t="s">
        <v>623</v>
      </c>
      <c r="J238" s="10">
        <f t="shared" ref="J238:J241" si="11" xml:space="preserve"> 141370509 * 1000000</f>
        <v>141370509000000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150332635540530.41</v>
      </c>
      <c r="AR238" s="36">
        <f t="shared" si="10"/>
        <v>132129142000</v>
      </c>
      <c r="AT238">
        <f t="shared" si="9"/>
        <v>1069.9419284808494</v>
      </c>
    </row>
    <row r="239" spans="1:46" hidden="1" x14ac:dyDescent="0.25">
      <c r="A239" s="3">
        <v>2010</v>
      </c>
      <c r="B239" s="3" t="s">
        <v>313</v>
      </c>
      <c r="C239" s="3" t="s">
        <v>92</v>
      </c>
      <c r="D239" s="3" t="s">
        <v>36</v>
      </c>
      <c r="E239" s="3" t="s">
        <v>37</v>
      </c>
      <c r="F239" s="3" t="s">
        <v>89</v>
      </c>
      <c r="G239" s="3" t="s">
        <v>723</v>
      </c>
      <c r="H239" s="12">
        <v>2001</v>
      </c>
      <c r="I239" s="13" t="s">
        <v>623</v>
      </c>
      <c r="J239" s="10">
        <f t="shared" si="11"/>
        <v>141370509000000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150332635540530.41</v>
      </c>
      <c r="AR239" s="36">
        <f t="shared" si="10"/>
        <v>132129142000</v>
      </c>
      <c r="AT239">
        <f t="shared" si="9"/>
        <v>1069.9419284808494</v>
      </c>
    </row>
    <row r="240" spans="1:46" hidden="1" x14ac:dyDescent="0.25">
      <c r="A240" s="3">
        <v>2010</v>
      </c>
      <c r="B240" s="3" t="s">
        <v>314</v>
      </c>
      <c r="C240" s="3" t="s">
        <v>92</v>
      </c>
      <c r="D240" s="3" t="s">
        <v>36</v>
      </c>
      <c r="E240" s="3" t="s">
        <v>37</v>
      </c>
      <c r="F240" s="3" t="s">
        <v>89</v>
      </c>
      <c r="G240" s="3" t="s">
        <v>723</v>
      </c>
      <c r="H240" s="12">
        <v>1998</v>
      </c>
      <c r="I240" s="13" t="s">
        <v>623</v>
      </c>
      <c r="J240" s="10">
        <f t="shared" si="11"/>
        <v>141370509000000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150332635540530.41</v>
      </c>
      <c r="AR240" s="36">
        <f t="shared" si="10"/>
        <v>132129142000</v>
      </c>
      <c r="AT240">
        <f t="shared" si="9"/>
        <v>1069.9419284808494</v>
      </c>
    </row>
    <row r="241" spans="1:46" hidden="1" x14ac:dyDescent="0.25">
      <c r="A241" s="3">
        <v>2010</v>
      </c>
      <c r="B241" s="3" t="s">
        <v>315</v>
      </c>
      <c r="C241" s="3" t="s">
        <v>92</v>
      </c>
      <c r="D241" s="3" t="s">
        <v>36</v>
      </c>
      <c r="E241" s="3" t="s">
        <v>37</v>
      </c>
      <c r="F241" s="3" t="s">
        <v>89</v>
      </c>
      <c r="G241" s="3" t="s">
        <v>723</v>
      </c>
      <c r="H241" s="12">
        <v>1991</v>
      </c>
      <c r="I241" s="13" t="s">
        <v>623</v>
      </c>
      <c r="J241" s="10">
        <f t="shared" si="11"/>
        <v>141370509000000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150332635540530.41</v>
      </c>
      <c r="AR241" s="36">
        <f t="shared" si="10"/>
        <v>132129142000</v>
      </c>
      <c r="AT241">
        <f t="shared" si="9"/>
        <v>1069.9419284808494</v>
      </c>
    </row>
    <row r="242" spans="1:46" hidden="1"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f t="shared" si="9"/>
        <v>0</v>
      </c>
    </row>
    <row r="243" spans="1:46" hidden="1"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f t="shared" si="9"/>
        <v>0</v>
      </c>
    </row>
    <row r="244" spans="1:46" hidden="1"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f t="shared" si="9"/>
        <v>0</v>
      </c>
    </row>
    <row r="245" spans="1:46" hidden="1"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f t="shared" si="9"/>
        <v>0</v>
      </c>
    </row>
    <row r="246" spans="1:46" hidden="1"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f t="shared" si="9"/>
        <v>0</v>
      </c>
    </row>
    <row r="247" spans="1:46" hidden="1"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f t="shared" si="9"/>
        <v>0</v>
      </c>
    </row>
    <row r="248" spans="1:46" hidden="1"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f t="shared" si="9"/>
        <v>0</v>
      </c>
    </row>
    <row r="249" spans="1:46" hidden="1" x14ac:dyDescent="0.25">
      <c r="A249" s="3">
        <v>2010</v>
      </c>
      <c r="B249" s="3" t="s">
        <v>323</v>
      </c>
      <c r="C249" s="3" t="s">
        <v>92</v>
      </c>
      <c r="D249" s="3" t="s">
        <v>36</v>
      </c>
      <c r="E249" s="3" t="s">
        <v>37</v>
      </c>
      <c r="F249" s="3" t="s">
        <v>89</v>
      </c>
      <c r="G249" s="3" t="s">
        <v>723</v>
      </c>
      <c r="H249" s="12">
        <v>1999</v>
      </c>
      <c r="I249" s="13" t="s">
        <v>623</v>
      </c>
      <c r="J249" s="10">
        <f t="shared" ref="J249" si="12" xml:space="preserve"> 141370509 * 1000000</f>
        <v>141370509000000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150332635540530.41</v>
      </c>
      <c r="AR249" s="36">
        <f xml:space="preserve"> 132129142 * 1000</f>
        <v>132129142000</v>
      </c>
      <c r="AT249">
        <f t="shared" si="9"/>
        <v>1069.9419284808494</v>
      </c>
    </row>
    <row r="250" spans="1:46" hidden="1"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36">
        <f xml:space="preserve"> 513259 * 1000</f>
        <v>513259000</v>
      </c>
      <c r="AT250" t="e">
        <f t="shared" si="9"/>
        <v>#VALUE!</v>
      </c>
    </row>
    <row r="251" spans="1:46" hidden="1" x14ac:dyDescent="0.2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36">
        <f xml:space="preserve"> 264306 * 1000</f>
        <v>264306000</v>
      </c>
      <c r="AT251" t="e">
        <f t="shared" si="9"/>
        <v>#VALUE!</v>
      </c>
    </row>
    <row r="252" spans="1:46" hidden="1"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36">
        <f xml:space="preserve"> (8981205 + 40600000) * 1000</f>
        <v>49581205000</v>
      </c>
      <c r="AT252" t="e">
        <f t="shared" si="9"/>
        <v>#VALUE!</v>
      </c>
    </row>
    <row r="253" spans="1:46"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36" t="s">
        <v>2370</v>
      </c>
      <c r="AT253" t="e">
        <f t="shared" si="9"/>
        <v>#VALUE!</v>
      </c>
    </row>
    <row r="254" spans="1:46" hidden="1"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f t="shared" si="9"/>
        <v>0</v>
      </c>
    </row>
    <row r="255" spans="1:46" hidden="1"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f t="shared" si="9"/>
        <v>0</v>
      </c>
    </row>
    <row r="256" spans="1:46" hidden="1"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f t="shared" si="9"/>
        <v>0</v>
      </c>
    </row>
    <row r="257" spans="1:46" hidden="1"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36">
        <f xml:space="preserve"> 18270000 * 1000</f>
        <v>18270000000</v>
      </c>
      <c r="AT257" t="e">
        <f t="shared" si="9"/>
        <v>#VALUE!</v>
      </c>
    </row>
    <row r="258" spans="1:46"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36" t="s">
        <v>2370</v>
      </c>
      <c r="AT258" t="e">
        <f t="shared" si="9"/>
        <v>#VALUE!</v>
      </c>
    </row>
    <row r="259" spans="1:46"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36" t="s">
        <v>2370</v>
      </c>
      <c r="AT259" t="e">
        <f t="shared" ref="AT259:AT309" si="13">J259 / AR259</f>
        <v>#VALUE!</v>
      </c>
    </row>
    <row r="260" spans="1:46"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36" t="s">
        <v>2370</v>
      </c>
      <c r="AT260" t="e">
        <f t="shared" si="13"/>
        <v>#VALUE!</v>
      </c>
    </row>
    <row r="261" spans="1:46" hidden="1"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f t="shared" si="13"/>
        <v>0</v>
      </c>
    </row>
    <row r="262" spans="1:46" hidden="1"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f t="shared" si="13"/>
        <v>0</v>
      </c>
    </row>
    <row r="263" spans="1:46"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36" t="s">
        <v>2370</v>
      </c>
      <c r="AT263" t="e">
        <f t="shared" si="13"/>
        <v>#VALUE!</v>
      </c>
    </row>
    <row r="264" spans="1:46" hidden="1"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6">
        <f xml:space="preserve"> (7807594 + 5375466) * 1000</f>
        <v>13183060000</v>
      </c>
      <c r="AT264">
        <f t="shared" si="13"/>
        <v>1.0547627030446649</v>
      </c>
    </row>
    <row r="265" spans="1:46" hidden="1" x14ac:dyDescent="0.25">
      <c r="A265" s="3">
        <v>2010</v>
      </c>
      <c r="B265" s="3" t="s">
        <v>341</v>
      </c>
      <c r="C265" s="3" t="s">
        <v>92</v>
      </c>
      <c r="D265" s="3" t="s">
        <v>36</v>
      </c>
      <c r="E265" s="3" t="s">
        <v>37</v>
      </c>
      <c r="F265" s="3" t="s">
        <v>89</v>
      </c>
      <c r="G265" s="3" t="s">
        <v>723</v>
      </c>
      <c r="H265" s="12">
        <v>1998</v>
      </c>
      <c r="I265" s="13" t="s">
        <v>623</v>
      </c>
      <c r="J265" s="10">
        <f t="shared" ref="J265" si="14" xml:space="preserve"> 141370509 * 1000000</f>
        <v>141370509000000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150332635540530.41</v>
      </c>
      <c r="AR265" s="36">
        <f xml:space="preserve"> 132129142 * 1000</f>
        <v>132129142000</v>
      </c>
      <c r="AT265">
        <f t="shared" si="13"/>
        <v>1069.9419284808494</v>
      </c>
    </row>
    <row r="266" spans="1:46" hidden="1"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f t="shared" si="13"/>
        <v>0</v>
      </c>
    </row>
    <row r="267" spans="1:46" hidden="1"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f t="shared" si="13"/>
        <v>0</v>
      </c>
    </row>
    <row r="268" spans="1:46" hidden="1"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f t="shared" si="13"/>
        <v>0</v>
      </c>
    </row>
    <row r="269" spans="1:46" hidden="1"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f t="shared" si="13"/>
        <v>0</v>
      </c>
    </row>
    <row r="270" spans="1:46" hidden="1"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f t="shared" si="13"/>
        <v>0</v>
      </c>
    </row>
    <row r="271" spans="1:46" hidden="1"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f t="shared" si="13"/>
        <v>0</v>
      </c>
    </row>
    <row r="272" spans="1:46" hidden="1"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f t="shared" si="13"/>
        <v>0</v>
      </c>
    </row>
    <row r="273" spans="1:46" hidden="1"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f t="shared" si="13"/>
        <v>0</v>
      </c>
    </row>
    <row r="274" spans="1:46" hidden="1"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f t="shared" si="13"/>
        <v>0</v>
      </c>
    </row>
    <row r="275" spans="1:46" hidden="1"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48">
        <f xml:space="preserve"> 4933 * 1000</f>
        <v>4933000</v>
      </c>
      <c r="AT275">
        <f t="shared" si="13"/>
        <v>0</v>
      </c>
    </row>
    <row r="276" spans="1:46" hidden="1"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f t="shared" si="13"/>
        <v>0</v>
      </c>
    </row>
    <row r="277" spans="1:46" hidden="1"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5" xml:space="preserve"> 17991107 * 1000</f>
        <v>17991107000</v>
      </c>
      <c r="AT277">
        <f t="shared" si="13"/>
        <v>0</v>
      </c>
    </row>
    <row r="278" spans="1:46" hidden="1"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5"/>
        <v>17991107000</v>
      </c>
      <c r="AT278">
        <f t="shared" si="13"/>
        <v>0</v>
      </c>
    </row>
    <row r="279" spans="1:46" hidden="1"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5"/>
        <v>17991107000</v>
      </c>
      <c r="AT279">
        <f t="shared" si="13"/>
        <v>0</v>
      </c>
    </row>
    <row r="280" spans="1:46" hidden="1"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36">
        <f xml:space="preserve"> 4680068 * 1000</f>
        <v>4680068000</v>
      </c>
      <c r="AT280">
        <f t="shared" si="13"/>
        <v>0</v>
      </c>
    </row>
    <row r="281" spans="1:46" hidden="1" x14ac:dyDescent="0.25">
      <c r="A281" s="3">
        <v>2009</v>
      </c>
      <c r="B281" s="3" t="s">
        <v>358</v>
      </c>
      <c r="C281" s="3" t="s">
        <v>7</v>
      </c>
      <c r="D281" s="3" t="s">
        <v>36</v>
      </c>
      <c r="E281" s="3" t="s">
        <v>37</v>
      </c>
      <c r="F281" s="3" t="s">
        <v>329</v>
      </c>
      <c r="G281" s="3" t="s">
        <v>723</v>
      </c>
      <c r="H281" s="13">
        <v>1994</v>
      </c>
      <c r="I281" s="13"/>
      <c r="J281" s="10">
        <f xml:space="preserve"> 6230 * 1000000</f>
        <v>6230000000</v>
      </c>
      <c r="K281" s="3" t="s">
        <v>2294</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f t="shared" si="13"/>
        <v>1.0192904396937548</v>
      </c>
    </row>
    <row r="282" spans="1:46" hidden="1"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f t="shared" si="13"/>
        <v>0</v>
      </c>
    </row>
    <row r="283" spans="1:46" hidden="1"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f t="shared" si="13"/>
        <v>0</v>
      </c>
    </row>
    <row r="284" spans="1:46" hidden="1"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f t="shared" si="13"/>
        <v>0</v>
      </c>
    </row>
    <row r="285" spans="1:46"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36" t="s">
        <v>2370</v>
      </c>
      <c r="AT285" t="e">
        <f t="shared" si="13"/>
        <v>#VALUE!</v>
      </c>
    </row>
    <row r="286" spans="1:46" hidden="1"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f t="shared" si="13"/>
        <v>0</v>
      </c>
    </row>
    <row r="287" spans="1:46" hidden="1"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f t="shared" si="13"/>
        <v>0</v>
      </c>
    </row>
    <row r="288" spans="1:46"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36" t="s">
        <v>2370</v>
      </c>
      <c r="AT288" t="e">
        <f t="shared" si="13"/>
        <v>#VALUE!</v>
      </c>
    </row>
    <row r="289" spans="1:46" hidden="1"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36">
        <f xml:space="preserve"> 3343822 * 1000</f>
        <v>3343822000</v>
      </c>
      <c r="AT289">
        <f t="shared" si="13"/>
        <v>0</v>
      </c>
    </row>
    <row r="290" spans="1:46" hidden="1"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f t="shared" si="13"/>
        <v>0</v>
      </c>
    </row>
    <row r="291" spans="1:46" hidden="1"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f t="shared" si="13"/>
        <v>0</v>
      </c>
    </row>
    <row r="292" spans="1:46" hidden="1"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f t="shared" si="13"/>
        <v>0</v>
      </c>
    </row>
    <row r="293" spans="1:46" hidden="1"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f t="shared" si="13"/>
        <v>0</v>
      </c>
    </row>
    <row r="294" spans="1:46" hidden="1"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6" xml:space="preserve"> 17991107 * 1000</f>
        <v>17991107000</v>
      </c>
      <c r="AT294">
        <f t="shared" si="13"/>
        <v>0</v>
      </c>
    </row>
    <row r="295" spans="1:46" hidden="1" x14ac:dyDescent="0.2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6"/>
        <v>17991107000</v>
      </c>
      <c r="AT295">
        <f t="shared" si="13"/>
        <v>0</v>
      </c>
    </row>
    <row r="296" spans="1:46" hidden="1"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f t="shared" si="13"/>
        <v>0</v>
      </c>
    </row>
    <row r="297" spans="1:46"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36" t="s">
        <v>2370</v>
      </c>
      <c r="AT297" t="e">
        <f t="shared" si="13"/>
        <v>#VALUE!</v>
      </c>
    </row>
    <row r="298" spans="1:46"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36" t="s">
        <v>2370</v>
      </c>
      <c r="AT298" t="e">
        <f t="shared" si="13"/>
        <v>#VALUE!</v>
      </c>
    </row>
    <row r="299" spans="1:46" hidden="1"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f t="shared" si="13"/>
        <v>0</v>
      </c>
    </row>
    <row r="300" spans="1:46" hidden="1"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36">
        <f xml:space="preserve"> 1065468 * 1000</f>
        <v>1065468000</v>
      </c>
      <c r="AT300">
        <f t="shared" si="13"/>
        <v>0</v>
      </c>
    </row>
    <row r="301" spans="1:46" hidden="1"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f t="shared" si="13"/>
        <v>0</v>
      </c>
    </row>
    <row r="302" spans="1:46" hidden="1"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6">
        <f xml:space="preserve"> 25388224 * 1000</f>
        <v>25388224000</v>
      </c>
      <c r="AT302">
        <f t="shared" si="13"/>
        <v>0.99999117701183038</v>
      </c>
    </row>
    <row r="303" spans="1:46" hidden="1"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f t="shared" si="13"/>
        <v>0</v>
      </c>
    </row>
    <row r="304" spans="1:46" hidden="1"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f t="shared" si="13"/>
        <v>1.3476386916814398</v>
      </c>
    </row>
    <row r="305" spans="1:46" hidden="1"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f t="shared" si="13"/>
        <v>1.3476386916814398</v>
      </c>
    </row>
    <row r="306" spans="1:46" hidden="1"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f t="shared" si="13"/>
        <v>0</v>
      </c>
    </row>
    <row r="307" spans="1:46" hidden="1"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7" xml:space="preserve"> 318600 * 1000</f>
        <v>318600000</v>
      </c>
      <c r="AT307">
        <f t="shared" si="13"/>
        <v>0</v>
      </c>
    </row>
    <row r="308" spans="1:46" hidden="1"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f t="shared" si="13"/>
        <v>0</v>
      </c>
    </row>
    <row r="309" spans="1:46" hidden="1"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f t="shared" si="13"/>
        <v>0</v>
      </c>
    </row>
    <row r="310" spans="1:46" hidden="1"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6" hidden="1"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6" hidden="1"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6" hidden="1"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6" hidden="1"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6" hidden="1"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6" hidden="1"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6" hidden="1"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6" hidden="1" x14ac:dyDescent="0.2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6" hidden="1" x14ac:dyDescent="0.2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6" hidden="1" x14ac:dyDescent="0.2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hidden="1"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hidden="1" x14ac:dyDescent="0.2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hidden="1" x14ac:dyDescent="0.2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hidden="1" x14ac:dyDescent="0.2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hidden="1"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hidden="1" x14ac:dyDescent="0.2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hidden="1" x14ac:dyDescent="0.2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hidden="1" x14ac:dyDescent="0.2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hidden="1" x14ac:dyDescent="0.2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hidden="1" x14ac:dyDescent="0.2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hidden="1" x14ac:dyDescent="0.2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hidden="1"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hidden="1" x14ac:dyDescent="0.2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hidden="1"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hidden="1"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hidden="1"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hidden="1"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hidden="1"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hidden="1"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hidden="1"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hidden="1"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hidden="1"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hidden="1"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hidden="1"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hidden="1"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hidden="1" x14ac:dyDescent="0.2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hidden="1"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hidden="1" x14ac:dyDescent="0.2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hidden="1"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hidden="1"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hidden="1" x14ac:dyDescent="0.2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hidden="1"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hidden="1"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hidden="1"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hidden="1"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hidden="1" x14ac:dyDescent="0.2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hidden="1" x14ac:dyDescent="0.2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hidden="1" x14ac:dyDescent="0.2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hidden="1" x14ac:dyDescent="0.2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hidden="1"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hidden="1" x14ac:dyDescent="0.2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hidden="1" x14ac:dyDescent="0.2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hidden="1"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hidden="1"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hidden="1"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hidden="1"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hidden="1"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hidden="1"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hidden="1"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hidden="1"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hidden="1"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hidden="1"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hidden="1" x14ac:dyDescent="0.2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hidden="1" x14ac:dyDescent="0.2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hidden="1"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hidden="1"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hidden="1"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hidden="1" x14ac:dyDescent="0.25">
      <c r="A378" s="3">
        <v>2006</v>
      </c>
      <c r="B378" s="3" t="s">
        <v>472</v>
      </c>
      <c r="C378" s="3" t="s">
        <v>7</v>
      </c>
      <c r="D378" s="3" t="s">
        <v>45</v>
      </c>
      <c r="E378" s="3" t="s">
        <v>184</v>
      </c>
      <c r="F378" s="3" t="s">
        <v>351</v>
      </c>
      <c r="G378" s="3"/>
      <c r="H378" s="12"/>
      <c r="I378" s="13"/>
      <c r="J378" s="10"/>
      <c r="K378" s="3" t="s">
        <v>2302</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hidden="1"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hidden="1"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hidden="1"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hidden="1"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hidden="1"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hidden="1"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hidden="1"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hidden="1"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hidden="1"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hidden="1" x14ac:dyDescent="0.2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hidden="1"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hidden="1"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hidden="1"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hidden="1"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hidden="1"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hidden="1"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hidden="1"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hidden="1"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hidden="1"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hidden="1"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hidden="1"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hidden="1"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hidden="1"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hidden="1"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hidden="1"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hidden="1"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hidden="1"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hidden="1"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hidden="1"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hidden="1"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hidden="1"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hidden="1"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hidden="1"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hidden="1"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hidden="1"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hidden="1"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hidden="1"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hidden="1"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hidden="1"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hidden="1"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hidden="1"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hidden="1"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hidden="1"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hidden="1"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hidden="1"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hidden="1"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hidden="1"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hidden="1"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hidden="1"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hidden="1"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hidden="1"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hidden="1"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hidden="1"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hidden="1"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hidden="1"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hidden="1"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hidden="1"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hidden="1"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hidden="1"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hidden="1"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hidden="1"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hidden="1"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hidden="1"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hidden="1"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hidden="1"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hidden="1"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hidden="1"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hidden="1"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hidden="1"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hidden="1"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hidden="1"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hidden="1"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hidden="1"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hidden="1"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hidden="1"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hidden="1"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hidden="1"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hidden="1"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hidden="1"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hidden="1"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hidden="1"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hidden="1"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hidden="1"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hidden="1"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hidden="1"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hidden="1"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hidden="1"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hidden="1"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hidden="1"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hidden="1"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hidden="1"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hidden="1"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hidden="1"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hidden="1"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hidden="1"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hidden="1"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hidden="1"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hidden="1"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hidden="1"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hidden="1"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hidden="1"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hidden="1"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hidden="1"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hidden="1"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hidden="1"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hidden="1"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hidden="1"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hidden="1"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hidden="1"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hidden="1" x14ac:dyDescent="0.2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hidden="1"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hidden="1"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hidden="1"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hidden="1" x14ac:dyDescent="0.2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hidden="1"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hidden="1"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hidden="1"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hidden="1"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hidden="1"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hidden="1"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hidden="1"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hidden="1"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hidden="1"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hidden="1"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hidden="1"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hidden="1"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hidden="1"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hidden="1"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hidden="1"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hidden="1"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hidden="1"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hidden="1"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hidden="1"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hidden="1"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hidden="1"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hidden="1" x14ac:dyDescent="0.2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hidden="1"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hidden="1"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hidden="1"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hidden="1"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hidden="1"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hidden="1"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hidden="1"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hidden="1"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hidden="1"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hidden="1"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hidden="1"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hidden="1"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hidden="1"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hidden="1"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hidden="1"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hidden="1"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hidden="1"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hidden="1"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hidden="1"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hidden="1"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hidden="1"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hidden="1"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hidden="1"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hidden="1"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hidden="1" x14ac:dyDescent="0.2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hidden="1"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hidden="1"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hidden="1"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hidden="1"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hidden="1"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hidden="1"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hidden="1"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hidden="1"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hidden="1"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hidden="1"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hidden="1"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hidden="1"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hidden="1"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hidden="1"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hidden="1"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hidden="1" x14ac:dyDescent="0.2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hidden="1"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hidden="1"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hidden="1"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hidden="1"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hidden="1"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hidden="1"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hidden="1"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hidden="1"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hidden="1"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hidden="1"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hidden="1"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hidden="1"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hidden="1" x14ac:dyDescent="0.25">
      <c r="A568" s="3">
        <v>1998</v>
      </c>
      <c r="B568" s="3" t="s">
        <v>667</v>
      </c>
      <c r="C568" s="3" t="s">
        <v>7</v>
      </c>
      <c r="D568" s="3" t="s">
        <v>25</v>
      </c>
      <c r="E568" s="3" t="s">
        <v>26</v>
      </c>
      <c r="F568" s="3" t="s">
        <v>623</v>
      </c>
      <c r="G568" s="3"/>
      <c r="H568" s="12"/>
      <c r="I568" s="13"/>
      <c r="J568" s="10"/>
      <c r="K568" s="3" t="s">
        <v>2302</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hidden="1"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hidden="1"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hidden="1"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hidden="1"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hidden="1"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hidden="1"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hidden="1"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hidden="1" x14ac:dyDescent="0.2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hidden="1"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hidden="1"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hidden="1"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hidden="1"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hidden="1"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hidden="1"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hidden="1"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hidden="1"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hidden="1"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hidden="1"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hidden="1"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hidden="1"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hidden="1"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hidden="1"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hidden="1"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hidden="1"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hidden="1"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hidden="1"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hidden="1"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hidden="1"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hidden="1"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hidden="1"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hidden="1"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hidden="1"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hidden="1"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hidden="1"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hidden="1"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hidden="1"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hidden="1"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hidden="1"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hidden="1"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hidden="1"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hidden="1"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hidden="1"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hidden="1"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hidden="1"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hidden="1"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hidden="1"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hidden="1"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hidden="1"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hidden="1"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hidden="1"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hidden="1"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hidden="1" x14ac:dyDescent="0.2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hidden="1"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hidden="1"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T622" xr:uid="{7684EFF7-2168-4D7F-AEB4-A7627537983C}">
    <filterColumn colId="43">
      <filters>
        <filter val="Sin identificar"/>
      </filters>
    </filterColumn>
  </autoFilter>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s>
  <pageMargins left="0.7" right="0.7" top="0.75" bottom="0.75" header="0.3" footer="0.3"/>
  <pageSetup paperSize="9" orientation="portrait" horizontalDpi="300" verticalDpi="300" r:id="rId25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6"/>
  <sheetViews>
    <sheetView tabSelected="1" topLeftCell="O23" workbookViewId="0">
      <selection activeCell="T40" sqref="T40"/>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5" max="15" width="42.85546875" bestFit="1" customWidth="1"/>
    <col min="16" max="16" width="26.5703125" customWidth="1"/>
    <col min="17" max="17" width="22" bestFit="1" customWidth="1"/>
    <col min="19" max="19" width="22" bestFit="1" customWidth="1"/>
    <col min="20" max="20" width="15.5703125" bestFit="1" customWidth="1"/>
  </cols>
  <sheetData>
    <row r="1" spans="1:22" x14ac:dyDescent="0.25">
      <c r="A1" t="s">
        <v>2344</v>
      </c>
      <c r="B1" t="s">
        <v>2337</v>
      </c>
      <c r="C1" t="s">
        <v>2338</v>
      </c>
      <c r="D1" t="s">
        <v>2339</v>
      </c>
      <c r="E1" t="s">
        <v>2340</v>
      </c>
      <c r="F1" t="s">
        <v>2341</v>
      </c>
      <c r="N1" t="s">
        <v>2338</v>
      </c>
      <c r="O1" t="s">
        <v>2343</v>
      </c>
    </row>
    <row r="2" spans="1:22" x14ac:dyDescent="0.25">
      <c r="A2">
        <v>1</v>
      </c>
      <c r="B2" s="42">
        <v>44152</v>
      </c>
      <c r="C2" t="s">
        <v>2332</v>
      </c>
      <c r="D2" t="s">
        <v>2333</v>
      </c>
      <c r="E2" t="s">
        <v>2334</v>
      </c>
      <c r="F2" t="s">
        <v>2342</v>
      </c>
      <c r="N2" t="s">
        <v>2345</v>
      </c>
      <c r="O2" t="s">
        <v>0</v>
      </c>
      <c r="P2" t="s">
        <v>1</v>
      </c>
      <c r="Q2" t="s">
        <v>3</v>
      </c>
      <c r="R2" t="s">
        <v>4</v>
      </c>
      <c r="S2" t="s">
        <v>719</v>
      </c>
      <c r="T2" t="s">
        <v>2347</v>
      </c>
      <c r="U2" t="s">
        <v>2348</v>
      </c>
      <c r="V2" t="s">
        <v>2349</v>
      </c>
    </row>
    <row r="3" spans="1:22" x14ac:dyDescent="0.25">
      <c r="A3">
        <v>2</v>
      </c>
      <c r="B3" s="42">
        <v>44152</v>
      </c>
      <c r="C3" t="s">
        <v>2335</v>
      </c>
      <c r="O3">
        <v>2017</v>
      </c>
      <c r="P3" t="s">
        <v>86</v>
      </c>
      <c r="Q3" t="s">
        <v>87</v>
      </c>
      <c r="R3" t="s">
        <v>88</v>
      </c>
      <c r="S3" s="2">
        <v>13058655000000</v>
      </c>
      <c r="T3" s="2">
        <f xml:space="preserve"> 11725662 * 1000</f>
        <v>11725662000</v>
      </c>
      <c r="U3" s="4" t="s">
        <v>2346</v>
      </c>
      <c r="V3" s="4" t="s">
        <v>2350</v>
      </c>
    </row>
    <row r="4" spans="1:22" x14ac:dyDescent="0.25">
      <c r="A4">
        <v>3</v>
      </c>
      <c r="B4" s="42">
        <v>44152</v>
      </c>
      <c r="D4" t="s">
        <v>2336</v>
      </c>
      <c r="O4">
        <v>2017</v>
      </c>
      <c r="P4" t="s">
        <v>99</v>
      </c>
      <c r="Q4" t="s">
        <v>36</v>
      </c>
      <c r="R4" t="s">
        <v>81</v>
      </c>
      <c r="S4" s="2">
        <v>27041864000000</v>
      </c>
      <c r="T4" s="43">
        <f xml:space="preserve"> 26854830 * 1000</f>
        <v>26854830000</v>
      </c>
      <c r="U4" s="4" t="s">
        <v>2352</v>
      </c>
      <c r="V4" s="4" t="s">
        <v>2351</v>
      </c>
    </row>
    <row r="5" spans="1:22" x14ac:dyDescent="0.25">
      <c r="O5">
        <v>2017</v>
      </c>
      <c r="P5" t="s">
        <v>100</v>
      </c>
      <c r="Q5" t="s">
        <v>87</v>
      </c>
      <c r="R5" t="s">
        <v>88</v>
      </c>
      <c r="S5" s="2">
        <v>20334675000000</v>
      </c>
      <c r="T5" s="43">
        <f xml:space="preserve"> 19446013 * 1000</f>
        <v>19446013000</v>
      </c>
      <c r="U5" s="4" t="s">
        <v>2354</v>
      </c>
      <c r="V5" s="4" t="s">
        <v>2353</v>
      </c>
    </row>
    <row r="6" spans="1:22" x14ac:dyDescent="0.25">
      <c r="O6">
        <v>2017</v>
      </c>
      <c r="P6" t="s">
        <v>113</v>
      </c>
      <c r="Q6" t="s">
        <v>54</v>
      </c>
      <c r="R6" t="s">
        <v>55</v>
      </c>
      <c r="S6" s="2">
        <v>17015612000000</v>
      </c>
      <c r="T6" s="43">
        <f xml:space="preserve"> 3679767 * 1000</f>
        <v>3679767000</v>
      </c>
      <c r="U6" s="4" t="s">
        <v>2356</v>
      </c>
      <c r="V6" s="4" t="s">
        <v>2359</v>
      </c>
    </row>
    <row r="7" spans="1:22" x14ac:dyDescent="0.25">
      <c r="O7">
        <v>2017</v>
      </c>
      <c r="P7" t="s">
        <v>114</v>
      </c>
      <c r="Q7" t="s">
        <v>54</v>
      </c>
      <c r="R7" t="s">
        <v>55</v>
      </c>
      <c r="S7" s="2">
        <v>26622592000000</v>
      </c>
      <c r="T7" s="43">
        <f xml:space="preserve"> 17640975 * 1000</f>
        <v>17640975000</v>
      </c>
      <c r="U7" s="4" t="s">
        <v>2352</v>
      </c>
      <c r="V7" s="4" t="s">
        <v>2355</v>
      </c>
    </row>
    <row r="8" spans="1:22" x14ac:dyDescent="0.25">
      <c r="O8">
        <v>2017</v>
      </c>
      <c r="P8" t="s">
        <v>116</v>
      </c>
      <c r="Q8" t="s">
        <v>25</v>
      </c>
      <c r="R8" t="s">
        <v>117</v>
      </c>
      <c r="S8" s="44">
        <v>38171814000000</v>
      </c>
      <c r="T8" s="50">
        <f xml:space="preserve"> 40684039 * 1000</f>
        <v>40684039000</v>
      </c>
      <c r="U8" s="51" t="s">
        <v>2346</v>
      </c>
      <c r="V8" s="51" t="s">
        <v>2357</v>
      </c>
    </row>
    <row r="9" spans="1:22" x14ac:dyDescent="0.25">
      <c r="O9">
        <v>2017</v>
      </c>
      <c r="P9" t="s">
        <v>118</v>
      </c>
      <c r="Q9" t="s">
        <v>25</v>
      </c>
      <c r="R9" t="s">
        <v>117</v>
      </c>
      <c r="S9" s="44">
        <v>38171814000000</v>
      </c>
      <c r="T9" s="50"/>
      <c r="U9" s="51"/>
      <c r="V9" s="51"/>
    </row>
    <row r="10" spans="1:22" x14ac:dyDescent="0.25">
      <c r="O10">
        <v>2016</v>
      </c>
      <c r="P10" t="s">
        <v>143</v>
      </c>
      <c r="Q10" t="s">
        <v>12</v>
      </c>
      <c r="R10" t="s">
        <v>105</v>
      </c>
      <c r="S10" s="44">
        <v>4899869000000000</v>
      </c>
      <c r="T10" s="43">
        <f xml:space="preserve"> 4899869  * 1000</f>
        <v>4899869000</v>
      </c>
      <c r="U10" s="4" t="s">
        <v>2352</v>
      </c>
      <c r="V10" s="4" t="s">
        <v>2360</v>
      </c>
    </row>
    <row r="11" spans="1:22" x14ac:dyDescent="0.25">
      <c r="O11">
        <v>2015</v>
      </c>
      <c r="P11" t="s">
        <v>180</v>
      </c>
      <c r="Q11" t="s">
        <v>25</v>
      </c>
      <c r="R11" t="s">
        <v>181</v>
      </c>
      <c r="S11" s="2">
        <v>17169605000000</v>
      </c>
      <c r="T11" s="43">
        <f xml:space="preserve"> 15439654  * 1000</f>
        <v>15439654000</v>
      </c>
      <c r="U11" s="4" t="s">
        <v>2346</v>
      </c>
      <c r="V11" s="4" t="s">
        <v>2361</v>
      </c>
    </row>
    <row r="12" spans="1:22" x14ac:dyDescent="0.25">
      <c r="O12">
        <v>2015</v>
      </c>
      <c r="P12" t="s">
        <v>185</v>
      </c>
      <c r="Q12" t="s">
        <v>36</v>
      </c>
      <c r="R12" t="s">
        <v>98</v>
      </c>
      <c r="S12" s="2">
        <v>293866943000000</v>
      </c>
      <c r="T12" s="43">
        <f xml:space="preserve"> 253201137  * 1000</f>
        <v>253201137000</v>
      </c>
      <c r="U12" s="4" t="s">
        <v>2354</v>
      </c>
      <c r="V12" s="4" t="s">
        <v>2362</v>
      </c>
    </row>
    <row r="13" spans="1:22" x14ac:dyDescent="0.25">
      <c r="O13">
        <v>2014</v>
      </c>
      <c r="P13" t="s">
        <v>192</v>
      </c>
      <c r="Q13" t="s">
        <v>36</v>
      </c>
      <c r="R13" t="s">
        <v>37</v>
      </c>
      <c r="S13" s="2">
        <v>27310036000000</v>
      </c>
      <c r="T13" s="43">
        <f xml:space="preserve"> 26852009 * 1000</f>
        <v>26852009000</v>
      </c>
      <c r="U13" s="4" t="s">
        <v>2346</v>
      </c>
      <c r="V13" s="4" t="s">
        <v>2363</v>
      </c>
    </row>
    <row r="14" spans="1:22" x14ac:dyDescent="0.25">
      <c r="O14">
        <v>2014</v>
      </c>
      <c r="P14" t="s">
        <v>198</v>
      </c>
      <c r="Q14" t="s">
        <v>54</v>
      </c>
      <c r="R14" t="s">
        <v>55</v>
      </c>
      <c r="S14" s="2">
        <v>46130757000000</v>
      </c>
      <c r="T14" s="43">
        <f xml:space="preserve"> 44468210 * 1000</f>
        <v>44468210000</v>
      </c>
      <c r="U14" s="4" t="s">
        <v>2364</v>
      </c>
    </row>
    <row r="15" spans="1:22" x14ac:dyDescent="0.25">
      <c r="O15">
        <v>2014</v>
      </c>
      <c r="P15" t="s">
        <v>199</v>
      </c>
      <c r="Q15" t="s">
        <v>32</v>
      </c>
      <c r="R15" t="s">
        <v>33</v>
      </c>
      <c r="S15" s="44">
        <v>215848343000000</v>
      </c>
      <c r="T15" t="s">
        <v>2358</v>
      </c>
      <c r="U15" s="4"/>
    </row>
    <row r="16" spans="1:22" x14ac:dyDescent="0.25">
      <c r="O16">
        <v>2012</v>
      </c>
      <c r="P16" t="s">
        <v>249</v>
      </c>
      <c r="Q16" t="s">
        <v>20</v>
      </c>
      <c r="R16" t="s">
        <v>23</v>
      </c>
      <c r="S16" s="44">
        <v>3.5827751E+16</v>
      </c>
      <c r="T16" t="s">
        <v>2358</v>
      </c>
      <c r="U16" s="4"/>
    </row>
    <row r="17" spans="14:22" x14ac:dyDescent="0.25">
      <c r="O17">
        <v>2012</v>
      </c>
      <c r="P17" t="s">
        <v>261</v>
      </c>
      <c r="Q17" t="s">
        <v>64</v>
      </c>
      <c r="R17" t="s">
        <v>262</v>
      </c>
      <c r="S17" s="2">
        <v>1713932000000000</v>
      </c>
      <c r="T17" s="43">
        <f xml:space="preserve"> 1420550 * 1000</f>
        <v>1420550000</v>
      </c>
      <c r="U17" s="4" t="s">
        <v>2346</v>
      </c>
      <c r="V17" s="4" t="s">
        <v>2365</v>
      </c>
    </row>
    <row r="18" spans="14:22" x14ac:dyDescent="0.25">
      <c r="O18">
        <v>2010</v>
      </c>
      <c r="P18" t="s">
        <v>311</v>
      </c>
      <c r="Q18" t="s">
        <v>36</v>
      </c>
      <c r="R18" t="s">
        <v>37</v>
      </c>
      <c r="S18" s="44">
        <v>141370509000000</v>
      </c>
      <c r="T18" t="s">
        <v>2358</v>
      </c>
      <c r="U18" s="4"/>
    </row>
    <row r="20" spans="14:22" x14ac:dyDescent="0.25">
      <c r="N20" t="s">
        <v>2366</v>
      </c>
      <c r="O20" t="s">
        <v>2368</v>
      </c>
      <c r="P20" s="4" t="s">
        <v>2367</v>
      </c>
      <c r="Q20" t="s">
        <v>2369</v>
      </c>
    </row>
    <row r="23" spans="14:22" x14ac:dyDescent="0.25">
      <c r="N23" t="s">
        <v>2376</v>
      </c>
      <c r="O23" t="s">
        <v>0</v>
      </c>
      <c r="P23" t="s">
        <v>1</v>
      </c>
      <c r="Q23" t="s">
        <v>3</v>
      </c>
      <c r="R23" t="s">
        <v>4</v>
      </c>
      <c r="S23" t="s">
        <v>719</v>
      </c>
      <c r="T23" t="s">
        <v>2347</v>
      </c>
      <c r="U23" t="s">
        <v>2348</v>
      </c>
      <c r="V23" t="s">
        <v>2349</v>
      </c>
    </row>
    <row r="24" spans="14:22" x14ac:dyDescent="0.25">
      <c r="O24">
        <v>2020</v>
      </c>
      <c r="P24" t="s">
        <v>1298</v>
      </c>
      <c r="Q24" t="s">
        <v>20</v>
      </c>
      <c r="R24" t="s">
        <v>23</v>
      </c>
      <c r="S24" s="2">
        <f xml:space="preserve">  6572.5 * 1000000</f>
        <v>6572500000</v>
      </c>
      <c r="T24" s="2">
        <f xml:space="preserve">  6386405 * 1000</f>
        <v>6386405000</v>
      </c>
      <c r="U24" s="4" t="s">
        <v>2352</v>
      </c>
      <c r="V24" s="4" t="s">
        <v>2377</v>
      </c>
    </row>
    <row r="25" spans="14:22" x14ac:dyDescent="0.25">
      <c r="O25">
        <v>2020</v>
      </c>
      <c r="P25" t="s">
        <v>1304</v>
      </c>
      <c r="Q25" t="s">
        <v>54</v>
      </c>
      <c r="R25" t="s">
        <v>55</v>
      </c>
      <c r="S25" s="2">
        <f xml:space="preserve"> 14064 * 1000000</f>
        <v>14064000000</v>
      </c>
      <c r="T25" s="43" t="s">
        <v>623</v>
      </c>
      <c r="U25" s="4" t="s">
        <v>2352</v>
      </c>
      <c r="V25" s="4" t="s">
        <v>2378</v>
      </c>
    </row>
    <row r="26" spans="14:22" x14ac:dyDescent="0.25">
      <c r="O26">
        <v>2020</v>
      </c>
      <c r="P26" t="s">
        <v>1309</v>
      </c>
      <c r="Q26" t="s">
        <v>54</v>
      </c>
      <c r="R26" t="s">
        <v>55</v>
      </c>
      <c r="S26" s="2" t="s">
        <v>623</v>
      </c>
      <c r="T26" s="2">
        <f xml:space="preserve">  10390 * 1000000</f>
        <v>10390000000</v>
      </c>
      <c r="U26" s="4" t="s">
        <v>2352</v>
      </c>
      <c r="V26" s="4" t="s">
        <v>2379</v>
      </c>
    </row>
    <row r="27" spans="14:22" x14ac:dyDescent="0.25">
      <c r="O27">
        <v>2019</v>
      </c>
      <c r="P27" t="s">
        <v>31</v>
      </c>
      <c r="Q27" t="s">
        <v>32</v>
      </c>
      <c r="R27" t="s">
        <v>33</v>
      </c>
      <c r="S27" s="2">
        <v>50263613</v>
      </c>
      <c r="T27" s="2">
        <f xml:space="preserve">  16715 * 1000000</f>
        <v>16715000000</v>
      </c>
      <c r="U27" s="4" t="s">
        <v>2352</v>
      </c>
      <c r="V27" s="4" t="s">
        <v>2380</v>
      </c>
    </row>
    <row r="28" spans="14:22" x14ac:dyDescent="0.25">
      <c r="O28">
        <v>2019</v>
      </c>
      <c r="P28" t="s">
        <v>42</v>
      </c>
      <c r="Q28" t="s">
        <v>40</v>
      </c>
      <c r="R28" t="s">
        <v>43</v>
      </c>
      <c r="S28" s="2">
        <f xml:space="preserve"> 6224 * 1000000</f>
        <v>6224000000</v>
      </c>
      <c r="T28" s="43" t="s">
        <v>623</v>
      </c>
    </row>
    <row r="29" spans="14:22" x14ac:dyDescent="0.25">
      <c r="O29">
        <v>2018</v>
      </c>
      <c r="P29" t="s">
        <v>52</v>
      </c>
      <c r="Q29" t="s">
        <v>20</v>
      </c>
      <c r="R29" t="s">
        <v>23</v>
      </c>
      <c r="S29" s="2">
        <f xml:space="preserve"> 9622.8 * 1000000</f>
        <v>9622800000</v>
      </c>
      <c r="T29" s="43" t="s">
        <v>623</v>
      </c>
    </row>
    <row r="30" spans="14:22" x14ac:dyDescent="0.25">
      <c r="O30">
        <v>2018</v>
      </c>
      <c r="P30" t="s">
        <v>53</v>
      </c>
      <c r="Q30" t="s">
        <v>54</v>
      </c>
      <c r="R30" t="s">
        <v>55</v>
      </c>
      <c r="S30" s="2">
        <f xml:space="preserve"> 40949 * 1000000</f>
        <v>40949000000</v>
      </c>
      <c r="T30" s="2">
        <f xml:space="preserve">  37370 * 1000000</f>
        <v>37370000000</v>
      </c>
      <c r="U30" s="4" t="s">
        <v>2352</v>
      </c>
      <c r="V30" s="4" t="s">
        <v>2381</v>
      </c>
    </row>
    <row r="31" spans="14:22" x14ac:dyDescent="0.25">
      <c r="O31">
        <v>2018</v>
      </c>
      <c r="P31" t="s">
        <v>56</v>
      </c>
      <c r="Q31" t="s">
        <v>54</v>
      </c>
      <c r="R31" t="s">
        <v>55</v>
      </c>
      <c r="S31" s="2">
        <f xml:space="preserve"> 143807 * 1000000</f>
        <v>143807000000</v>
      </c>
      <c r="T31" s="2">
        <f xml:space="preserve"> 142181835 * 1000</f>
        <v>142181835000</v>
      </c>
      <c r="U31" s="4" t="s">
        <v>2354</v>
      </c>
      <c r="V31" s="4" t="s">
        <v>2382</v>
      </c>
    </row>
    <row r="32" spans="14:22" x14ac:dyDescent="0.25">
      <c r="O32">
        <v>2018</v>
      </c>
      <c r="P32" t="s">
        <v>57</v>
      </c>
      <c r="Q32" t="s">
        <v>12</v>
      </c>
      <c r="R32" t="s">
        <v>58</v>
      </c>
      <c r="S32" s="2">
        <v>7036128</v>
      </c>
      <c r="T32" s="2">
        <f xml:space="preserve"> 3000416 * 1000</f>
        <v>3000416000</v>
      </c>
      <c r="U32" s="4" t="s">
        <v>2352</v>
      </c>
      <c r="V32" s="4" t="s">
        <v>2383</v>
      </c>
    </row>
    <row r="33" spans="15:22" x14ac:dyDescent="0.25">
      <c r="O33">
        <v>2018</v>
      </c>
      <c r="P33" t="s">
        <v>59</v>
      </c>
      <c r="Q33" t="s">
        <v>12</v>
      </c>
      <c r="R33" t="s">
        <v>58</v>
      </c>
      <c r="S33" s="2">
        <v>7036128</v>
      </c>
      <c r="T33" s="2">
        <f xml:space="preserve"> 821167 * 1000</f>
        <v>821167000</v>
      </c>
      <c r="U33" s="4" t="s">
        <v>2352</v>
      </c>
      <c r="V33" s="4" t="s">
        <v>2387</v>
      </c>
    </row>
    <row r="34" spans="15:22" x14ac:dyDescent="0.25">
      <c r="O34">
        <v>2018</v>
      </c>
      <c r="P34" t="s">
        <v>70</v>
      </c>
      <c r="Q34" t="s">
        <v>71</v>
      </c>
      <c r="R34" t="s">
        <v>72</v>
      </c>
      <c r="S34" s="2">
        <f xml:space="preserve"> 61757322 * 1000</f>
        <v>61757322000</v>
      </c>
      <c r="T34" s="2">
        <f xml:space="preserve"> 54296263 * 1000</f>
        <v>54296263000</v>
      </c>
      <c r="U34" s="4" t="s">
        <v>2389</v>
      </c>
      <c r="V34" s="4" t="s">
        <v>2388</v>
      </c>
    </row>
    <row r="35" spans="15:22" x14ac:dyDescent="0.25">
      <c r="O35">
        <v>2018</v>
      </c>
      <c r="P35" t="s">
        <v>73</v>
      </c>
      <c r="Q35" t="s">
        <v>74</v>
      </c>
      <c r="R35" t="s">
        <v>75</v>
      </c>
      <c r="S35" s="2">
        <f xml:space="preserve"> 9599944 * 1000</f>
        <v>9599944000</v>
      </c>
      <c r="T35" s="43" t="s">
        <v>623</v>
      </c>
    </row>
    <row r="36" spans="15:22" x14ac:dyDescent="0.25">
      <c r="O36">
        <v>2018</v>
      </c>
      <c r="P36" t="s">
        <v>80</v>
      </c>
      <c r="Q36" t="s">
        <v>36</v>
      </c>
      <c r="R36" t="s">
        <v>81</v>
      </c>
      <c r="S36" s="2">
        <f xml:space="preserve"> 1263672 * 1000</f>
        <v>1263672000</v>
      </c>
      <c r="T36" s="2">
        <f xml:space="preserve"> 1263672 * 1000</f>
        <v>1263672000</v>
      </c>
      <c r="U36" s="4" t="s">
        <v>2352</v>
      </c>
      <c r="V36" s="4" t="s">
        <v>2390</v>
      </c>
    </row>
    <row r="37" spans="15:22" x14ac:dyDescent="0.25">
      <c r="O37">
        <v>2017</v>
      </c>
      <c r="P37" t="s">
        <v>112</v>
      </c>
      <c r="Q37" t="s">
        <v>54</v>
      </c>
      <c r="R37" t="s">
        <v>55</v>
      </c>
      <c r="S37" s="2">
        <f xml:space="preserve"> 3679766 * 1000000</f>
        <v>3679766000000</v>
      </c>
      <c r="T37" s="43">
        <f xml:space="preserve"> 3679767 * 1000</f>
        <v>3679767000</v>
      </c>
      <c r="U37" s="4" t="s">
        <v>2352</v>
      </c>
      <c r="V37" s="4" t="s">
        <v>2359</v>
      </c>
    </row>
    <row r="38" spans="15:22" x14ac:dyDescent="0.25">
      <c r="O38">
        <v>2017</v>
      </c>
      <c r="P38" t="s">
        <v>113</v>
      </c>
      <c r="Q38" t="s">
        <v>54</v>
      </c>
      <c r="R38" t="s">
        <v>55</v>
      </c>
      <c r="S38" s="2">
        <f xml:space="preserve"> 17015612 * 1000000</f>
        <v>17015612000000</v>
      </c>
      <c r="T38" s="43">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25">
      <c r="O39">
        <v>2017</v>
      </c>
      <c r="P39" t="s">
        <v>114</v>
      </c>
      <c r="Q39" t="s">
        <v>54</v>
      </c>
      <c r="R39" t="s">
        <v>55</v>
      </c>
      <c r="S39" s="2">
        <f xml:space="preserve"> 26622592 * 1000000</f>
        <v>26622592000000</v>
      </c>
      <c r="T39" s="43">
        <f t="shared" si="0"/>
        <v>17640975000</v>
      </c>
      <c r="U39" s="4" t="str">
        <f t="shared" si="0"/>
        <v>https://programassociales.ministeriodesarrollosocial.gob.cl/</v>
      </c>
      <c r="V39" s="4" t="str">
        <f t="shared" si="0"/>
        <v>https://programassociales.ministeriodesarrollosocial.gob.cl/pdf/2018/PRG2018_3_59466.pdf</v>
      </c>
    </row>
    <row r="40" spans="15:22" x14ac:dyDescent="0.25">
      <c r="O40">
        <v>2017</v>
      </c>
      <c r="P40" t="s">
        <v>122</v>
      </c>
      <c r="Q40" t="s">
        <v>32</v>
      </c>
      <c r="R40" t="s">
        <v>33</v>
      </c>
      <c r="S40" s="2">
        <f xml:space="preserve"> 246302903 * 1000</f>
        <v>246302903000</v>
      </c>
    </row>
    <row r="41" spans="15:22" x14ac:dyDescent="0.25">
      <c r="O41">
        <v>2016</v>
      </c>
      <c r="P41" t="s">
        <v>125</v>
      </c>
      <c r="Q41" t="s">
        <v>54</v>
      </c>
      <c r="R41" t="s">
        <v>55</v>
      </c>
      <c r="S41" s="2">
        <f xml:space="preserve"> 9170.9 * 1000000</f>
        <v>9170900000</v>
      </c>
    </row>
    <row r="42" spans="15:22" x14ac:dyDescent="0.25">
      <c r="O42">
        <v>2016</v>
      </c>
      <c r="P42" t="s">
        <v>135</v>
      </c>
      <c r="Q42" t="s">
        <v>32</v>
      </c>
      <c r="R42" t="s">
        <v>33</v>
      </c>
      <c r="S42" s="2">
        <f xml:space="preserve"> 23091 * 1000000</f>
        <v>23091000000</v>
      </c>
    </row>
    <row r="43" spans="15:22" x14ac:dyDescent="0.25">
      <c r="O43">
        <v>2016</v>
      </c>
      <c r="P43" t="s">
        <v>140</v>
      </c>
      <c r="Q43" t="s">
        <v>32</v>
      </c>
      <c r="R43" t="s">
        <v>33</v>
      </c>
      <c r="S43" s="2">
        <f xml:space="preserve"> 23091 * 1000000</f>
        <v>23091000000</v>
      </c>
    </row>
    <row r="44" spans="15:22" x14ac:dyDescent="0.25">
      <c r="O44">
        <v>2016</v>
      </c>
      <c r="P44" t="s">
        <v>141</v>
      </c>
      <c r="Q44" t="s">
        <v>32</v>
      </c>
      <c r="R44" t="s">
        <v>33</v>
      </c>
      <c r="S44" s="2">
        <f xml:space="preserve"> 75570 * 1000000</f>
        <v>75570000000</v>
      </c>
    </row>
    <row r="45" spans="15:22" x14ac:dyDescent="0.25">
      <c r="O45">
        <v>2016</v>
      </c>
      <c r="P45" t="s">
        <v>142</v>
      </c>
      <c r="Q45" t="s">
        <v>32</v>
      </c>
      <c r="R45" t="s">
        <v>33</v>
      </c>
      <c r="S45" s="2">
        <f xml:space="preserve"> 75570 * 1000000</f>
        <v>75570000000</v>
      </c>
    </row>
    <row r="46" spans="15:22" x14ac:dyDescent="0.25">
      <c r="O46">
        <v>2015</v>
      </c>
      <c r="P46" t="s">
        <v>185</v>
      </c>
      <c r="Q46" t="s">
        <v>36</v>
      </c>
      <c r="R46" t="s">
        <v>98</v>
      </c>
      <c r="S46" s="2">
        <f xml:space="preserve"> 293866943 * 1000000</f>
        <v>293866943000000</v>
      </c>
      <c r="T46" s="43">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25">
      <c r="O47">
        <v>2014</v>
      </c>
      <c r="P47" t="s">
        <v>195</v>
      </c>
      <c r="Q47" t="s">
        <v>36</v>
      </c>
      <c r="R47" t="s">
        <v>81</v>
      </c>
      <c r="S47" s="2">
        <f t="shared" ref="S47:S48" si="2" xml:space="preserve"> 11549 * 1000000</f>
        <v>11549000000</v>
      </c>
    </row>
    <row r="48" spans="15:22" x14ac:dyDescent="0.25">
      <c r="O48">
        <v>2014</v>
      </c>
      <c r="P48" t="s">
        <v>205</v>
      </c>
      <c r="Q48" t="s">
        <v>36</v>
      </c>
      <c r="R48" t="s">
        <v>81</v>
      </c>
      <c r="S48" s="2">
        <f t="shared" si="2"/>
        <v>11549000000</v>
      </c>
    </row>
    <row r="49" spans="15:21" x14ac:dyDescent="0.25">
      <c r="O49">
        <v>2014</v>
      </c>
      <c r="P49" t="s">
        <v>198</v>
      </c>
      <c r="Q49" t="s">
        <v>54</v>
      </c>
      <c r="R49" t="s">
        <v>55</v>
      </c>
      <c r="S49" s="2">
        <f xml:space="preserve"> 46130757 * 1000000</f>
        <v>46130757000000</v>
      </c>
      <c r="T49" s="43">
        <f t="shared" ref="T49:U49" si="3">T14</f>
        <v>44468210000</v>
      </c>
      <c r="U49" s="4" t="str">
        <f t="shared" si="3"/>
        <v>https://www.minsal.cl/campana-mas-medicos-y-especialistas/</v>
      </c>
    </row>
    <row r="50" spans="15:21" x14ac:dyDescent="0.25">
      <c r="O50">
        <v>2013</v>
      </c>
      <c r="P50" t="s">
        <v>219</v>
      </c>
      <c r="Q50" t="s">
        <v>40</v>
      </c>
      <c r="R50" t="s">
        <v>160</v>
      </c>
      <c r="S50" s="2">
        <f xml:space="preserve"> 1065 * 1000000</f>
        <v>1065000000</v>
      </c>
    </row>
    <row r="51" spans="15:21" x14ac:dyDescent="0.25">
      <c r="O51">
        <v>2013</v>
      </c>
      <c r="P51" t="s">
        <v>223</v>
      </c>
      <c r="Q51" t="s">
        <v>54</v>
      </c>
      <c r="R51" t="s">
        <v>55</v>
      </c>
      <c r="S51" s="2" t="s">
        <v>623</v>
      </c>
    </row>
    <row r="52" spans="15:21" x14ac:dyDescent="0.25">
      <c r="O52">
        <v>2013</v>
      </c>
      <c r="P52" t="s">
        <v>226</v>
      </c>
      <c r="Q52" t="s">
        <v>54</v>
      </c>
      <c r="R52" t="s">
        <v>55</v>
      </c>
      <c r="S52" s="2"/>
    </row>
    <row r="53" spans="15:21" x14ac:dyDescent="0.25">
      <c r="O53">
        <v>2013</v>
      </c>
      <c r="P53" t="s">
        <v>227</v>
      </c>
      <c r="Q53" t="s">
        <v>54</v>
      </c>
      <c r="R53" t="s">
        <v>55</v>
      </c>
      <c r="S53" s="2"/>
    </row>
    <row r="54" spans="15:21" x14ac:dyDescent="0.25">
      <c r="O54">
        <v>2013</v>
      </c>
      <c r="P54" t="s">
        <v>228</v>
      </c>
      <c r="Q54" t="s">
        <v>54</v>
      </c>
      <c r="R54" t="s">
        <v>55</v>
      </c>
      <c r="S54" s="2"/>
    </row>
    <row r="55" spans="15:21" x14ac:dyDescent="0.25">
      <c r="O55">
        <v>2013</v>
      </c>
      <c r="P55" t="s">
        <v>2371</v>
      </c>
      <c r="Q55" t="s">
        <v>20</v>
      </c>
      <c r="R55" t="s">
        <v>21</v>
      </c>
      <c r="S55" s="2"/>
    </row>
    <row r="56" spans="15:21" x14ac:dyDescent="0.25">
      <c r="O56">
        <v>2012</v>
      </c>
      <c r="P56" t="s">
        <v>247</v>
      </c>
      <c r="Q56" t="s">
        <v>40</v>
      </c>
      <c r="R56" t="s">
        <v>43</v>
      </c>
      <c r="S56" s="2">
        <f xml:space="preserve"> 4992810 * 1000000</f>
        <v>4992810000000</v>
      </c>
    </row>
    <row r="57" spans="15:21" x14ac:dyDescent="0.25">
      <c r="O57">
        <v>2010</v>
      </c>
      <c r="P57" t="s">
        <v>247</v>
      </c>
      <c r="Q57" t="s">
        <v>40</v>
      </c>
      <c r="R57" t="s">
        <v>43</v>
      </c>
      <c r="S57" s="2" t="s">
        <v>623</v>
      </c>
    </row>
    <row r="58" spans="15:21" x14ac:dyDescent="0.25">
      <c r="O58">
        <v>2010</v>
      </c>
      <c r="P58" t="s">
        <v>327</v>
      </c>
      <c r="Q58" t="s">
        <v>36</v>
      </c>
      <c r="R58" t="s">
        <v>37</v>
      </c>
      <c r="S58" s="2" t="s">
        <v>623</v>
      </c>
    </row>
    <row r="59" spans="15:21" x14ac:dyDescent="0.25">
      <c r="O59">
        <v>2010</v>
      </c>
      <c r="P59" t="s">
        <v>333</v>
      </c>
      <c r="Q59" t="s">
        <v>71</v>
      </c>
      <c r="R59" t="s">
        <v>167</v>
      </c>
      <c r="S59" s="2"/>
    </row>
    <row r="60" spans="15:21" x14ac:dyDescent="0.25">
      <c r="O60">
        <v>2010</v>
      </c>
      <c r="P60" t="s">
        <v>334</v>
      </c>
      <c r="Q60" t="s">
        <v>54</v>
      </c>
      <c r="R60" t="s">
        <v>335</v>
      </c>
      <c r="S60" s="2"/>
    </row>
    <row r="61" spans="15:21" x14ac:dyDescent="0.25">
      <c r="O61">
        <v>2010</v>
      </c>
      <c r="P61" t="s">
        <v>336</v>
      </c>
      <c r="Q61" t="s">
        <v>54</v>
      </c>
      <c r="R61" t="s">
        <v>236</v>
      </c>
      <c r="S61" s="2"/>
    </row>
    <row r="62" spans="15:21" x14ac:dyDescent="0.25">
      <c r="O62">
        <v>2010</v>
      </c>
      <c r="P62" t="s">
        <v>339</v>
      </c>
      <c r="Q62" t="s">
        <v>32</v>
      </c>
      <c r="R62" t="s">
        <v>33</v>
      </c>
      <c r="S62" s="2"/>
    </row>
    <row r="63" spans="15:21" x14ac:dyDescent="0.25">
      <c r="O63">
        <v>2009</v>
      </c>
      <c r="P63" t="s">
        <v>362</v>
      </c>
      <c r="Q63" t="s">
        <v>71</v>
      </c>
      <c r="R63" t="s">
        <v>167</v>
      </c>
      <c r="S63" s="2"/>
    </row>
    <row r="64" spans="15:21" x14ac:dyDescent="0.25">
      <c r="O64">
        <v>2009</v>
      </c>
      <c r="P64" t="s">
        <v>365</v>
      </c>
      <c r="Q64" t="s">
        <v>164</v>
      </c>
      <c r="R64" t="s">
        <v>165</v>
      </c>
      <c r="S64" s="2"/>
    </row>
    <row r="65" spans="15:19" x14ac:dyDescent="0.25">
      <c r="O65">
        <v>2009</v>
      </c>
      <c r="P65" t="s">
        <v>376</v>
      </c>
      <c r="Q65" t="s">
        <v>64</v>
      </c>
      <c r="R65" t="s">
        <v>262</v>
      </c>
      <c r="S65" s="2"/>
    </row>
    <row r="66" spans="15:19" x14ac:dyDescent="0.25">
      <c r="O66">
        <v>2009</v>
      </c>
      <c r="P66" t="s">
        <v>377</v>
      </c>
      <c r="Q66" t="s">
        <v>64</v>
      </c>
      <c r="R66" t="s">
        <v>262</v>
      </c>
      <c r="S66" s="2"/>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workbookViewId="0">
      <selection activeCell="A2" sqref="A2"/>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1316</v>
      </c>
      <c r="E1" s="5" t="s">
        <v>5</v>
      </c>
      <c r="F1" s="6" t="s">
        <v>1610</v>
      </c>
      <c r="I1" s="5" t="s">
        <v>718</v>
      </c>
      <c r="J1" s="6" t="s">
        <v>1610</v>
      </c>
      <c r="M1" s="5" t="s">
        <v>719</v>
      </c>
      <c r="N1" s="6" t="s">
        <v>1610</v>
      </c>
    </row>
    <row r="2" spans="1:14" x14ac:dyDescent="0.25">
      <c r="A2" t="s">
        <v>7</v>
      </c>
      <c r="B2" t="s">
        <v>1317</v>
      </c>
      <c r="E2" t="s">
        <v>623</v>
      </c>
      <c r="F2" t="s">
        <v>1609</v>
      </c>
      <c r="I2" t="s">
        <v>623</v>
      </c>
      <c r="J2" t="s">
        <v>1609</v>
      </c>
      <c r="M2" t="s">
        <v>623</v>
      </c>
      <c r="N2" t="s">
        <v>1609</v>
      </c>
    </row>
    <row r="3" spans="1:14" x14ac:dyDescent="0.25">
      <c r="A3" t="s">
        <v>67</v>
      </c>
      <c r="B3" t="s">
        <v>1318</v>
      </c>
    </row>
    <row r="4" spans="1:14" x14ac:dyDescent="0.25">
      <c r="A4" t="s">
        <v>92</v>
      </c>
      <c r="B4" t="s">
        <v>1319</v>
      </c>
    </row>
    <row r="5" spans="1:14" x14ac:dyDescent="0.25">
      <c r="A5" t="s">
        <v>155</v>
      </c>
      <c r="B5" t="s">
        <v>1320</v>
      </c>
    </row>
    <row r="6" spans="1:14" x14ac:dyDescent="0.25">
      <c r="A6" t="s">
        <v>283</v>
      </c>
      <c r="B6" t="s">
        <v>1321</v>
      </c>
    </row>
    <row r="9" spans="1:14" x14ac:dyDescent="0.25">
      <c r="A9" s="4" t="s">
        <v>1677</v>
      </c>
    </row>
    <row r="11" spans="1:14" x14ac:dyDescent="0.25">
      <c r="A11" s="5" t="s">
        <v>2312</v>
      </c>
      <c r="B11" s="6" t="s">
        <v>2313</v>
      </c>
    </row>
    <row r="12" spans="1:14" x14ac:dyDescent="0.25">
      <c r="A12" t="s">
        <v>0</v>
      </c>
      <c r="B12" t="s">
        <v>2314</v>
      </c>
    </row>
    <row r="13" spans="1:14" x14ac:dyDescent="0.25">
      <c r="A13" t="s">
        <v>1</v>
      </c>
      <c r="B13" t="s">
        <v>2315</v>
      </c>
    </row>
    <row r="14" spans="1:14" x14ac:dyDescent="0.25">
      <c r="A14" t="s">
        <v>2</v>
      </c>
      <c r="B14" t="s">
        <v>2316</v>
      </c>
    </row>
    <row r="15" spans="1:14" x14ac:dyDescent="0.25">
      <c r="A15" t="s">
        <v>3</v>
      </c>
      <c r="B15" t="s">
        <v>2317</v>
      </c>
    </row>
    <row r="16" spans="1:14" x14ac:dyDescent="0.25">
      <c r="A16" t="s">
        <v>4</v>
      </c>
      <c r="B16" t="s">
        <v>2318</v>
      </c>
    </row>
    <row r="17" spans="1:2" x14ac:dyDescent="0.25">
      <c r="A17" t="s">
        <v>5</v>
      </c>
      <c r="B17" t="s">
        <v>2323</v>
      </c>
    </row>
    <row r="18" spans="1:2" x14ac:dyDescent="0.25">
      <c r="A18" t="s">
        <v>718</v>
      </c>
      <c r="B18" t="s">
        <v>2319</v>
      </c>
    </row>
    <row r="19" spans="1:2" x14ac:dyDescent="0.25">
      <c r="A19" t="s">
        <v>720</v>
      </c>
      <c r="B19" t="s">
        <v>2320</v>
      </c>
    </row>
    <row r="20" spans="1:2" x14ac:dyDescent="0.25">
      <c r="A20" t="s">
        <v>721</v>
      </c>
      <c r="B20" t="s">
        <v>2321</v>
      </c>
    </row>
    <row r="21" spans="1:2" x14ac:dyDescent="0.25">
      <c r="A21" t="s">
        <v>719</v>
      </c>
      <c r="B21" t="s">
        <v>2322</v>
      </c>
    </row>
    <row r="22" spans="1:2" x14ac:dyDescent="0.25">
      <c r="A22" s="41" t="s">
        <v>722</v>
      </c>
      <c r="B22" s="41" t="s">
        <v>2331</v>
      </c>
    </row>
    <row r="23" spans="1:2" x14ac:dyDescent="0.25">
      <c r="A23" t="s">
        <v>724</v>
      </c>
      <c r="B23" s="52" t="s">
        <v>2324</v>
      </c>
    </row>
    <row r="24" spans="1:2" x14ac:dyDescent="0.25">
      <c r="A24" t="s">
        <v>725</v>
      </c>
      <c r="B24" s="52"/>
    </row>
    <row r="25" spans="1:2" x14ac:dyDescent="0.25">
      <c r="A25" t="s">
        <v>726</v>
      </c>
      <c r="B25" s="52"/>
    </row>
    <row r="26" spans="1:2" x14ac:dyDescent="0.25">
      <c r="A26" t="s">
        <v>727</v>
      </c>
      <c r="B26" s="52"/>
    </row>
    <row r="27" spans="1:2" x14ac:dyDescent="0.25">
      <c r="A27" t="s">
        <v>728</v>
      </c>
      <c r="B27" s="52"/>
    </row>
    <row r="28" spans="1:2" x14ac:dyDescent="0.25">
      <c r="A28" t="s">
        <v>734</v>
      </c>
      <c r="B28" t="s">
        <v>2325</v>
      </c>
    </row>
    <row r="29" spans="1:2" x14ac:dyDescent="0.25">
      <c r="A29" t="s">
        <v>736</v>
      </c>
      <c r="B29" s="52" t="s">
        <v>2326</v>
      </c>
    </row>
    <row r="30" spans="1:2" x14ac:dyDescent="0.25">
      <c r="A30" t="s">
        <v>737</v>
      </c>
      <c r="B30" s="52"/>
    </row>
    <row r="31" spans="1:2" x14ac:dyDescent="0.25">
      <c r="A31" t="s">
        <v>738</v>
      </c>
      <c r="B31" s="52"/>
    </row>
    <row r="32" spans="1:2" x14ac:dyDescent="0.25">
      <c r="A32" s="41" t="s">
        <v>1140</v>
      </c>
      <c r="B32" s="41" t="s">
        <v>2327</v>
      </c>
    </row>
    <row r="33" spans="1:2" x14ac:dyDescent="0.25">
      <c r="A33" t="s">
        <v>1148</v>
      </c>
      <c r="B33" t="s">
        <v>2328</v>
      </c>
    </row>
    <row r="34" spans="1:2" x14ac:dyDescent="0.25">
      <c r="A34" t="s">
        <v>1647</v>
      </c>
      <c r="B34" t="s">
        <v>2329</v>
      </c>
    </row>
    <row r="35" spans="1:2" x14ac:dyDescent="0.25">
      <c r="A35" t="s">
        <v>1700</v>
      </c>
      <c r="B35" s="52" t="s">
        <v>2330</v>
      </c>
    </row>
    <row r="36" spans="1:2" x14ac:dyDescent="0.25">
      <c r="A36" t="s">
        <v>1701</v>
      </c>
      <c r="B36" s="52"/>
    </row>
    <row r="37" spans="1:2" x14ac:dyDescent="0.25">
      <c r="A37" t="s">
        <v>1702</v>
      </c>
      <c r="B37" s="52"/>
    </row>
    <row r="38" spans="1:2" x14ac:dyDescent="0.25">
      <c r="A38" t="s">
        <v>1703</v>
      </c>
      <c r="B38" s="52"/>
    </row>
    <row r="39" spans="1:2" x14ac:dyDescent="0.25">
      <c r="A39" t="s">
        <v>1704</v>
      </c>
      <c r="B39" s="52"/>
    </row>
    <row r="40" spans="1:2" x14ac:dyDescent="0.25">
      <c r="A40" t="s">
        <v>1705</v>
      </c>
      <c r="B40" s="52"/>
    </row>
    <row r="41" spans="1:2" x14ac:dyDescent="0.25">
      <c r="A41" t="s">
        <v>1706</v>
      </c>
      <c r="B41" s="52"/>
    </row>
    <row r="42" spans="1:2" x14ac:dyDescent="0.25">
      <c r="A42" t="s">
        <v>1727</v>
      </c>
      <c r="B42" s="52"/>
    </row>
    <row r="43" spans="1:2" x14ac:dyDescent="0.25">
      <c r="A43" t="s">
        <v>1744</v>
      </c>
      <c r="B43" s="52"/>
    </row>
    <row r="44" spans="1:2" x14ac:dyDescent="0.25">
      <c r="A44" t="s">
        <v>1745</v>
      </c>
      <c r="B44" s="52"/>
    </row>
    <row r="45" spans="1:2" x14ac:dyDescent="0.25">
      <c r="A45" t="s">
        <v>1746</v>
      </c>
      <c r="B45" s="52"/>
    </row>
    <row r="46" spans="1:2" x14ac:dyDescent="0.25">
      <c r="A46" t="s">
        <v>1747</v>
      </c>
      <c r="B46" s="52"/>
    </row>
    <row r="47" spans="1:2" x14ac:dyDescent="0.25">
      <c r="A47" t="s">
        <v>1748</v>
      </c>
      <c r="B47" s="52"/>
    </row>
    <row r="48" spans="1:2" x14ac:dyDescent="0.25">
      <c r="A48" t="s">
        <v>1768</v>
      </c>
      <c r="B48" s="52"/>
    </row>
    <row r="49" spans="1:2" x14ac:dyDescent="0.25">
      <c r="A49" t="s">
        <v>1917</v>
      </c>
      <c r="B49" s="52"/>
    </row>
    <row r="50" spans="1:2" x14ac:dyDescent="0.25">
      <c r="A50" t="s">
        <v>1918</v>
      </c>
      <c r="B50" s="52"/>
    </row>
    <row r="51" spans="1:2" x14ac:dyDescent="0.25">
      <c r="A51" t="s">
        <v>1919</v>
      </c>
      <c r="B51" s="52"/>
    </row>
    <row r="52" spans="1:2" x14ac:dyDescent="0.25">
      <c r="A52" t="s">
        <v>2033</v>
      </c>
      <c r="B52" s="52"/>
    </row>
    <row r="53" spans="1:2" x14ac:dyDescent="0.25">
      <c r="A53" t="s">
        <v>2034</v>
      </c>
      <c r="B53" s="52"/>
    </row>
    <row r="54" spans="1:2" x14ac:dyDescent="0.25">
      <c r="A54" t="s">
        <v>2035</v>
      </c>
      <c r="B54" s="52"/>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1612</v>
      </c>
      <c r="D1" s="17" t="s">
        <v>1615</v>
      </c>
      <c r="J1" s="17" t="s">
        <v>1618</v>
      </c>
      <c r="M1" s="17" t="s">
        <v>1619</v>
      </c>
      <c r="P1" s="17" t="s">
        <v>1634</v>
      </c>
      <c r="S1" s="17" t="s">
        <v>1618</v>
      </c>
      <c r="V1" s="17" t="s">
        <v>1619</v>
      </c>
      <c r="Y1" s="4" t="s">
        <v>1633</v>
      </c>
      <c r="AQ1" s="4" t="s">
        <v>1646</v>
      </c>
    </row>
    <row r="3" spans="1:43" ht="45"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row>
    <row r="4" spans="1:43"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row>
    <row r="5" spans="1:43"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row>
    <row r="6" spans="1:43"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row>
    <row r="7" spans="1:43"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row>
    <row r="8" spans="1:43"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row>
    <row r="9" spans="1:43"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row>
    <row r="10" spans="1:43"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row>
    <row r="11" spans="1:43"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2020-12-21T02:03:18Z</dcterms:modified>
</cp:coreProperties>
</file>