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temporal/"/>
    </mc:Choice>
  </mc:AlternateContent>
  <xr:revisionPtr revIDLastSave="107" documentId="8_{C4058E55-6697-44D8-BF2A-533DCF0008C6}" xr6:coauthVersionLast="45" xr6:coauthVersionMax="45" xr10:uidLastSave="{5F2CF40F-CC73-432D-A4D9-CA6B9CEF1487}"/>
  <bookViews>
    <workbookView xWindow="-120" yWindow="-120" windowWidth="20730" windowHeight="11160" tabRatio="500" xr2:uid="{00000000-000D-0000-FFFF-FFFF00000000}"/>
  </bookViews>
  <sheets>
    <sheet name="dataeval" sheetId="1" r:id="rId1"/>
    <sheet name="Notas reunion" sheetId="5" r:id="rId2"/>
    <sheet name="fuentes" sheetId="2" r:id="rId3"/>
    <sheet name="Deflactor" sheetId="4" r:id="rId4"/>
  </sheets>
  <definedNames>
    <definedName name="_xlnm._FilterDatabase" localSheetId="0" hidden="1">dataeval!$A$1:$AS$622</definedName>
    <definedName name="_xlnm._FilterDatabase" localSheetId="2" hidden="1">fuentes!$E$2:$E$622</definedName>
    <definedName name="_xlnm.Extract" localSheetId="2">fuentes!$F$2:$F$622</definedName>
    <definedName name="_xlnm.Criteria" localSheetId="2">fuentes!$E$2:$E$622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224" i="1" l="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l="1"/>
  <c r="AR255" i="1"/>
  <c r="AR256" i="1"/>
  <c r="AR257" i="1" l="1"/>
  <c r="AR261" i="1" l="1"/>
  <c r="AR262" i="1"/>
  <c r="AR264" i="1"/>
  <c r="AR265" i="1"/>
  <c r="AR266" i="1"/>
  <c r="AR267" i="1"/>
  <c r="AR268" i="1"/>
  <c r="AR269" i="1"/>
  <c r="AR270" i="1"/>
  <c r="AR271" i="1"/>
  <c r="AR272" i="1"/>
  <c r="AR273" i="1"/>
  <c r="AR274" i="1"/>
  <c r="AR275" i="1"/>
  <c r="AR276" i="1"/>
  <c r="AR279" i="1"/>
  <c r="AR278" i="1"/>
  <c r="AR277" i="1"/>
  <c r="AR293" i="1"/>
  <c r="AR281" i="1" l="1"/>
  <c r="AR282" i="1"/>
  <c r="AR283" i="1"/>
  <c r="AR284" i="1"/>
  <c r="AR287" i="1"/>
  <c r="AR290" i="1"/>
  <c r="AR291" i="1"/>
  <c r="AR292" i="1"/>
  <c r="AR295" i="1"/>
  <c r="AR294" i="1"/>
  <c r="AR296" i="1"/>
  <c r="AR299" i="1"/>
  <c r="AR301" i="1"/>
  <c r="AR302" i="1" l="1"/>
  <c r="AR303" i="1"/>
  <c r="AR309" i="1"/>
  <c r="AR308" i="1"/>
  <c r="AR307" i="1"/>
  <c r="AR306" i="1"/>
  <c r="AR305" i="1"/>
  <c r="AR304" i="1"/>
  <c r="T17" i="5" l="1"/>
  <c r="T14" i="5"/>
  <c r="T13" i="5"/>
  <c r="T12" i="5"/>
  <c r="T11" i="5"/>
  <c r="T10" i="5"/>
  <c r="T8" i="5"/>
  <c r="T6" i="5" l="1"/>
  <c r="T7" i="5"/>
  <c r="T3" i="5"/>
  <c r="T5" i="5"/>
  <c r="T4" i="5"/>
  <c r="J160" i="1" l="1"/>
  <c r="J159" i="1"/>
  <c r="J157" i="1"/>
  <c r="J156" i="1"/>
  <c r="J155" i="1"/>
  <c r="J154" i="1"/>
  <c r="J153" i="1"/>
  <c r="J151" i="1" l="1"/>
  <c r="J125" i="1" l="1"/>
  <c r="J123" i="1" l="1"/>
  <c r="J122" i="1"/>
  <c r="J121" i="1"/>
  <c r="J120" i="1"/>
  <c r="J119" i="1"/>
  <c r="J118" i="1"/>
  <c r="J117" i="1"/>
  <c r="J116" i="1"/>
  <c r="J115" i="1" l="1"/>
  <c r="J114" i="1"/>
  <c r="J113" i="1"/>
  <c r="J112" i="1" l="1"/>
  <c r="J111" i="1"/>
  <c r="J110" i="1" l="1"/>
  <c r="J107" i="1" l="1"/>
  <c r="J18" i="1" l="1"/>
  <c r="J17" i="1"/>
  <c r="J16" i="1"/>
  <c r="J15" i="1"/>
  <c r="J13" i="1" l="1"/>
  <c r="J12" i="1"/>
  <c r="J11" i="1"/>
  <c r="J10" i="1"/>
  <c r="J9" i="1"/>
  <c r="J8" i="1"/>
  <c r="J7" i="1"/>
  <c r="J5" i="1" l="1"/>
  <c r="J6" i="1"/>
  <c r="J4" i="1" l="1"/>
  <c r="J3" i="1"/>
  <c r="W622" i="1" l="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l="1"/>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s="1"/>
  <c r="H4" i="4"/>
  <c r="J265" i="1"/>
  <c r="J249" i="1"/>
  <c r="J241" i="1"/>
  <c r="J240" i="1"/>
  <c r="J239" i="1"/>
  <c r="J238" i="1"/>
  <c r="J237" i="1"/>
  <c r="J204" i="1"/>
  <c r="J203" i="1"/>
  <c r="J202" i="1"/>
  <c r="J201" i="1"/>
  <c r="J200" i="1"/>
  <c r="J199" i="1"/>
  <c r="J198" i="1"/>
  <c r="J197" i="1"/>
  <c r="J196" i="1"/>
  <c r="J195" i="1"/>
  <c r="J194" i="1"/>
  <c r="J193" i="1"/>
  <c r="J192" i="1"/>
  <c r="J181" i="1"/>
  <c r="J180" i="1"/>
  <c r="J179" i="1"/>
  <c r="J178" i="1"/>
  <c r="J177" i="1"/>
  <c r="J176" i="1"/>
  <c r="J150" i="1"/>
  <c r="J149" i="1"/>
  <c r="J148" i="1"/>
  <c r="J146" i="1"/>
  <c r="J145" i="1"/>
  <c r="J144" i="1"/>
  <c r="J143" i="1"/>
  <c r="J141" i="1"/>
  <c r="J140" i="1"/>
  <c r="J139" i="1"/>
  <c r="J138" i="1"/>
  <c r="J137" i="1"/>
  <c r="J136" i="1"/>
  <c r="J135" i="1"/>
  <c r="J134" i="1"/>
  <c r="J131" i="1"/>
  <c r="J126" i="1"/>
  <c r="J106" i="1"/>
  <c r="J105" i="1"/>
  <c r="J103" i="1"/>
  <c r="J102" i="1"/>
  <c r="J101" i="1"/>
  <c r="J100" i="1"/>
  <c r="J99" i="1"/>
  <c r="J98"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l="1"/>
  <c r="J81" i="1" l="1"/>
  <c r="J80" i="1"/>
  <c r="J79" i="1"/>
  <c r="J78" i="1"/>
  <c r="J77" i="1" l="1"/>
  <c r="J75" i="1" l="1"/>
  <c r="J74" i="1" l="1"/>
  <c r="J72" i="1"/>
  <c r="J69" i="1" l="1"/>
  <c r="J76" i="1"/>
  <c r="J68" i="1" l="1"/>
  <c r="J67" i="1"/>
  <c r="J65" i="1"/>
  <c r="J63" i="1"/>
  <c r="J62" i="1" l="1"/>
  <c r="J61" i="1"/>
  <c r="J60" i="1"/>
  <c r="J59" i="1" l="1"/>
  <c r="J58" i="1" l="1"/>
  <c r="J73" i="1" l="1"/>
  <c r="J70" i="1" l="1"/>
  <c r="J64" i="1"/>
  <c r="J57" i="1"/>
  <c r="J66" i="1"/>
  <c r="J71" i="1"/>
  <c r="J34" i="1" l="1"/>
  <c r="J33" i="1" l="1"/>
  <c r="J32" i="1"/>
  <c r="J31" i="1"/>
  <c r="J281" i="1"/>
  <c r="J30" i="1"/>
  <c r="J29" i="1"/>
  <c r="J538" i="1" l="1"/>
  <c r="J305" i="1"/>
  <c r="J304" i="1"/>
  <c r="J302" i="1"/>
  <c r="J26" i="1"/>
  <c r="J25" i="1"/>
  <c r="J23" i="1"/>
  <c r="J22" i="1"/>
  <c r="J20" i="1"/>
</calcChain>
</file>

<file path=xl/sharedStrings.xml><?xml version="1.0" encoding="utf-8"?>
<sst xmlns="http://schemas.openxmlformats.org/spreadsheetml/2006/main" count="5776" uniqueCount="2375">
  <si>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</si>
  <si>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</si>
  <si>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</si>
  <si>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</si>
  <si>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</si>
  <si>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</si>
  <si>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</si>
  <si>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</si>
  <si>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</si>
  <si>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</si>
  <si>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</si>
  <si>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</si>
  <si>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</si>
  <si>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</si>
  <si>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</si>
  <si>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</si>
  <si>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</si>
  <si>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</si>
  <si>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</si>
  <si>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</si>
  <si>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</si>
  <si>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</si>
  <si>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</si>
  <si>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</si>
  <si>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</si>
  <si>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</si>
  <si>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</si>
  <si>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</si>
  <si>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</si>
  <si>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</si>
  <si>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</si>
  <si>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</si>
  <si>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</si>
  <si>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</si>
  <si>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</si>
  <si>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</si>
  <si>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</si>
  <si>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</si>
  <si>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</si>
  <si>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</si>
  <si>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</si>
  <si>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</si>
  <si>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</si>
  <si>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</si>
  <si>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</si>
  <si>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</si>
  <si>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</si>
  <si>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</si>
  <si>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</si>
  <si>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</si>
  <si>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</si>
  <si>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</si>
  <si>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</si>
  <si>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</si>
  <si>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</si>
  <si>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</si>
  <si>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</si>
  <si>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</si>
  <si>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</si>
  <si>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</si>
  <si>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</si>
  <si>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</si>
  <si>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</si>
  <si>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</si>
  <si>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</si>
  <si>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</si>
  <si>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</si>
  <si>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</si>
  <si>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</si>
  <si>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</si>
  <si>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</si>
  <si>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</si>
  <si>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</si>
  <si>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</si>
  <si>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</si>
  <si>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</si>
  <si>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</si>
  <si>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</si>
  <si>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</si>
  <si>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</si>
  <si>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</si>
  <si>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</si>
  <si>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</si>
  <si>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</si>
  <si>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</si>
  <si>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</si>
  <si>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</si>
  <si>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</si>
  <si>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</si>
  <si>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</si>
  <si>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</si>
  <si>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</si>
  <si>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</si>
  <si>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</si>
  <si>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</si>
  <si>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</si>
  <si>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</si>
  <si>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</si>
  <si>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</si>
  <si>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</si>
  <si>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</si>
  <si>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</si>
  <si>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</si>
  <si>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</si>
  <si>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</si>
  <si>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</si>
  <si>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</si>
  <si>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</si>
  <si>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</si>
  <si>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</si>
  <si>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</si>
  <si>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</si>
  <si>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</si>
  <si>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</si>
  <si>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</si>
  <si>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</si>
  <si>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</si>
  <si>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</si>
  <si>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</si>
  <si>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</si>
  <si>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</si>
  <si>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</si>
  <si>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</si>
  <si>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</si>
  <si>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</si>
  <si>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</si>
  <si>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</si>
  <si>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</si>
  <si>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</si>
  <si>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</si>
  <si>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</si>
  <si>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</si>
  <si>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</si>
  <si>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</si>
  <si>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</si>
  <si>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</si>
  <si>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</si>
  <si>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</si>
  <si>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</si>
  <si>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</si>
  <si>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</si>
  <si>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</si>
  <si>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</si>
  <si>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</si>
  <si>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</si>
  <si>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</si>
  <si>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</si>
  <si>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</si>
  <si>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</si>
  <si>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</si>
  <si>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</si>
  <si>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</si>
  <si>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</si>
  <si>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</si>
  <si>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</si>
  <si>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</si>
  <si>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</si>
  <si>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</si>
  <si>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</si>
  <si>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</si>
  <si>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</si>
  <si>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</si>
  <si>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</si>
  <si>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</si>
  <si>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</si>
  <si>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</si>
  <si>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</si>
  <si>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</si>
  <si>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</si>
  <si>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</si>
  <si>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</si>
  <si>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</si>
  <si>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</si>
  <si>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</si>
  <si>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</si>
  <si>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</si>
  <si>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</si>
  <si>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</si>
  <si>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</si>
  <si>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</si>
  <si>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</si>
  <si>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</si>
  <si>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</si>
  <si>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</si>
  <si>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</si>
  <si>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</si>
  <si>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</si>
  <si>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</si>
  <si>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</si>
  <si>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</si>
  <si>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</si>
  <si>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</si>
  <si>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</si>
  <si>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</si>
  <si>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</si>
  <si>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</si>
  <si>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</si>
  <si>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</si>
  <si>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</si>
  <si>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</si>
  <si>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</si>
  <si>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</si>
  <si>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</si>
  <si>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</si>
  <si>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</si>
  <si>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</si>
  <si>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</si>
  <si>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</si>
  <si>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</si>
  <si>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</si>
  <si>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</si>
  <si>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</si>
  <si>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</si>
  <si>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</si>
  <si>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</si>
  <si>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</si>
  <si>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</si>
  <si>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</si>
  <si>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</si>
  <si>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</si>
  <si>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</si>
  <si>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</si>
  <si>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</si>
  <si>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</si>
  <si>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</si>
  <si>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</si>
  <si>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</si>
  <si>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</si>
  <si>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</si>
  <si>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</si>
  <si>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Aplicación del Diseño Curricular y Pedadógico Intercurricular Bilingüe</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</si>
  <si>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</si>
  <si>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</si>
  <si>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</si>
  <si>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</si>
  <si>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</si>
  <si>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</si>
  <si>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</si>
  <si>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</si>
  <si>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</si>
  <si>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</si>
  <si>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</si>
  <si>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</si>
  <si>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</si>
  <si>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</si>
  <si>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</si>
  <si>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</si>
  <si>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</si>
  <si>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</si>
  <si>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</si>
  <si>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</si>
  <si>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</si>
  <si>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</si>
  <si>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</si>
  <si>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</si>
  <si>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</si>
  <si>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</si>
  <si>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</si>
  <si>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</si>
  <si>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</si>
  <si>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</si>
  <si>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</si>
  <si>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</si>
  <si>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</si>
  <si>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</si>
  <si>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</si>
  <si>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</si>
  <si>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</si>
  <si>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</si>
  <si>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</si>
  <si>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</si>
  <si>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</si>
  <si>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</si>
  <si>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</si>
  <si>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</si>
  <si>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</si>
  <si>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</si>
  <si>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</si>
  <si>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</si>
  <si>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</si>
  <si>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</si>
  <si>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</si>
  <si>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</si>
  <si>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</si>
  <si>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</si>
  <si>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</si>
  <si>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</si>
  <si>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</si>
  <si>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</si>
  <si>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</si>
  <si>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</si>
  <si>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</si>
  <si>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</si>
  <si>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</si>
  <si>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</si>
  <si>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</si>
  <si>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</si>
  <si>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</si>
  <si>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</si>
  <si>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</si>
  <si>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</si>
  <si>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</si>
  <si>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</si>
  <si>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</si>
  <si>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</si>
  <si>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</si>
  <si>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</si>
  <si>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</si>
  <si>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</si>
  <si>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</si>
  <si>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</si>
  <si>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</si>
  <si>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</si>
  <si>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</si>
  <si>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</si>
  <si>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</si>
  <si>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</si>
  <si>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</si>
  <si>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</si>
  <si>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</si>
  <si>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</si>
  <si>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</si>
  <si>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</si>
  <si>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</si>
  <si>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</si>
  <si>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</si>
  <si>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</si>
  <si>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</si>
  <si>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</si>
  <si>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</si>
  <si>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</si>
  <si>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</si>
  <si>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</si>
  <si>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</si>
  <si>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</si>
  <si>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</si>
  <si>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</si>
  <si>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</si>
  <si>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</si>
  <si>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</si>
  <si>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</si>
  <si>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</si>
  <si>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</si>
  <si>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</si>
  <si>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</si>
  <si>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</si>
  <si>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</si>
  <si>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</si>
  <si>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</si>
  <si>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</si>
  <si>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</si>
  <si>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</si>
  <si>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</si>
  <si>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</si>
  <si>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</si>
  <si>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</si>
  <si>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</si>
  <si>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</si>
  <si>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</si>
  <si>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</si>
  <si>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</si>
  <si>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</si>
  <si>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</si>
  <si>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</si>
  <si>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</si>
  <si>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</si>
  <si>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</si>
  <si>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</si>
  <si>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</si>
  <si>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</si>
  <si>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</si>
  <si>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</si>
  <si>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</si>
  <si>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</si>
  <si>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</si>
  <si>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</si>
  <si>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</si>
  <si>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</si>
  <si>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</si>
  <si>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</si>
  <si>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</si>
  <si>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</si>
  <si>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</si>
  <si>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</si>
  <si>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</si>
  <si>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</si>
  <si>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</si>
  <si>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</si>
  <si>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</si>
  <si>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</si>
  <si>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</si>
  <si>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</si>
  <si>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</si>
  <si>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</si>
  <si>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</si>
  <si>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</si>
  <si>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</si>
  <si>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</si>
  <si>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</si>
  <si>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</si>
  <si>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</si>
  <si>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</si>
  <si>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</si>
  <si>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</si>
  <si>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</si>
  <si>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</si>
  <si>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</si>
  <si>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</si>
  <si>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</si>
  <si>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</si>
  <si>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</si>
  <si>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</si>
  <si>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</si>
  <si>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</si>
  <si>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</si>
  <si>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</si>
  <si>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</si>
  <si>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</si>
  <si>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</si>
  <si>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</si>
  <si>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</si>
  <si>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</si>
  <si>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</si>
  <si>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</si>
  <si>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</si>
  <si>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</si>
  <si>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</si>
  <si>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</si>
  <si>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</si>
  <si>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</si>
  <si>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</si>
  <si>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</si>
  <si>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</si>
  <si>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</si>
  <si>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</si>
  <si>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</si>
  <si>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</si>
  <si>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</si>
  <si>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</si>
  <si>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</si>
  <si>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</si>
  <si>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</si>
  <si>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</si>
  <si>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</si>
  <si>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</si>
  <si>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</si>
  <si>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</si>
  <si>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</si>
  <si>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</si>
  <si>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</si>
  <si>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</si>
  <si>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</si>
  <si>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</si>
  <si>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</si>
  <si>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</si>
  <si>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</si>
  <si>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</si>
  <si>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</si>
  <si>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</si>
  <si>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</si>
  <si>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</si>
  <si>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</si>
  <si>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</si>
  <si>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</si>
  <si>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</si>
  <si>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</si>
  <si>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</si>
  <si>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</si>
  <si>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</si>
  <si>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</si>
  <si>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</si>
  <si>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</si>
  <si>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</si>
  <si>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</si>
  <si>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</si>
  <si>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</si>
  <si>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</si>
  <si>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</si>
  <si>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</si>
  <si>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</si>
  <si>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</si>
  <si>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</si>
  <si>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</si>
  <si>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</si>
  <si>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</si>
  <si>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</si>
  <si>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</si>
  <si>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</si>
  <si>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</si>
  <si>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</si>
  <si>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</si>
  <si>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</si>
  <si>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</si>
  <si>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</si>
  <si>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</si>
  <si>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</si>
  <si>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</si>
  <si>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</si>
  <si>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</si>
  <si>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</si>
  <si>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</si>
  <si>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</si>
  <si>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</si>
  <si>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</si>
  <si>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</si>
  <si>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</si>
  <si>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</si>
  <si>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</si>
  <si>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</si>
  <si>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</si>
  <si>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</si>
  <si>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</si>
  <si>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</si>
  <si>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</si>
  <si>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</si>
  <si>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</si>
  <si>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</si>
  <si>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</si>
  <si>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</si>
  <si>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</si>
  <si>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</si>
  <si>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</si>
  <si>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</si>
  <si>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</si>
  <si>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</si>
  <si>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</si>
  <si>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</si>
  <si>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</si>
  <si>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</si>
  <si>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</si>
  <si>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</si>
  <si>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</si>
  <si>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</si>
  <si>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</si>
  <si>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</si>
  <si>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</si>
  <si>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</si>
  <si>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</si>
  <si>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</si>
  <si>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</si>
  <si>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</si>
  <si>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</si>
  <si>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</si>
  <si>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</si>
  <si>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</si>
  <si>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</si>
  <si>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</si>
  <si>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</si>
  <si>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</si>
  <si>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</si>
  <si>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</si>
  <si>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</si>
  <si>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</si>
  <si>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</si>
  <si>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</si>
  <si>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</si>
  <si>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</si>
  <si>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</si>
  <si>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</si>
  <si>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</si>
  <si>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</si>
  <si>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</si>
  <si>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</si>
  <si>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</si>
  <si>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</si>
  <si>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</si>
  <si>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</si>
  <si>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</si>
  <si>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</si>
  <si>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</si>
  <si>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</si>
  <si>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</si>
  <si>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</si>
  <si>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</si>
  <si>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</si>
  <si>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</si>
  <si>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</si>
  <si>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</si>
  <si>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</si>
  <si>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</si>
  <si>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</si>
  <si>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</si>
  <si>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</si>
  <si>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</si>
  <si>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</si>
  <si>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</si>
  <si>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</si>
  <si>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</si>
  <si>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</si>
  <si>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</si>
  <si>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</si>
  <si>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</si>
  <si>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</si>
  <si>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</si>
  <si>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</si>
  <si>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</si>
  <si>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</si>
  <si>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</si>
  <si>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</si>
  <si>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</si>
  <si>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</si>
  <si>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</si>
  <si>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</si>
  <si>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</si>
  <si>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</si>
  <si>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</si>
  <si>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</si>
  <si>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</si>
  <si>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</si>
  <si>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</si>
  <si>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</si>
  <si>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</si>
  <si>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</si>
  <si>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</si>
  <si>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</si>
  <si>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</si>
  <si>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</si>
  <si>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</si>
  <si>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</si>
  <si>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</si>
  <si>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</si>
  <si>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</si>
  <si>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</si>
  <si>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</si>
  <si>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</si>
  <si>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</si>
  <si>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</si>
  <si>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</si>
  <si>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</si>
  <si>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</si>
  <si>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</si>
  <si>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</si>
  <si>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</si>
  <si>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</si>
  <si>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</si>
  <si>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</si>
  <si>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</si>
  <si>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</si>
  <si>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</si>
  <si>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</si>
  <si>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</si>
  <si>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</si>
  <si>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</si>
  <si>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</si>
  <si>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</si>
  <si>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</si>
  <si>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</si>
  <si>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</si>
  <si>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</si>
  <si>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</si>
  <si>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</si>
  <si>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</si>
  <si>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</si>
  <si>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</si>
  <si>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</si>
  <si>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</si>
  <si>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</si>
  <si>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</si>
  <si>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</si>
  <si>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</si>
  <si>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</si>
  <si>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</si>
  <si>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</si>
  <si>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</si>
  <si>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</si>
  <si>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</si>
  <si>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</si>
  <si>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</si>
  <si>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</si>
  <si>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</si>
  <si>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</si>
  <si>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</si>
  <si>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</si>
  <si>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</si>
  <si>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</si>
  <si>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</si>
  <si>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</si>
  <si>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</si>
  <si>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</si>
  <si>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</si>
  <si>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</si>
  <si>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</si>
  <si>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</si>
  <si>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</si>
  <si>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</si>
  <si>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</si>
  <si>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</si>
  <si>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</si>
  <si>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</si>
  <si>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</si>
  <si>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</si>
  <si>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</si>
  <si>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</si>
  <si>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</si>
  <si>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</si>
  <si>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</si>
  <si>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</si>
  <si>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</si>
  <si>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</si>
  <si>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</si>
  <si>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</si>
  <si>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</si>
  <si>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</si>
  <si>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</si>
  <si>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</si>
  <si>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</si>
  <si>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</si>
  <si>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</si>
  <si>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</si>
  <si>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</si>
  <si>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</si>
  <si>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</si>
  <si>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</si>
  <si>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</si>
  <si>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</si>
  <si>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</si>
  <si>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</si>
  <si>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</si>
  <si>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</si>
  <si>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</si>
  <si>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</si>
  <si>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</si>
  <si>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</si>
  <si>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</si>
  <si>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</si>
  <si>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</si>
  <si>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</si>
  <si>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</si>
  <si>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</si>
  <si>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</si>
  <si>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</si>
  <si>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</si>
  <si>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</si>
  <si>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</si>
  <si>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</si>
  <si>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</si>
  <si>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</si>
  <si>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</si>
  <si>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</si>
  <si>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</si>
  <si>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</si>
  <si>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</si>
  <si>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</si>
  <si>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</si>
  <si>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</si>
  <si>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</si>
  <si>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</si>
  <si>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</si>
  <si>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</si>
  <si>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</si>
  <si>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</si>
  <si>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</si>
  <si>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</si>
  <si>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</si>
  <si>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</si>
  <si>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</si>
  <si>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</si>
  <si>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</si>
  <si>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</si>
  <si>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</si>
  <si>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</si>
  <si>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</si>
  <si>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</si>
  <si>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</si>
  <si>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</si>
  <si>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</si>
  <si>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</si>
  <si>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</si>
  <si>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</si>
  <si>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</si>
  <si>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</si>
  <si>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</si>
  <si>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</si>
  <si>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</si>
  <si>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</si>
  <si>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</si>
  <si>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</si>
  <si>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</si>
  <si>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</si>
  <si>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</si>
  <si>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</si>
  <si>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</si>
  <si>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</si>
  <si>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</si>
  <si>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</si>
  <si>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</si>
  <si>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</si>
  <si>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</si>
  <si>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</si>
  <si>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</si>
  <si>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</si>
  <si>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</si>
  <si>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</si>
  <si>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</si>
  <si>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</si>
  <si>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</si>
  <si>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</si>
  <si>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</si>
  <si>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</si>
  <si>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</si>
  <si>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</si>
  <si>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</si>
  <si>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</si>
  <si>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</si>
  <si>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</si>
  <si>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</si>
  <si>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</si>
  <si>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</si>
  <si>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</si>
  <si>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</si>
  <si>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</si>
  <si>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</si>
  <si>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</si>
  <si>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</si>
  <si>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</si>
  <si>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</si>
  <si>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</si>
  <si>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</si>
  <si>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</si>
  <si>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</si>
  <si>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</si>
  <si>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</si>
  <si>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</si>
  <si>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</si>
  <si>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</si>
  <si>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</si>
  <si>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</si>
  <si>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</si>
  <si>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</si>
  <si>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</si>
  <si>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</si>
  <si>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</si>
  <si>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</si>
  <si>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</si>
  <si>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</si>
  <si>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</si>
  <si>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</si>
  <si>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</si>
  <si>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</si>
  <si>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</si>
  <si>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</si>
  <si>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</si>
  <si>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</si>
  <si>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</si>
  <si>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</si>
  <si>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</si>
  <si>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</si>
  <si>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</si>
  <si>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</si>
  <si>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</si>
  <si>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</si>
  <si>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</si>
  <si>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</si>
  <si>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</si>
  <si>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</si>
  <si>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</si>
  <si>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</si>
  <si>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</si>
  <si>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</si>
  <si>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</si>
  <si>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</si>
  <si>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</si>
  <si>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</si>
  <si>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</si>
  <si>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</si>
  <si>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</si>
  <si>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</si>
  <si>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</si>
  <si>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</si>
  <si>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</si>
  <si>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</si>
  <si>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</si>
  <si>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</si>
  <si>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</si>
  <si>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</si>
  <si>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</si>
  <si>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</si>
  <si>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</si>
  <si>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</si>
  <si>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</si>
  <si>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</si>
  <si>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</si>
  <si>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</si>
  <si>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</si>
  <si>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</si>
  <si>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</si>
  <si>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</si>
  <si>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</si>
  <si>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</si>
  <si>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</si>
  <si>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</si>
  <si>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</si>
  <si>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</si>
  <si>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</si>
  <si>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</si>
  <si>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</si>
  <si>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</si>
  <si>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</si>
  <si>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</si>
  <si>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</si>
  <si>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</si>
  <si>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</si>
  <si>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</si>
  <si>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</si>
  <si>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</si>
  <si>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</si>
  <si>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</si>
  <si>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</si>
  <si>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</si>
  <si>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</si>
  <si>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</si>
  <si>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</si>
  <si>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</si>
  <si>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</si>
  <si>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</si>
  <si>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</si>
  <si>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</si>
  <si>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</si>
  <si>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</si>
  <si>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</si>
  <si>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</si>
  <si>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</si>
  <si>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</si>
  <si>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</si>
  <si>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</si>
  <si>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</si>
  <si>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</si>
  <si>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</si>
  <si>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</si>
  <si>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</si>
  <si>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</si>
  <si>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</si>
  <si>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</si>
  <si>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</si>
  <si>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</si>
  <si>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</si>
  <si>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</si>
  <si>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</si>
  <si>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</si>
  <si>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</si>
  <si>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</si>
  <si>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</si>
  <si>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</si>
  <si>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</si>
  <si>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</si>
  <si>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</si>
  <si>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</si>
  <si>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</si>
  <si>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</si>
  <si>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</si>
  <si>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</si>
  <si>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</si>
  <si>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</si>
  <si>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</si>
  <si>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</si>
  <si>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</si>
  <si>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</si>
  <si>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</si>
  <si>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</si>
  <si>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</si>
  <si>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</si>
  <si>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</si>
  <si>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</si>
  <si>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</si>
  <si>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</si>
  <si>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</si>
  <si>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</si>
  <si>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</si>
  <si>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</si>
  <si>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</si>
  <si>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</si>
  <si>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</si>
  <si>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</si>
  <si>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</si>
  <si>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</si>
  <si>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</si>
  <si>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</si>
  <si>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</si>
  <si>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</si>
  <si>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</si>
  <si>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</si>
  <si>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</si>
  <si>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</si>
  <si>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</si>
  <si>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</si>
  <si>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</si>
  <si>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</si>
  <si>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</si>
  <si>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</si>
  <si>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</si>
  <si>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</si>
  <si>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</si>
  <si>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</si>
  <si>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</si>
  <si>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</si>
  <si>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</si>
  <si>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</si>
  <si>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</si>
  <si>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</si>
  <si>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</si>
  <si>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</si>
  <si>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</si>
  <si>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</si>
  <si>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</si>
  <si>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</si>
  <si>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</si>
  <si>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</si>
  <si>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</si>
  <si>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</si>
  <si>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</si>
  <si>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</si>
  <si>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</si>
  <si>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</si>
  <si>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</si>
  <si>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</si>
  <si>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</si>
  <si>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</si>
  <si>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</si>
  <si>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</si>
  <si>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</si>
  <si>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</si>
  <si>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</si>
  <si>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</si>
  <si>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</si>
  <si>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</si>
  <si>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</si>
  <si>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</si>
  <si>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</si>
  <si>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</si>
  <si>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</si>
  <si>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</si>
  <si>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</si>
  <si>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</si>
  <si>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</si>
  <si>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</si>
  <si>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</si>
  <si>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</si>
  <si>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</si>
  <si>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</si>
  <si>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</si>
  <si>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</si>
  <si>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</si>
  <si>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</si>
  <si>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</si>
  <si>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</si>
  <si>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</si>
  <si>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</si>
  <si>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</si>
  <si>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</si>
  <si>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</si>
  <si>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</si>
  <si>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</si>
  <si>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</si>
  <si>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</si>
  <si>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</si>
  <si>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</si>
  <si>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</si>
  <si>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</si>
  <si>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</si>
  <si>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</si>
  <si>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</si>
  <si>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</si>
  <si>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</si>
  <si>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</si>
  <si>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</si>
  <si>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</si>
  <si>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</si>
  <si>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</si>
  <si>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</si>
  <si>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</si>
  <si>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</si>
  <si>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</si>
  <si>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</si>
  <si>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</si>
  <si>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</si>
  <si>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</si>
  <si>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</si>
  <si>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</si>
  <si>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</si>
  <si>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</si>
  <si>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</si>
  <si>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</si>
  <si>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</si>
  <si>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</si>
  <si>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</si>
  <si>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</si>
  <si>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</si>
  <si>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</si>
  <si>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</si>
  <si>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</si>
  <si>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</si>
  <si>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</si>
  <si>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</si>
  <si>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</si>
  <si>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</si>
  <si>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</si>
  <si>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</si>
  <si>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</si>
  <si>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</si>
  <si>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</si>
  <si>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</si>
  <si>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</si>
  <si>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</si>
  <si>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</si>
  <si>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</si>
  <si>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</si>
  <si>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</si>
  <si>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</si>
  <si>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</si>
  <si>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</si>
  <si>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</si>
  <si>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</si>
  <si>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</si>
  <si>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</si>
  <si>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</si>
  <si>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</si>
  <si>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</si>
  <si>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</si>
  <si>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</si>
  <si>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</si>
  <si>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</si>
  <si>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</si>
  <si>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</si>
  <si>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</si>
  <si>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</si>
  <si>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</si>
  <si>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</si>
  <si>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</si>
  <si>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</si>
  <si>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</si>
  <si>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</si>
  <si>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</si>
  <si>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</si>
  <si>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</si>
  <si>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</si>
  <si>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</si>
  <si>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</si>
  <si>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</si>
  <si>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</si>
  <si>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</si>
  <si>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</si>
  <si>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</si>
  <si>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</si>
  <si>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</si>
  <si>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</si>
  <si>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</si>
  <si>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</si>
  <si>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</si>
  <si>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</si>
  <si>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</si>
  <si>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</si>
  <si>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</si>
  <si>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</si>
  <si>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</si>
  <si>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</si>
  <si>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</si>
  <si>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</si>
  <si>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</si>
  <si>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</si>
  <si>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</si>
  <si>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</si>
  <si>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</si>
  <si>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</si>
  <si>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</si>
  <si>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</si>
  <si>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</si>
  <si>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</si>
  <si>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</si>
  <si>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</si>
  <si>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</si>
  <si>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</si>
  <si>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</si>
  <si>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</si>
  <si>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</si>
  <si>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</si>
  <si>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</si>
  <si>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</si>
  <si>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</si>
  <si>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</si>
  <si>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</si>
  <si>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</si>
  <si>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</si>
  <si>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</si>
  <si>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</si>
  <si>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</si>
  <si>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</si>
  <si>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</si>
  <si>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</si>
  <si>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</si>
  <si>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</si>
  <si>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</si>
  <si>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</si>
  <si>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</si>
  <si>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</si>
  <si>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</si>
  <si>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</si>
  <si>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</si>
  <si>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</si>
  <si>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</si>
  <si>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</si>
  <si>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</si>
  <si>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</si>
  <si>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</si>
  <si>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</si>
  <si>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</si>
  <si>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</si>
  <si>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</si>
  <si>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</si>
  <si>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</si>
  <si>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</si>
  <si>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</si>
  <si>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</si>
  <si>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</si>
  <si>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</si>
  <si>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</si>
  <si>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</si>
  <si>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</si>
  <si>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</si>
  <si>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</si>
  <si>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</si>
  <si>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</si>
  <si>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</si>
  <si>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</si>
  <si>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</si>
  <si>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</si>
  <si>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</si>
  <si>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</si>
  <si>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</si>
  <si>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</si>
  <si>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</si>
  <si>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</si>
  <si>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</si>
  <si>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</si>
  <si>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</si>
  <si>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</si>
  <si>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</si>
  <si>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</si>
  <si>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</si>
  <si>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</si>
  <si>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</si>
  <si>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</si>
  <si>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</si>
  <si>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</si>
  <si>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</si>
  <si>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</si>
  <si>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</si>
  <si>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</si>
  <si>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</si>
  <si>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</si>
  <si>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</si>
  <si>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</si>
  <si>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</si>
  <si>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</si>
  <si>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</si>
  <si>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</si>
  <si>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</si>
  <si>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</si>
  <si>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</si>
  <si>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</si>
  <si>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</si>
  <si>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</si>
  <si>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</si>
  <si>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</si>
  <si>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</si>
  <si>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</si>
  <si>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</si>
  <si>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</si>
  <si>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</si>
  <si>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</si>
  <si>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</si>
  <si>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</si>
  <si>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</si>
  <si>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</si>
  <si>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</si>
  <si>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</si>
  <si>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</si>
  <si>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</si>
  <si>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</si>
  <si>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</si>
  <si>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</si>
  <si>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</si>
  <si>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</si>
  <si>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</si>
  <si>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</si>
  <si>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</si>
  <si>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</si>
  <si>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</si>
  <si>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</si>
  <si>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</si>
  <si>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</si>
  <si>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</si>
  <si>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</si>
  <si>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</si>
  <si>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</si>
  <si>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</si>
  <si>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</si>
  <si>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</si>
  <si>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</si>
  <si>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</si>
  <si>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</si>
  <si>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</si>
  <si>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</si>
  <si>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</si>
  <si>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</si>
  <si>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</si>
  <si>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</si>
  <si>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</si>
  <si>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</si>
  <si>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</si>
  <si>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</si>
  <si>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</si>
  <si>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</si>
  <si>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</si>
  <si>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</si>
  <si>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</si>
  <si>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</si>
  <si>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</si>
  <si>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</si>
  <si>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</si>
  <si>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</si>
  <si>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</si>
  <si>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</si>
  <si>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</si>
  <si>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</si>
  <si>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</si>
  <si>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</si>
  <si>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</si>
  <si>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</si>
  <si>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</si>
  <si>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</si>
  <si>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</si>
  <si>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</si>
  <si>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</si>
  <si>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</si>
  <si>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</si>
  <si>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</si>
  <si>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</si>
  <si>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</si>
  <si>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</si>
  <si>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</si>
  <si>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</si>
  <si>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</si>
  <si>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</si>
  <si>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</si>
  <si>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</si>
  <si>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</si>
  <si>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</si>
  <si>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</si>
  <si>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</si>
  <si>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</si>
  <si>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</si>
  <si>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</si>
  <si>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</si>
  <si>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</si>
  <si>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</si>
  <si>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</si>
  <si>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</si>
  <si>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</si>
  <si>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</si>
  <si>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</si>
  <si>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</si>
  <si>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</si>
  <si>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</si>
  <si>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</si>
  <si>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</si>
  <si>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</si>
  <si>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</si>
  <si>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</si>
  <si>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</si>
  <si>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</si>
  <si>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</si>
  <si>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</si>
  <si>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</si>
  <si>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</si>
  <si>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</si>
  <si>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</si>
  <si>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</si>
  <si>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</si>
  <si>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</si>
  <si>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</si>
  <si>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</si>
  <si>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</si>
  <si>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</si>
  <si>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</si>
  <si>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</si>
  <si>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</si>
  <si>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</si>
  <si>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</si>
  <si>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</si>
  <si>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</si>
  <si>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</si>
  <si>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</si>
  <si>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</si>
  <si>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</si>
  <si>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</si>
  <si>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</si>
  <si>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</si>
  <si>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</si>
  <si>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</si>
  <si>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</si>
  <si>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</si>
  <si>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</si>
  <si>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</si>
  <si>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</si>
  <si>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</si>
  <si>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</si>
  <si>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</si>
  <si>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</si>
  <si>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</si>
  <si>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</si>
  <si>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</si>
  <si>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</si>
  <si>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</si>
  <si>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</si>
  <si>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</si>
  <si>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</si>
  <si>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</si>
  <si>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</si>
  <si>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</si>
  <si>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</si>
  <si>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</si>
  <si>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</si>
  <si>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</si>
  <si>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</si>
  <si>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</si>
  <si>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</si>
  <si>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</si>
  <si>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</si>
  <si>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</si>
  <si>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</si>
  <si>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</si>
  <si>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</si>
  <si>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</si>
  <si>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</si>
  <si>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</si>
  <si>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</si>
  <si>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</si>
  <si>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</si>
  <si>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</si>
  <si>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</si>
  <si>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</si>
  <si>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</si>
  <si>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</si>
  <si>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</si>
  <si>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</si>
  <si>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</si>
  <si>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</si>
  <si>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</si>
  <si>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</si>
  <si>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</si>
  <si>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</si>
  <si>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</si>
  <si>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</si>
  <si>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</si>
  <si>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</si>
  <si>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</si>
  <si>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</si>
  <si>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</si>
  <si>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</si>
  <si>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</si>
  <si>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</si>
  <si>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</si>
  <si>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</si>
  <si>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</si>
  <si>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</si>
  <si>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</si>
  <si>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</si>
  <si>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</si>
  <si>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</si>
  <si>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</si>
  <si>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</si>
  <si>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</si>
  <si>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</si>
  <si>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</si>
  <si>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</si>
  <si>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</si>
  <si>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</si>
  <si>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</si>
  <si>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</si>
  <si>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</si>
  <si>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</si>
  <si>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</si>
  <si>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</si>
  <si>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</si>
  <si>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</si>
  <si>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</si>
  <si>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</si>
  <si>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</si>
  <si>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</si>
  <si>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</si>
  <si>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</si>
  <si>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</si>
  <si>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</si>
  <si>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</si>
  <si>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</si>
  <si>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</si>
  <si>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</si>
  <si>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</si>
  <si>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</si>
  <si>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</si>
  <si>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</si>
  <si>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</si>
  <si>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</si>
  <si>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</si>
  <si>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</si>
  <si>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</si>
  <si>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</si>
  <si>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</si>
  <si>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</si>
  <si>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</si>
  <si>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</si>
  <si>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</si>
  <si>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</si>
  <si>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</si>
  <si>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</si>
  <si>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</si>
  <si>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</si>
  <si>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</si>
  <si>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</si>
  <si>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</si>
  <si>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</si>
  <si>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</si>
  <si>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</si>
  <si>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</si>
  <si>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</si>
  <si>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</si>
  <si>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</si>
  <si>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</si>
  <si>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</si>
  <si>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</si>
  <si>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</si>
  <si>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</si>
  <si>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</si>
  <si>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</si>
  <si>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</si>
  <si>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</si>
  <si>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</si>
  <si>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</si>
  <si>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</si>
  <si>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</si>
  <si>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</si>
  <si>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</si>
  <si>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</si>
  <si>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</si>
  <si>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</si>
  <si>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</si>
  <si>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</si>
  <si>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</si>
  <si>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</si>
  <si>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</si>
  <si>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</si>
  <si>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</si>
  <si>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</si>
  <si>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</si>
  <si>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</si>
  <si>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</si>
  <si>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</si>
  <si>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</si>
  <si>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</si>
  <si>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</si>
  <si>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</si>
  <si>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</si>
  <si>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</si>
  <si>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</si>
  <si>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</si>
  <si>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</si>
  <si>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</si>
  <si>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</si>
  <si>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</si>
  <si>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</si>
  <si>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</si>
  <si>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</si>
  <si>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</si>
  <si>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</si>
  <si>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</si>
  <si>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</si>
  <si>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</si>
  <si>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</si>
  <si>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</si>
  <si>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</si>
  <si>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</si>
  <si>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</si>
  <si>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</si>
  <si>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</si>
  <si>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</si>
  <si>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</si>
  <si>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</si>
  <si>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</si>
  <si>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</si>
  <si>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</si>
  <si>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</si>
  <si>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</si>
  <si>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</si>
  <si>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</si>
  <si>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</si>
  <si>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</si>
  <si>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</si>
  <si>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</si>
  <si>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</si>
  <si>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</si>
  <si>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</si>
  <si>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</si>
  <si>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</si>
  <si>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</si>
  <si>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</si>
  <si>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</si>
  <si>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</si>
  <si>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</si>
  <si>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</si>
  <si>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</si>
  <si>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</si>
  <si>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</si>
  <si>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</si>
  <si>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</si>
  <si>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</si>
  <si>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</si>
  <si>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</si>
  <si>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</si>
  <si>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</si>
  <si>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</si>
  <si>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</si>
  <si>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</si>
  <si>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</si>
  <si>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</si>
  <si>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</si>
  <si>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</si>
  <si>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</si>
  <si>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</si>
  <si>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</si>
  <si>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</si>
  <si>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</si>
  <si>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</si>
  <si>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</si>
  <si>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</si>
  <si>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</si>
  <si>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</si>
  <si>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</si>
  <si>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</si>
  <si>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</si>
  <si>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</si>
  <si>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</si>
  <si>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</si>
  <si>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</si>
  <si>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</si>
  <si>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</si>
  <si>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</si>
  <si>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</si>
  <si>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</si>
  <si>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</si>
  <si>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</si>
  <si>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</si>
  <si>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</si>
  <si>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</si>
  <si>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</si>
  <si>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</si>
  <si>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</si>
  <si>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</si>
  <si>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</si>
  <si>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</si>
  <si>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</si>
  <si>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</si>
  <si>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</si>
  <si>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</si>
  <si>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</si>
  <si>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</si>
  <si>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</si>
  <si>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</si>
  <si>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</si>
  <si>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</si>
  <si>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</si>
  <si>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</si>
  <si>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</si>
  <si>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</si>
  <si>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</si>
  <si>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</si>
  <si>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</si>
  <si>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</si>
  <si>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</si>
  <si>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</si>
  <si>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</si>
  <si>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</si>
  <si>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</si>
  <si>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</si>
  <si>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</si>
  <si>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</si>
  <si>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</si>
  <si>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</si>
  <si>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</si>
  <si>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</si>
  <si>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</si>
  <si>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</si>
  <si>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</si>
  <si>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</si>
  <si>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</si>
  <si>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</si>
  <si>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</si>
  <si>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</si>
  <si>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</si>
  <si>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</si>
  <si>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</si>
  <si>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</si>
  <si>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</si>
  <si>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</si>
  <si>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</si>
  <si>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</si>
  <si>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</si>
  <si>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</si>
  <si>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</si>
  <si>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</si>
  <si>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</si>
  <si>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</si>
  <si>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</si>
  <si>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</si>
  <si>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</si>
  <si>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</si>
  <si>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</si>
  <si>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</si>
  <si>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</si>
  <si>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</si>
  <si>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</si>
  <si>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</si>
  <si>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</si>
  <si>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</si>
  <si>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</si>
  <si>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</si>
  <si>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</si>
  <si>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</si>
  <si>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</si>
  <si>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</si>
  <si>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</si>
  <si>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</si>
  <si>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</si>
  <si>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</si>
  <si>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</si>
  <si>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</si>
  <si>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</si>
  <si>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</si>
  <si>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</si>
  <si>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</si>
  <si>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</si>
  <si>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</si>
  <si>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</si>
  <si>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</si>
  <si>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</si>
  <si>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</si>
  <si>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</si>
  <si>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</si>
  <si>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</si>
  <si>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</si>
  <si>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</si>
  <si>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</si>
  <si>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</si>
  <si>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</si>
  <si>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</si>
  <si>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</si>
  <si>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</si>
  <si>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</si>
  <si>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</si>
  <si>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</si>
  <si>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</si>
  <si>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</si>
  <si>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</si>
  <si>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</si>
  <si>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</si>
  <si>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</si>
  <si>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</si>
  <si>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</si>
  <si>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</si>
  <si>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</si>
  <si>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</si>
  <si>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</si>
  <si>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</si>
  <si>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</si>
  <si>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</si>
  <si>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</si>
  <si>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</si>
  <si>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</si>
  <si>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</si>
  <si>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</si>
  <si>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</si>
  <si>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</si>
  <si>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</si>
  <si>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</si>
  <si>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</si>
  <si>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</si>
  <si>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</si>
  <si>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</si>
  <si>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</si>
  <si>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</si>
  <si>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</si>
  <si>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</si>
  <si>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</si>
  <si>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</si>
  <si>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</si>
  <si>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</si>
  <si>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</si>
  <si>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</si>
  <si>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</si>
  <si>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</si>
  <si>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</si>
  <si>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</si>
  <si>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</si>
  <si>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</si>
  <si>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</si>
  <si>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</si>
  <si>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</si>
  <si>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</si>
  <si>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</si>
  <si>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</si>
  <si>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</si>
  <si>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</si>
  <si>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</si>
  <si>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</si>
  <si>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</si>
  <si>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</si>
  <si>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</si>
  <si>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</si>
  <si>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</si>
  <si>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</si>
  <si>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</si>
  <si>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</si>
  <si>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</si>
  <si>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</si>
  <si>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</si>
  <si>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</si>
  <si>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</si>
  <si>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</si>
  <si>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</si>
  <si>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</si>
  <si>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</si>
  <si>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</si>
  <si>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</si>
  <si>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</si>
  <si>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</si>
  <si>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</si>
  <si>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</si>
  <si>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</si>
  <si>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</si>
  <si>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</si>
  <si>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</si>
  <si>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</si>
  <si>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</si>
  <si>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</si>
  <si>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</si>
  <si>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</si>
  <si>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</si>
  <si>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</si>
  <si>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</si>
  <si>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</si>
  <si>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</si>
  <si>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</si>
  <si>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</si>
  <si>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</si>
  <si>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</si>
  <si>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</si>
  <si>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</si>
  <si>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</si>
  <si>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</si>
  <si>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</si>
  <si>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</si>
  <si>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</si>
  <si>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</si>
  <si>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</si>
  <si>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</si>
  <si>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</si>
  <si>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</si>
  <si>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</si>
  <si>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</si>
  <si>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</si>
  <si>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</si>
  <si>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</si>
  <si>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</si>
  <si>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</si>
  <si>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</si>
  <si>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</si>
  <si>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</si>
  <si>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</si>
  <si>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</si>
  <si>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</si>
  <si>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</si>
  <si>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</si>
  <si>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</si>
  <si>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</si>
  <si>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</si>
  <si>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</si>
  <si>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</si>
  <si>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</si>
  <si>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</si>
  <si>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</si>
  <si>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</si>
  <si>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</si>
  <si>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</si>
  <si>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</si>
  <si>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</si>
  <si>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</si>
  <si>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</si>
  <si>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</si>
  <si>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</si>
  <si>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</si>
  <si>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</si>
  <si>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</si>
  <si>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</si>
  <si>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</si>
  <si>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</si>
  <si>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</si>
  <si>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</si>
  <si>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</si>
  <si>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</si>
  <si>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</si>
  <si>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</si>
  <si>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</si>
  <si>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</si>
  <si>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</si>
  <si>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</si>
  <si>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</si>
  <si>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</si>
  <si>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</si>
  <si>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</si>
  <si>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</si>
  <si>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</si>
  <si>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</si>
  <si>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</si>
  <si>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</si>
  <si>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</si>
  <si>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</si>
  <si>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</si>
  <si>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</si>
  <si>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</si>
  <si>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</si>
  <si>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</si>
  <si>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</si>
  <si>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</si>
  <si>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</si>
  <si>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</si>
  <si>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</si>
  <si>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</si>
  <si>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</si>
  <si>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</si>
  <si>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</si>
  <si>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</si>
  <si>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</si>
  <si>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</si>
  <si>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</si>
  <si>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</si>
  <si>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</si>
  <si>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</si>
  <si>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</si>
  <si>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</si>
  <si>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</si>
  <si>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</si>
  <si>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</si>
  <si>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</si>
  <si>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</si>
  <si>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</si>
  <si>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</si>
  <si>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</si>
  <si>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</si>
  <si>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</si>
  <si>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</si>
  <si>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</si>
  <si>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</si>
  <si>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</si>
  <si>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</si>
  <si>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</si>
  <si>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</si>
  <si>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</si>
  <si>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</si>
  <si>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</si>
  <si>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</si>
  <si>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</si>
  <si>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</si>
  <si>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</si>
  <si>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</si>
  <si>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</si>
  <si>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</si>
  <si>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</si>
  <si>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</si>
  <si>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</si>
  <si>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</si>
  <si>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</si>
  <si>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</si>
  <si>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</si>
  <si>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</si>
  <si>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</si>
  <si>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</si>
  <si>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</si>
  <si>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</si>
  <si>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</si>
  <si>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</si>
  <si>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</si>
  <si>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</si>
  <si>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</si>
  <si>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</si>
  <si>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</si>
  <si>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</si>
  <si>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</si>
  <si>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</si>
  <si>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</si>
  <si>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</si>
  <si>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</si>
  <si>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</si>
  <si>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</si>
  <si>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</si>
  <si>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</si>
  <si>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</si>
  <si>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</si>
  <si>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</si>
  <si>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</si>
  <si>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</si>
  <si>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</si>
  <si>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</si>
  <si>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</si>
  <si>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</si>
  <si>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</si>
  <si>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</si>
  <si>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</si>
  <si>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</si>
  <si>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</si>
  <si>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</si>
  <si>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</si>
  <si>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</si>
  <si>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</si>
  <si>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</si>
  <si>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</si>
  <si>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</si>
  <si>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</si>
  <si>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</si>
  <si>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</si>
  <si>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</si>
  <si>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</si>
  <si>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</si>
  <si>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</si>
  <si>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</si>
  <si>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</si>
  <si>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</si>
  <si>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</si>
  <si>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</si>
  <si>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</si>
  <si>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</si>
  <si>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</si>
  <si>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</si>
  <si>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</si>
  <si>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</si>
  <si>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</si>
  <si>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</si>
  <si>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</si>
  <si>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</si>
  <si>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</si>
  <si>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</si>
  <si>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</si>
  <si>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</si>
  <si>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</si>
  <si>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</si>
  <si>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</si>
  <si>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</si>
  <si>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</si>
  <si>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</si>
  <si>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</si>
  <si>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</si>
  <si>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</si>
  <si>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</si>
  <si>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</si>
  <si>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</si>
  <si>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</si>
  <si>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</si>
  <si>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</si>
  <si>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</si>
  <si>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</si>
  <si>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</si>
  <si>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</si>
  <si>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</si>
  <si>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</si>
  <si>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</si>
  <si>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</si>
  <si>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</si>
  <si>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</si>
  <si>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</si>
  <si>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</si>
  <si>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</si>
  <si>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</si>
  <si>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</si>
  <si>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</si>
  <si>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</si>
  <si>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</si>
  <si>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</si>
  <si>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</si>
  <si>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</si>
  <si>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</si>
  <si>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</si>
  <si>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</si>
  <si>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</si>
  <si>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</si>
  <si>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</si>
  <si>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</si>
  <si>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</si>
  <si>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</si>
  <si>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</si>
  <si>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</si>
  <si>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</si>
  <si>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</si>
  <si>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</si>
  <si>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</si>
  <si>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</si>
  <si>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</si>
  <si>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</si>
  <si>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</si>
  <si>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</si>
  <si>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</si>
  <si>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</si>
  <si>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</si>
  <si>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</si>
  <si>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</si>
  <si>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</si>
  <si>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</si>
  <si>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</si>
  <si>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</si>
  <si>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</si>
  <si>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</si>
  <si>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</si>
  <si>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</si>
  <si>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</si>
  <si>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</si>
  <si>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</si>
  <si>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</si>
  <si>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</si>
  <si>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</si>
  <si>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</si>
  <si>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</si>
  <si>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</si>
  <si>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</si>
  <si>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</si>
  <si>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</si>
  <si>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</si>
  <si>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</si>
  <si>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</si>
  <si>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</si>
  <si>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</si>
  <si>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</si>
  <si>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</si>
  <si>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</si>
  <si>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</si>
  <si>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</si>
  <si>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</si>
  <si>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</si>
  <si>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</si>
  <si>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</si>
  <si>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</si>
  <si>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</si>
  <si>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</si>
  <si>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</si>
  <si>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</si>
  <si>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</si>
  <si>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</si>
  <si>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</si>
  <si>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</si>
  <si>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</si>
  <si>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</si>
  <si>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</si>
  <si>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</si>
  <si>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</si>
  <si>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</si>
  <si>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</si>
  <si>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</si>
  <si>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</si>
  <si>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</si>
  <si>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</si>
  <si>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</si>
  <si>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</si>
  <si>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</si>
  <si>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</si>
  <si>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</si>
  <si>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</si>
  <si>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</si>
  <si>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</si>
  <si>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</si>
  <si>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</si>
  <si>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</si>
  <si>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</si>
  <si>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</si>
  <si>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</si>
  <si>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</si>
  <si>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</si>
  <si>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</si>
  <si>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</si>
  <si>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</si>
  <si>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</si>
  <si>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</si>
  <si>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</si>
  <si>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</si>
  <si>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</si>
  <si>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</si>
  <si>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</si>
  <si>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</si>
  <si>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</si>
  <si>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</si>
  <si>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</si>
  <si>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</si>
  <si>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</si>
  <si>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</si>
  <si>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</si>
  <si>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</si>
  <si>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</si>
  <si>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</si>
  <si>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</si>
  <si>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</si>
  <si>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</si>
  <si>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</si>
  <si>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</si>
  <si>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</si>
  <si>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</si>
  <si>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</si>
  <si>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</si>
  <si>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</si>
  <si>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</si>
  <si>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</si>
  <si>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</si>
  <si>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</si>
  <si>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</si>
  <si>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</si>
  <si>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</si>
  <si>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</si>
  <si>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</si>
  <si>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</si>
  <si>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</si>
  <si>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</si>
  <si>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</si>
  <si>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</si>
  <si>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</si>
  <si>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</si>
  <si>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</si>
  <si>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</si>
  <si>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</si>
  <si>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</si>
  <si>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</si>
  <si>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</si>
  <si>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</si>
  <si>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</si>
  <si>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</si>
  <si>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</si>
  <si>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</si>
  <si>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</si>
  <si>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</si>
  <si>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</si>
  <si>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</si>
  <si>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</si>
  <si>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</si>
  <si>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</si>
  <si>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</si>
  <si>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</si>
  <si>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</si>
  <si>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</si>
  <si>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</si>
  <si>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</si>
  <si>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</si>
  <si>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</si>
  <si>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</si>
  <si>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</si>
  <si>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</si>
  <si>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</si>
  <si>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</si>
  <si>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</si>
  <si>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</si>
  <si>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</si>
  <si>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</si>
  <si>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</si>
  <si>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</si>
  <si>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</si>
  <si>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</si>
  <si>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</si>
  <si>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</si>
  <si>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</si>
  <si>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</si>
  <si>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</si>
  <si>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</si>
  <si>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</si>
  <si>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</si>
  <si>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</si>
  <si>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</si>
  <si>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</si>
  <si>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</si>
  <si>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</si>
  <si>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</si>
  <si>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</si>
  <si>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</si>
  <si>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</si>
  <si>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</si>
  <si>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</si>
  <si>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</si>
  <si>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</si>
  <si>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</si>
  <si>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</si>
  <si>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</si>
  <si>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</si>
  <si>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</si>
  <si>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</si>
  <si>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</si>
  <si>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</si>
  <si>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</si>
  <si>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</si>
  <si>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</si>
  <si>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</si>
  <si>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</si>
  <si>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</si>
  <si>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</si>
  <si>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</si>
  <si>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</si>
  <si>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</si>
  <si>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</si>
  <si>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</si>
  <si>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</si>
  <si>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</si>
  <si>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</si>
  <si>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</si>
  <si>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</si>
  <si>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Información recopilada</t>
  </si>
  <si>
    <t>Significado</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</si>
  <si>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</si>
  <si>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</si>
  <si>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</si>
  <si>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</si>
  <si>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</si>
  <si>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</si>
  <si>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</si>
  <si>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</si>
  <si>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</si>
  <si>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Resultado de la evaluación. Es clasificado por Dipres. No hay una clasificación única ya que las consultoras que evalúan son externas que ganan un proceso de Licitación. De Allí parten diferencias metodológicas que impiden una metodología común para evaluar</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</si>
  <si>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</si>
  <si>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</si>
  <si>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</si>
  <si>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</si>
  <si>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</si>
  <si>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</si>
  <si>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</si>
  <si>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</si>
  <si>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</si>
  <si>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</si>
  <si>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</si>
  <si>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</si>
  <si>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</si>
  <si>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</si>
  <si>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</si>
  <si>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</si>
  <si>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</si>
  <si>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</si>
  <si>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</si>
  <si>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</si>
  <si>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</si>
  <si>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</si>
  <si>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</si>
  <si>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</si>
  <si>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</si>
  <si>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</si>
  <si>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</si>
  <si>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</si>
  <si>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</si>
  <si>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</si>
  <si>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</si>
  <si>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</si>
  <si>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</si>
  <si>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</si>
  <si>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</si>
  <si>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</si>
  <si>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</si>
  <si>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</si>
  <si>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</si>
  <si>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</si>
  <si>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</si>
  <si>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</si>
  <si>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</si>
  <si>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</si>
  <si>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</si>
  <si>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</si>
  <si>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Sin identificar</t>
  </si>
  <si>
    <t>BB Ley Presupuesto CLP</t>
  </si>
  <si>
    <t>BB Ley Presupuesto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</si>
</sst>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cellStyleXfs>
  <cellXfs count="48">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4" fontId="0" fillId="35" borderId="0" xfId="42" applyNumberFormat="1" applyFont="1" applyFill="1" applyAlignment="1"/>
    <xf numFmtId="41" fontId="0" fillId="35" borderId="0" xfId="42" applyFont="1" applyFill="1" applyAlignment="1"/>
    <xf numFmtId="165" fontId="0" fillId="35" borderId="0" xfId="43" applyNumberFormat="1" applyFont="1" applyFill="1" applyAlignment="1"/>
    <xf numFmtId="0" fontId="19" fillId="35" borderId="0" xfId="44"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37" borderId="0" xfId="0" applyFill="1"/>
    <xf numFmtId="14" fontId="0" fillId="0" borderId="0" xfId="0" applyNumberFormat="1"/>
    <xf numFmtId="3" fontId="0" fillId="0" borderId="0" xfId="0" applyNumberFormat="1"/>
    <xf numFmtId="41" fontId="0" fillId="38" borderId="0" xfId="42" applyFont="1" applyFill="1"/>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center" wrapText="1"/>
    </xf>
  </cellXfs>
  <cellStyles count="46">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printerSettings" Target="../printerSettings/printerSettings1.bin"/><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pres.gob.cl/597/articles-170561_doc_xls.xls"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 Type="http://schemas.openxmlformats.org/officeDocument/2006/relationships/hyperlink" Target="https://programassociales.ministeriodesarrollosocial.gob.cl/" TargetMode="External"/><Relationship Id="rId7" Type="http://schemas.openxmlformats.org/officeDocument/2006/relationships/hyperlink" Target="https://programassociales.ministeriodesarrollosocial.gob.cl/pdf/2018/PRG2018_3_59466.pdf"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5" Type="http://schemas.openxmlformats.org/officeDocument/2006/relationships/hyperlink" Target="https://www.senado.cl/" TargetMode="External"/><Relationship Id="rId15" Type="http://schemas.openxmlformats.org/officeDocument/2006/relationships/hyperlink" Target="https://www.dipres.gob.cl/597/articles-128407_doc_xls.xls" TargetMode="External"/><Relationship Id="rId10" Type="http://schemas.openxmlformats.org/officeDocument/2006/relationships/hyperlink" Target="https://programassociales.ministeriodesarrollosocial.gob.cl/" TargetMode="External"/><Relationship Id="rId19" Type="http://schemas.openxmlformats.org/officeDocument/2006/relationships/hyperlink" Target="https://www.dipres.gob.cl/598/w3-propertyvalue-2129.html"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dipres.gob.cl/597/w3-propertyvalue-23076.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622"/>
  <sheetViews>
    <sheetView tabSelected="1" zoomScaleNormal="100" workbookViewId="0">
      <pane xSplit="2" ySplit="1" topLeftCell="AR218" activePane="bottomRight" state="frozen"/>
      <selection pane="topRight" activeCell="C1" sqref="C1"/>
      <selection pane="bottomLeft" activeCell="A2" sqref="A2"/>
      <selection pane="bottomRight" activeCell="AR223" sqref="AR223"/>
    </sheetView>
  </sheetViews>
  <sheetFormatPr baseColWidth="10"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 min="44" max="44" width="24.42578125" style="10" bestFit="1" customWidth="1"/>
    <col min="45" max="45" width="24.85546875" bestFit="1" customWidth="1"/>
  </cols>
  <sheetData>
    <row r="1" spans="1:45" x14ac:dyDescent="0.25">
      <c r="A1" s="7" t="s">
        <v>0</v>
      </c>
      <c r="B1" s="7" t="s">
        <v>1</v>
      </c>
      <c r="C1" s="7" t="s">
        <v>2</v>
      </c>
      <c r="D1" s="7" t="s">
        <v>3</v>
      </c>
      <c r="E1" s="7" t="s">
        <v>4</v>
      </c>
      <c r="F1" s="7" t="s">
        <v>5</v>
      </c>
      <c r="G1" s="7" t="s">
        <v>719</v>
      </c>
      <c r="H1" s="8" t="s">
        <v>721</v>
      </c>
      <c r="I1" s="8" t="s">
        <v>722</v>
      </c>
      <c r="J1" s="9" t="s">
        <v>720</v>
      </c>
      <c r="K1" s="7" t="s">
        <v>723</v>
      </c>
      <c r="L1" s="7" t="s">
        <v>725</v>
      </c>
      <c r="M1" s="7" t="s">
        <v>726</v>
      </c>
      <c r="N1" s="7" t="s">
        <v>727</v>
      </c>
      <c r="O1" s="7" t="s">
        <v>728</v>
      </c>
      <c r="P1" s="7" t="s">
        <v>729</v>
      </c>
      <c r="Q1" s="7" t="s">
        <v>735</v>
      </c>
      <c r="R1" s="7" t="s">
        <v>737</v>
      </c>
      <c r="S1" s="7" t="s">
        <v>738</v>
      </c>
      <c r="T1" s="7" t="s">
        <v>739</v>
      </c>
      <c r="U1" s="7" t="s">
        <v>1141</v>
      </c>
      <c r="V1" s="7" t="s">
        <v>1149</v>
      </c>
      <c r="W1" s="9" t="s">
        <v>1648</v>
      </c>
      <c r="X1" s="7" t="s">
        <v>1701</v>
      </c>
      <c r="Y1" s="7" t="s">
        <v>1702</v>
      </c>
      <c r="Z1" s="7" t="s">
        <v>1703</v>
      </c>
      <c r="AA1" s="7" t="s">
        <v>1704</v>
      </c>
      <c r="AB1" s="7" t="s">
        <v>1705</v>
      </c>
      <c r="AC1" s="7" t="s">
        <v>1706</v>
      </c>
      <c r="AD1" s="7" t="s">
        <v>1707</v>
      </c>
      <c r="AE1" s="7" t="s">
        <v>1728</v>
      </c>
      <c r="AF1" s="7" t="s">
        <v>1745</v>
      </c>
      <c r="AG1" s="7" t="s">
        <v>1746</v>
      </c>
      <c r="AH1" s="7" t="s">
        <v>1747</v>
      </c>
      <c r="AI1" s="7" t="s">
        <v>1748</v>
      </c>
      <c r="AJ1" s="7" t="s">
        <v>1749</v>
      </c>
      <c r="AK1" s="7" t="s">
        <v>1769</v>
      </c>
      <c r="AL1" s="7" t="s">
        <v>1918</v>
      </c>
      <c r="AM1" s="7" t="s">
        <v>1919</v>
      </c>
      <c r="AN1" s="7" t="s">
        <v>1920</v>
      </c>
      <c r="AO1" s="7" t="s">
        <v>2034</v>
      </c>
      <c r="AP1" s="7" t="s">
        <v>2035</v>
      </c>
      <c r="AQ1" s="7" t="s">
        <v>2036</v>
      </c>
      <c r="AR1" s="7" t="s">
        <v>2373</v>
      </c>
      <c r="AS1" s="7" t="s">
        <v>2374</v>
      </c>
    </row>
    <row r="2" spans="1:45" s="33" customFormat="1" x14ac:dyDescent="0.25">
      <c r="A2" s="30">
        <v>2020</v>
      </c>
      <c r="B2" s="30" t="s">
        <v>1297</v>
      </c>
      <c r="C2" s="30" t="s">
        <v>7</v>
      </c>
      <c r="D2" s="30" t="s">
        <v>12</v>
      </c>
      <c r="E2" s="30" t="s">
        <v>13</v>
      </c>
      <c r="F2" s="30" t="s">
        <v>27</v>
      </c>
      <c r="G2" s="30" t="s">
        <v>724</v>
      </c>
      <c r="H2" s="30">
        <v>2014</v>
      </c>
      <c r="I2" s="30"/>
      <c r="J2" s="31">
        <f xml:space="preserve">  99880 * 1000000</f>
        <v>99880000000</v>
      </c>
      <c r="K2" s="30" t="s">
        <v>1649</v>
      </c>
      <c r="L2" s="30" t="s">
        <v>1330</v>
      </c>
      <c r="M2" s="30" t="s">
        <v>1331</v>
      </c>
      <c r="N2" s="30" t="s">
        <v>1335</v>
      </c>
      <c r="O2" s="30" t="s">
        <v>1334</v>
      </c>
      <c r="P2" s="30" t="s">
        <v>1336</v>
      </c>
      <c r="Q2" s="30" t="s">
        <v>1333</v>
      </c>
      <c r="R2" s="32" t="s">
        <v>1323</v>
      </c>
      <c r="S2" s="32" t="s">
        <v>1324</v>
      </c>
      <c r="T2" s="30"/>
      <c r="U2" s="30"/>
      <c r="V2" s="30" t="s">
        <v>1332</v>
      </c>
      <c r="W2" s="31">
        <f>IF( J2="s.i", "s.i", IF(ISBLANK(J2),"Actualizando información",IFERROR(J2 / VLOOKUP(A2,Deflactor!$G$3:$H$64,2,0),"Revisar error" )))</f>
        <v>76644787402.237656</v>
      </c>
      <c r="X2" s="33" t="s">
        <v>1960</v>
      </c>
      <c r="Y2" s="33" t="s">
        <v>1961</v>
      </c>
      <c r="Z2" s="33" t="s">
        <v>1962</v>
      </c>
      <c r="AA2" s="33" t="s">
        <v>1963</v>
      </c>
      <c r="AB2" s="33" t="s">
        <v>1964</v>
      </c>
      <c r="AC2" s="33" t="s">
        <v>1965</v>
      </c>
      <c r="AD2" s="33" t="s">
        <v>1966</v>
      </c>
      <c r="AE2" s="33" t="s">
        <v>1967</v>
      </c>
      <c r="AF2" s="33" t="s">
        <v>1968</v>
      </c>
      <c r="AG2" s="33" t="s">
        <v>1969</v>
      </c>
      <c r="AH2" s="33" t="s">
        <v>1970</v>
      </c>
      <c r="AI2" s="33" t="s">
        <v>1971</v>
      </c>
      <c r="AJ2" s="33" t="s">
        <v>1972</v>
      </c>
      <c r="AK2" s="33" t="s">
        <v>1973</v>
      </c>
      <c r="AL2" s="33" t="s">
        <v>1974</v>
      </c>
      <c r="AR2" s="10"/>
    </row>
    <row r="3" spans="1:45" s="33" customFormat="1" x14ac:dyDescent="0.25">
      <c r="A3" s="30">
        <v>2020</v>
      </c>
      <c r="B3" s="30" t="s">
        <v>1298</v>
      </c>
      <c r="C3" s="30" t="s">
        <v>7</v>
      </c>
      <c r="D3" s="30" t="s">
        <v>12</v>
      </c>
      <c r="E3" s="30" t="s">
        <v>13</v>
      </c>
      <c r="F3" s="30" t="s">
        <v>27</v>
      </c>
      <c r="G3" s="30" t="s">
        <v>724</v>
      </c>
      <c r="H3" s="30">
        <v>1993</v>
      </c>
      <c r="I3" s="30"/>
      <c r="J3" s="31">
        <f xml:space="preserve">  46695 * 1000000</f>
        <v>46695000000</v>
      </c>
      <c r="K3" s="30" t="s">
        <v>2313</v>
      </c>
      <c r="L3" s="30" t="s">
        <v>1681</v>
      </c>
      <c r="M3" s="30" t="s">
        <v>1682</v>
      </c>
      <c r="N3" s="30" t="s">
        <v>1683</v>
      </c>
      <c r="O3" s="30" t="s">
        <v>1684</v>
      </c>
      <c r="P3" s="30" t="s">
        <v>1685</v>
      </c>
      <c r="Q3" s="30"/>
      <c r="R3" s="32" t="s">
        <v>1679</v>
      </c>
      <c r="S3" s="32" t="s">
        <v>1680</v>
      </c>
      <c r="T3" s="30"/>
      <c r="U3" s="30" t="s">
        <v>1325</v>
      </c>
      <c r="V3" s="30"/>
      <c r="W3" s="31">
        <f>IF( J3="s.i", "s.i", IF(ISBLANK(J3),"Actualizando información",IFERROR(J3 / VLOOKUP(A3,Deflactor!$G$3:$H$64,2,0),"Revisar error" )))</f>
        <v>35832282216.134239</v>
      </c>
      <c r="X3" s="33" t="s">
        <v>1975</v>
      </c>
      <c r="Y3" s="33" t="s">
        <v>1976</v>
      </c>
      <c r="Z3" s="33" t="s">
        <v>1977</v>
      </c>
      <c r="AA3" s="33" t="s">
        <v>1978</v>
      </c>
      <c r="AB3" s="33" t="s">
        <v>1979</v>
      </c>
      <c r="AC3" s="33" t="s">
        <v>1980</v>
      </c>
      <c r="AD3" s="33" t="s">
        <v>1981</v>
      </c>
      <c r="AE3" s="33" t="s">
        <v>1982</v>
      </c>
      <c r="AF3" s="33" t="s">
        <v>1983</v>
      </c>
      <c r="AG3" s="33" t="s">
        <v>1984</v>
      </c>
      <c r="AH3" s="33" t="s">
        <v>1985</v>
      </c>
      <c r="AR3" s="10"/>
    </row>
    <row r="4" spans="1:45" s="33" customFormat="1" x14ac:dyDescent="0.25">
      <c r="A4" s="30">
        <v>2020</v>
      </c>
      <c r="B4" s="30" t="s">
        <v>1299</v>
      </c>
      <c r="C4" s="30" t="s">
        <v>7</v>
      </c>
      <c r="D4" s="30" t="s">
        <v>20</v>
      </c>
      <c r="E4" s="30" t="s">
        <v>23</v>
      </c>
      <c r="F4" s="30" t="s">
        <v>27</v>
      </c>
      <c r="G4" s="30" t="s">
        <v>724</v>
      </c>
      <c r="H4" s="30">
        <v>2016</v>
      </c>
      <c r="I4" s="30"/>
      <c r="J4" s="31">
        <f xml:space="preserve">  6572.5 * 1000000</f>
        <v>6572500000</v>
      </c>
      <c r="K4" s="30"/>
      <c r="L4" s="30" t="s">
        <v>1686</v>
      </c>
      <c r="M4" s="30" t="s">
        <v>1687</v>
      </c>
      <c r="N4" s="30" t="s">
        <v>1688</v>
      </c>
      <c r="O4" s="30" t="s">
        <v>1690</v>
      </c>
      <c r="P4" s="30" t="s">
        <v>1691</v>
      </c>
      <c r="Q4" s="30" t="s">
        <v>1689</v>
      </c>
      <c r="R4" s="32" t="s">
        <v>1692</v>
      </c>
      <c r="S4" s="29" t="s">
        <v>1693</v>
      </c>
      <c r="T4" s="30"/>
      <c r="U4" s="30"/>
      <c r="V4" s="30"/>
      <c r="W4" s="31">
        <f>IF( J4="s.i", "s.i", IF(ISBLANK(J4),"Actualizando información",IFERROR(J4 / VLOOKUP(A4,Deflactor!$G$3:$H$64,2,0),"Revisar error" )))</f>
        <v>5043530889.0789652</v>
      </c>
      <c r="X4" s="33" t="s">
        <v>1986</v>
      </c>
      <c r="Y4" s="33" t="s">
        <v>1987</v>
      </c>
      <c r="Z4" s="33" t="s">
        <v>1988</v>
      </c>
      <c r="AA4" s="33" t="s">
        <v>1989</v>
      </c>
      <c r="AB4" s="33" t="s">
        <v>1990</v>
      </c>
      <c r="AC4" s="33" t="s">
        <v>1991</v>
      </c>
      <c r="AD4" s="33" t="s">
        <v>1992</v>
      </c>
      <c r="AE4" s="33" t="s">
        <v>1993</v>
      </c>
      <c r="AF4" s="33" t="s">
        <v>1994</v>
      </c>
      <c r="AG4" s="33" t="s">
        <v>1995</v>
      </c>
      <c r="AH4" s="33" t="s">
        <v>1996</v>
      </c>
      <c r="AI4" s="33" t="s">
        <v>1997</v>
      </c>
      <c r="AJ4" s="33" t="s">
        <v>1998</v>
      </c>
      <c r="AK4" s="33" t="s">
        <v>1999</v>
      </c>
      <c r="AL4" s="33" t="s">
        <v>2000</v>
      </c>
      <c r="AR4" s="10"/>
    </row>
    <row r="5" spans="1:45" s="33" customFormat="1" x14ac:dyDescent="0.25">
      <c r="A5" s="30">
        <v>2020</v>
      </c>
      <c r="B5" s="30" t="s">
        <v>716</v>
      </c>
      <c r="C5" s="30" t="s">
        <v>67</v>
      </c>
      <c r="D5" s="30" t="s">
        <v>54</v>
      </c>
      <c r="E5" s="30" t="s">
        <v>237</v>
      </c>
      <c r="F5" s="30" t="s">
        <v>27</v>
      </c>
      <c r="G5" s="30" t="s">
        <v>724</v>
      </c>
      <c r="H5" s="30">
        <v>1954</v>
      </c>
      <c r="I5" s="30"/>
      <c r="J5" s="31">
        <f>74737 * 1000000</f>
        <v>74737000000</v>
      </c>
      <c r="K5" s="30" t="s">
        <v>1326</v>
      </c>
      <c r="L5" s="30" t="s">
        <v>1696</v>
      </c>
      <c r="M5" s="30" t="s">
        <v>1697</v>
      </c>
      <c r="N5" s="30" t="s">
        <v>1698</v>
      </c>
      <c r="O5" s="30" t="s">
        <v>1699</v>
      </c>
      <c r="P5" s="30" t="s">
        <v>1700</v>
      </c>
      <c r="Q5" s="30"/>
      <c r="R5" s="32" t="s">
        <v>1694</v>
      </c>
      <c r="S5" s="32" t="s">
        <v>1695</v>
      </c>
      <c r="T5" s="30"/>
      <c r="U5" s="30" t="s">
        <v>1326</v>
      </c>
      <c r="V5" s="30"/>
      <c r="W5" s="31">
        <f>IF( J5="s.i", "s.i", IF(ISBLANK(J5),"Actualizando información",IFERROR(J5 / VLOOKUP(A5,Deflactor!$G$3:$H$64,2,0),"Revisar error" )))</f>
        <v>57350835763.72683</v>
      </c>
      <c r="X5" s="33" t="s">
        <v>1851</v>
      </c>
      <c r="Y5" s="33" t="s">
        <v>1852</v>
      </c>
      <c r="Z5" s="33" t="s">
        <v>1853</v>
      </c>
      <c r="AA5" s="33" t="s">
        <v>1854</v>
      </c>
      <c r="AB5" s="33" t="s">
        <v>1855</v>
      </c>
      <c r="AC5" s="33" t="s">
        <v>1856</v>
      </c>
      <c r="AD5" s="33" t="s">
        <v>1857</v>
      </c>
      <c r="AE5" s="33" t="s">
        <v>1858</v>
      </c>
      <c r="AF5" s="33" t="s">
        <v>1859</v>
      </c>
      <c r="AG5" s="33" t="s">
        <v>1860</v>
      </c>
      <c r="AR5" s="10"/>
    </row>
    <row r="6" spans="1:45" x14ac:dyDescent="0.25">
      <c r="A6" s="3">
        <v>2020</v>
      </c>
      <c r="B6" s="3" t="s">
        <v>1300</v>
      </c>
      <c r="C6" s="3" t="s">
        <v>7</v>
      </c>
      <c r="D6" s="3" t="s">
        <v>36</v>
      </c>
      <c r="E6" s="3" t="s">
        <v>1301</v>
      </c>
      <c r="F6" s="3" t="s">
        <v>14</v>
      </c>
      <c r="G6" s="3" t="s">
        <v>724</v>
      </c>
      <c r="H6" s="3">
        <v>2011</v>
      </c>
      <c r="I6" s="3"/>
      <c r="J6" s="10">
        <f xml:space="preserve"> 20468909 * 1000</f>
        <v>20468909000</v>
      </c>
      <c r="K6" s="3" t="s">
        <v>1788</v>
      </c>
      <c r="L6" s="3" t="s">
        <v>1710</v>
      </c>
      <c r="M6" s="3" t="s">
        <v>1711</v>
      </c>
      <c r="N6" s="3" t="s">
        <v>1712</v>
      </c>
      <c r="O6" s="3" t="s">
        <v>1713</v>
      </c>
      <c r="P6" s="3" t="s">
        <v>1714</v>
      </c>
      <c r="Q6" s="3"/>
      <c r="R6" s="11" t="s">
        <v>1708</v>
      </c>
      <c r="S6" s="11" t="s">
        <v>1709</v>
      </c>
      <c r="T6" s="3"/>
      <c r="U6" s="3"/>
      <c r="V6" s="3"/>
      <c r="W6" s="10">
        <f>IF( J6="s.i", "s.i", IF(ISBLANK(J6),"Actualizando información",IFERROR(J6 / VLOOKUP(A6,Deflactor!$G$3:$H$64,2,0),"Revisar error" )))</f>
        <v>15707200427.120035</v>
      </c>
      <c r="X6" t="s">
        <v>1715</v>
      </c>
      <c r="Y6" t="s">
        <v>1716</v>
      </c>
      <c r="Z6" t="s">
        <v>1717</v>
      </c>
      <c r="AA6" t="s">
        <v>1718</v>
      </c>
      <c r="AB6" t="s">
        <v>1719</v>
      </c>
      <c r="AC6" t="s">
        <v>1720</v>
      </c>
    </row>
    <row r="7" spans="1:45" x14ac:dyDescent="0.25">
      <c r="A7" s="3">
        <v>2020</v>
      </c>
      <c r="B7" s="3" t="s">
        <v>1302</v>
      </c>
      <c r="C7" s="3" t="s">
        <v>7</v>
      </c>
      <c r="D7" s="3" t="s">
        <v>36</v>
      </c>
      <c r="E7" s="3" t="s">
        <v>1303</v>
      </c>
      <c r="F7" s="3" t="s">
        <v>27</v>
      </c>
      <c r="G7" s="3" t="s">
        <v>724</v>
      </c>
      <c r="H7" s="3">
        <v>2019</v>
      </c>
      <c r="I7" s="3"/>
      <c r="J7" s="10">
        <f xml:space="preserve"> 84634.7 * 1000000</f>
        <v>84634700000</v>
      </c>
      <c r="K7" s="3" t="s">
        <v>764</v>
      </c>
      <c r="L7" s="3" t="s">
        <v>1723</v>
      </c>
      <c r="M7" s="3" t="s">
        <v>1724</v>
      </c>
      <c r="N7" s="3" t="s">
        <v>1725</v>
      </c>
      <c r="O7" s="3" t="s">
        <v>1726</v>
      </c>
      <c r="P7" s="3" t="s">
        <v>1727</v>
      </c>
      <c r="Q7" s="3"/>
      <c r="R7" s="11" t="s">
        <v>1721</v>
      </c>
      <c r="S7" s="11" t="s">
        <v>1722</v>
      </c>
      <c r="T7" s="3"/>
      <c r="U7" s="3"/>
      <c r="V7" s="3"/>
      <c r="W7" s="10">
        <f>IF( J7="s.i", "s.i", IF(ISBLANK(J7),"Actualizando información",IFERROR(J7 / VLOOKUP(A7,Deflactor!$G$3:$H$64,2,0),"Revisar error" )))</f>
        <v>64946021108.852257</v>
      </c>
      <c r="X7" t="s">
        <v>1729</v>
      </c>
      <c r="Y7" t="s">
        <v>1730</v>
      </c>
      <c r="Z7" t="s">
        <v>1731</v>
      </c>
      <c r="AA7" t="s">
        <v>1732</v>
      </c>
      <c r="AB7" t="s">
        <v>1733</v>
      </c>
      <c r="AC7" t="s">
        <v>1734</v>
      </c>
      <c r="AD7" t="s">
        <v>1735</v>
      </c>
      <c r="AE7" t="s">
        <v>1736</v>
      </c>
    </row>
    <row r="8" spans="1:45" s="33" customFormat="1" x14ac:dyDescent="0.25">
      <c r="A8" s="30">
        <v>2020</v>
      </c>
      <c r="B8" s="30" t="s">
        <v>1304</v>
      </c>
      <c r="C8" s="30" t="s">
        <v>7</v>
      </c>
      <c r="D8" s="30" t="s">
        <v>36</v>
      </c>
      <c r="E8" s="30" t="s">
        <v>81</v>
      </c>
      <c r="F8" s="30" t="s">
        <v>10</v>
      </c>
      <c r="G8" s="30" t="s">
        <v>724</v>
      </c>
      <c r="H8" s="30">
        <v>1996</v>
      </c>
      <c r="I8" s="30"/>
      <c r="J8" s="31">
        <f xml:space="preserve"> 11541 * 1000000</f>
        <v>11541000000</v>
      </c>
      <c r="K8" s="3" t="s">
        <v>2299</v>
      </c>
      <c r="L8" s="30" t="s">
        <v>1739</v>
      </c>
      <c r="M8" s="30" t="s">
        <v>1740</v>
      </c>
      <c r="N8" s="30" t="s">
        <v>1741</v>
      </c>
      <c r="O8" s="30" t="s">
        <v>1742</v>
      </c>
      <c r="P8" s="30" t="s">
        <v>1743</v>
      </c>
      <c r="Q8" s="30"/>
      <c r="R8" s="32" t="s">
        <v>1737</v>
      </c>
      <c r="S8" s="32" t="s">
        <v>1738</v>
      </c>
      <c r="T8" s="30"/>
      <c r="U8" s="30"/>
      <c r="V8" s="30"/>
      <c r="W8" s="31">
        <f>IF( J8="s.i", "s.i", IF(ISBLANK(J8),"Actualizando información",IFERROR(J8 / VLOOKUP(A8,Deflactor!$G$3:$H$64,2,0),"Revisar error" )))</f>
        <v>8856202356.9205532</v>
      </c>
      <c r="X8" s="33" t="s">
        <v>1744</v>
      </c>
      <c r="Y8" s="33" t="s">
        <v>1750</v>
      </c>
      <c r="Z8" s="33" t="s">
        <v>1751</v>
      </c>
      <c r="AA8" s="33" t="s">
        <v>1752</v>
      </c>
      <c r="AB8" s="33" t="s">
        <v>1753</v>
      </c>
      <c r="AC8" s="33" t="s">
        <v>1754</v>
      </c>
      <c r="AD8" s="33" t="s">
        <v>1755</v>
      </c>
      <c r="AE8" s="33" t="s">
        <v>1756</v>
      </c>
      <c r="AF8" s="33" t="s">
        <v>1757</v>
      </c>
      <c r="AG8" s="33" t="s">
        <v>1758</v>
      </c>
      <c r="AR8" s="10"/>
    </row>
    <row r="9" spans="1:45" s="33" customFormat="1" x14ac:dyDescent="0.25">
      <c r="A9" s="30">
        <v>2020</v>
      </c>
      <c r="B9" s="30" t="s">
        <v>1305</v>
      </c>
      <c r="C9" s="30" t="s">
        <v>7</v>
      </c>
      <c r="D9" s="30" t="s">
        <v>54</v>
      </c>
      <c r="E9" s="30" t="s">
        <v>55</v>
      </c>
      <c r="F9" s="30" t="s">
        <v>10</v>
      </c>
      <c r="G9" s="30" t="s">
        <v>724</v>
      </c>
      <c r="H9" s="30">
        <v>2015</v>
      </c>
      <c r="I9" s="30"/>
      <c r="J9" s="31">
        <f xml:space="preserve"> 14064 * 1000000</f>
        <v>14064000000</v>
      </c>
      <c r="K9" s="30" t="s">
        <v>1763</v>
      </c>
      <c r="L9" s="30" t="s">
        <v>1761</v>
      </c>
      <c r="M9" s="30" t="s">
        <v>1765</v>
      </c>
      <c r="N9" s="30" t="s">
        <v>1764</v>
      </c>
      <c r="O9" s="30" t="s">
        <v>1768</v>
      </c>
      <c r="P9" s="30" t="s">
        <v>1767</v>
      </c>
      <c r="Q9" s="30" t="s">
        <v>1766</v>
      </c>
      <c r="R9" s="32" t="s">
        <v>1759</v>
      </c>
      <c r="S9" s="32" t="s">
        <v>1760</v>
      </c>
      <c r="T9" s="30"/>
      <c r="U9" s="30"/>
      <c r="V9" s="30"/>
      <c r="W9" s="31">
        <f>IF( J9="s.i", "s.i", IF(ISBLANK(J9),"Actualizando información",IFERROR(J9 / VLOOKUP(A9,Deflactor!$G$3:$H$64,2,0),"Revisar error" )))</f>
        <v>10792273628.60503</v>
      </c>
      <c r="X9" s="33" t="s">
        <v>1770</v>
      </c>
      <c r="Y9" s="33" t="s">
        <v>1771</v>
      </c>
      <c r="Z9" s="33" t="s">
        <v>1772</v>
      </c>
      <c r="AA9" s="33" t="s">
        <v>1773</v>
      </c>
      <c r="AB9" s="33" t="s">
        <v>1774</v>
      </c>
      <c r="AC9" s="33" t="s">
        <v>1775</v>
      </c>
      <c r="AD9" s="33" t="s">
        <v>1776</v>
      </c>
      <c r="AE9" s="33" t="s">
        <v>1777</v>
      </c>
      <c r="AF9" s="33" t="s">
        <v>1778</v>
      </c>
      <c r="AG9" s="33" t="s">
        <v>1779</v>
      </c>
      <c r="AH9" s="33" t="s">
        <v>1780</v>
      </c>
      <c r="AI9" s="33" t="s">
        <v>1781</v>
      </c>
      <c r="AJ9" s="33" t="s">
        <v>1782</v>
      </c>
      <c r="AK9" s="33" t="s">
        <v>1783</v>
      </c>
      <c r="AR9" s="10"/>
    </row>
    <row r="10" spans="1:45" s="33" customFormat="1" x14ac:dyDescent="0.25">
      <c r="A10" s="30">
        <v>2020</v>
      </c>
      <c r="B10" s="30" t="s">
        <v>1306</v>
      </c>
      <c r="C10" s="30" t="s">
        <v>7</v>
      </c>
      <c r="D10" s="30" t="s">
        <v>36</v>
      </c>
      <c r="E10" s="30" t="s">
        <v>1307</v>
      </c>
      <c r="F10" s="30" t="s">
        <v>10</v>
      </c>
      <c r="G10" s="30" t="s">
        <v>724</v>
      </c>
      <c r="H10" s="30">
        <v>1990</v>
      </c>
      <c r="I10" s="30"/>
      <c r="J10" s="31">
        <f xml:space="preserve"> 334703 * 1000000</f>
        <v>334703000000</v>
      </c>
      <c r="K10" s="30" t="s">
        <v>1788</v>
      </c>
      <c r="L10" s="30" t="s">
        <v>1786</v>
      </c>
      <c r="M10" s="30" t="s">
        <v>1787</v>
      </c>
      <c r="N10" s="30" t="s">
        <v>1789</v>
      </c>
      <c r="O10" s="30" t="s">
        <v>1792</v>
      </c>
      <c r="P10" s="30" t="s">
        <v>1793</v>
      </c>
      <c r="Q10" s="30"/>
      <c r="R10" s="32" t="s">
        <v>1784</v>
      </c>
      <c r="S10" s="32" t="s">
        <v>1785</v>
      </c>
      <c r="T10" s="30"/>
      <c r="U10" s="30"/>
      <c r="V10" s="30"/>
      <c r="W10" s="31">
        <f>IF( J10="s.i", "s.i", IF(ISBLANK(J10),"Actualizando información",IFERROR(J10 / VLOOKUP(A10,Deflactor!$G$3:$H$64,2,0),"Revisar error" )))</f>
        <v>256840611512.72678</v>
      </c>
      <c r="X10" s="33" t="s">
        <v>1794</v>
      </c>
      <c r="Y10" s="33" t="s">
        <v>1795</v>
      </c>
      <c r="Z10" s="33" t="s">
        <v>1796</v>
      </c>
      <c r="AA10" s="33" t="s">
        <v>1797</v>
      </c>
      <c r="AB10" s="33" t="s">
        <v>1798</v>
      </c>
      <c r="AC10" s="33" t="s">
        <v>1799</v>
      </c>
      <c r="AD10" s="33" t="s">
        <v>1800</v>
      </c>
      <c r="AE10" s="33" t="s">
        <v>1801</v>
      </c>
      <c r="AF10" s="33" t="s">
        <v>1802</v>
      </c>
      <c r="AG10" s="33" t="s">
        <v>1803</v>
      </c>
      <c r="AH10" s="33" t="s">
        <v>1807</v>
      </c>
      <c r="AI10" s="33" t="s">
        <v>1804</v>
      </c>
      <c r="AJ10" s="33" t="s">
        <v>1805</v>
      </c>
      <c r="AK10" s="33" t="s">
        <v>1806</v>
      </c>
      <c r="AR10" s="10"/>
    </row>
    <row r="11" spans="1:45" s="33" customFormat="1" x14ac:dyDescent="0.25">
      <c r="A11" s="30">
        <v>2020</v>
      </c>
      <c r="B11" s="30" t="s">
        <v>391</v>
      </c>
      <c r="C11" s="30" t="s">
        <v>7</v>
      </c>
      <c r="D11" s="30" t="s">
        <v>17</v>
      </c>
      <c r="E11" s="30" t="s">
        <v>18</v>
      </c>
      <c r="F11" s="30" t="s">
        <v>10</v>
      </c>
      <c r="G11" s="30" t="s">
        <v>724</v>
      </c>
      <c r="H11" s="30">
        <v>1992</v>
      </c>
      <c r="I11" s="30"/>
      <c r="J11" s="31">
        <f xml:space="preserve"> 16035 * 1000000</f>
        <v>16035000000</v>
      </c>
      <c r="K11" s="30" t="s">
        <v>2281</v>
      </c>
      <c r="L11" s="30" t="s">
        <v>1810</v>
      </c>
      <c r="M11" s="30" t="s">
        <v>1811</v>
      </c>
      <c r="N11" s="30" t="s">
        <v>1812</v>
      </c>
      <c r="O11" s="30" t="s">
        <v>1813</v>
      </c>
      <c r="P11" s="30" t="s">
        <v>1814</v>
      </c>
      <c r="Q11" s="30"/>
      <c r="R11" s="32" t="s">
        <v>1808</v>
      </c>
      <c r="S11" s="32" t="s">
        <v>1809</v>
      </c>
      <c r="T11" s="30"/>
      <c r="U11" s="30"/>
      <c r="V11" s="30"/>
      <c r="W11" s="31">
        <f>IF( J11="s.i", "s.i", IF(ISBLANK(J11),"Actualizando información",IFERROR(J11 / VLOOKUP(A11,Deflactor!$G$3:$H$64,2,0),"Revisar error" )))</f>
        <v>12304757368.791359</v>
      </c>
      <c r="X11" s="33" t="s">
        <v>1815</v>
      </c>
      <c r="Y11" s="33" t="s">
        <v>1816</v>
      </c>
      <c r="Z11" s="33" t="s">
        <v>1817</v>
      </c>
      <c r="AA11" s="33" t="s">
        <v>1818</v>
      </c>
      <c r="AB11" s="33" t="s">
        <v>1819</v>
      </c>
      <c r="AC11" s="33" t="s">
        <v>1820</v>
      </c>
      <c r="AD11" s="33" t="s">
        <v>1821</v>
      </c>
      <c r="AE11" s="33" t="s">
        <v>1822</v>
      </c>
      <c r="AF11" s="33" t="s">
        <v>1823</v>
      </c>
      <c r="AG11" s="33" t="s">
        <v>1824</v>
      </c>
      <c r="AH11" s="33" t="s">
        <v>1825</v>
      </c>
      <c r="AR11" s="10"/>
    </row>
    <row r="12" spans="1:45" s="33" customFormat="1" x14ac:dyDescent="0.25">
      <c r="A12" s="30">
        <v>2020</v>
      </c>
      <c r="B12" s="30" t="s">
        <v>272</v>
      </c>
      <c r="C12" s="30" t="s">
        <v>7</v>
      </c>
      <c r="D12" s="30" t="s">
        <v>40</v>
      </c>
      <c r="E12" s="30" t="s">
        <v>1308</v>
      </c>
      <c r="F12" s="30" t="s">
        <v>10</v>
      </c>
      <c r="G12" s="30" t="s">
        <v>724</v>
      </c>
      <c r="H12" s="30">
        <v>2006</v>
      </c>
      <c r="I12" s="30"/>
      <c r="J12" s="31">
        <f xml:space="preserve"> 10919 * 1000000</f>
        <v>10919000000</v>
      </c>
      <c r="K12" s="30" t="s">
        <v>1832</v>
      </c>
      <c r="L12" s="30" t="s">
        <v>1828</v>
      </c>
      <c r="M12" s="30" t="s">
        <v>1553</v>
      </c>
      <c r="N12" s="30" t="s">
        <v>1829</v>
      </c>
      <c r="O12" s="30" t="s">
        <v>1830</v>
      </c>
      <c r="P12" s="30" t="s">
        <v>1831</v>
      </c>
      <c r="Q12" s="30"/>
      <c r="R12" s="32" t="s">
        <v>1826</v>
      </c>
      <c r="S12" s="32" t="s">
        <v>1827</v>
      </c>
      <c r="T12" s="30"/>
      <c r="U12" s="30"/>
      <c r="V12" s="30"/>
      <c r="W12" s="31">
        <f>IF( J12="s.i", "s.i", IF(ISBLANK(J12),"Actualizando información",IFERROR(J12 / VLOOKUP(A12,Deflactor!$G$3:$H$64,2,0),"Revisar error" )))</f>
        <v>8378899015.2686529</v>
      </c>
      <c r="X12" s="33" t="s">
        <v>1833</v>
      </c>
      <c r="Y12" s="33" t="s">
        <v>1834</v>
      </c>
      <c r="Z12" s="33" t="s">
        <v>1835</v>
      </c>
      <c r="AA12" s="33" t="s">
        <v>1836</v>
      </c>
      <c r="AB12" s="33" t="s">
        <v>1837</v>
      </c>
      <c r="AC12" s="33" t="s">
        <v>1838</v>
      </c>
      <c r="AD12" s="33" t="s">
        <v>1839</v>
      </c>
      <c r="AE12" s="33" t="s">
        <v>1840</v>
      </c>
      <c r="AF12" s="33" t="s">
        <v>1841</v>
      </c>
      <c r="AG12" s="33" t="s">
        <v>1842</v>
      </c>
      <c r="AH12" s="33" t="s">
        <v>1843</v>
      </c>
      <c r="AR12" s="10"/>
    </row>
    <row r="13" spans="1:45" s="33" customFormat="1" x14ac:dyDescent="0.25">
      <c r="A13" s="30">
        <v>2020</v>
      </c>
      <c r="B13" s="30" t="s">
        <v>1309</v>
      </c>
      <c r="C13" s="30" t="s">
        <v>67</v>
      </c>
      <c r="D13" s="30" t="s">
        <v>54</v>
      </c>
      <c r="E13" s="30" t="s">
        <v>237</v>
      </c>
      <c r="F13" s="30" t="s">
        <v>27</v>
      </c>
      <c r="G13" s="30" t="s">
        <v>724</v>
      </c>
      <c r="H13" s="30">
        <v>1954</v>
      </c>
      <c r="I13" s="30"/>
      <c r="J13" s="31">
        <f xml:space="preserve"> 74737 * 1000000</f>
        <v>74737000000</v>
      </c>
      <c r="K13" s="30" t="s">
        <v>1847</v>
      </c>
      <c r="L13" s="30" t="s">
        <v>1698</v>
      </c>
      <c r="M13" s="30" t="s">
        <v>1846</v>
      </c>
      <c r="N13" s="30" t="s">
        <v>1848</v>
      </c>
      <c r="O13" s="30" t="s">
        <v>1849</v>
      </c>
      <c r="P13" s="30" t="s">
        <v>1850</v>
      </c>
      <c r="Q13" s="30"/>
      <c r="R13" s="32" t="s">
        <v>1844</v>
      </c>
      <c r="S13" s="32" t="s">
        <v>1845</v>
      </c>
      <c r="T13" s="30"/>
      <c r="U13" s="30" t="s">
        <v>1326</v>
      </c>
      <c r="V13" s="30"/>
      <c r="W13" s="31">
        <f>IF( J13="s.i", "s.i", IF(ISBLANK(J13),"Actualizando información",IFERROR(J13 / VLOOKUP(A13,Deflactor!$G$3:$H$64,2,0),"Revisar error" )))</f>
        <v>57350835763.72683</v>
      </c>
      <c r="X13" s="33" t="s">
        <v>1851</v>
      </c>
      <c r="Y13" s="33" t="s">
        <v>1852</v>
      </c>
      <c r="Z13" s="33" t="s">
        <v>1853</v>
      </c>
      <c r="AA13" s="33" t="s">
        <v>1854</v>
      </c>
      <c r="AB13" s="33" t="s">
        <v>1855</v>
      </c>
      <c r="AC13" s="33" t="s">
        <v>1856</v>
      </c>
      <c r="AD13" s="33" t="s">
        <v>1857</v>
      </c>
      <c r="AE13" s="33" t="s">
        <v>1858</v>
      </c>
      <c r="AF13" s="33" t="s">
        <v>1859</v>
      </c>
      <c r="AG13" s="33" t="s">
        <v>1860</v>
      </c>
      <c r="AR13" s="10"/>
    </row>
    <row r="14" spans="1:45" s="33" customFormat="1" x14ac:dyDescent="0.25">
      <c r="A14" s="30">
        <v>2020</v>
      </c>
      <c r="B14" s="30" t="s">
        <v>1310</v>
      </c>
      <c r="C14" s="30" t="s">
        <v>67</v>
      </c>
      <c r="D14" s="30" t="s">
        <v>54</v>
      </c>
      <c r="E14" s="30" t="s">
        <v>55</v>
      </c>
      <c r="F14" s="30" t="s">
        <v>14</v>
      </c>
      <c r="G14" s="30" t="s">
        <v>724</v>
      </c>
      <c r="H14" s="30">
        <v>1998</v>
      </c>
      <c r="I14" s="30"/>
      <c r="J14" s="31" t="s">
        <v>624</v>
      </c>
      <c r="K14" s="30" t="s">
        <v>1866</v>
      </c>
      <c r="L14" s="30" t="s">
        <v>1870</v>
      </c>
      <c r="M14" s="30" t="s">
        <v>1863</v>
      </c>
      <c r="N14" s="30" t="s">
        <v>1867</v>
      </c>
      <c r="O14" s="30" t="s">
        <v>1868</v>
      </c>
      <c r="P14" s="30" t="s">
        <v>1869</v>
      </c>
      <c r="Q14" s="30"/>
      <c r="R14" s="32" t="s">
        <v>1861</v>
      </c>
      <c r="S14" s="32" t="s">
        <v>1862</v>
      </c>
      <c r="T14" s="30"/>
      <c r="U14" s="30"/>
      <c r="V14" s="30"/>
      <c r="W14" s="31" t="str">
        <f>IF( J14="s.i", "s.i", IF(ISBLANK(J14),"Actualizando información",IFERROR(J14 / VLOOKUP(A14,Deflactor!$G$3:$H$64,2,0),"Revisar error" )))</f>
        <v>s.i</v>
      </c>
      <c r="X14" s="33" t="s">
        <v>1871</v>
      </c>
      <c r="Y14" s="33" t="s">
        <v>1872</v>
      </c>
      <c r="Z14" s="33" t="s">
        <v>1873</v>
      </c>
      <c r="AA14" s="33" t="s">
        <v>1874</v>
      </c>
      <c r="AB14" s="33" t="s">
        <v>1875</v>
      </c>
      <c r="AC14" s="33" t="s">
        <v>1876</v>
      </c>
      <c r="AR14" s="10"/>
    </row>
    <row r="15" spans="1:45" s="33" customFormat="1" x14ac:dyDescent="0.25">
      <c r="A15" s="30">
        <v>2020</v>
      </c>
      <c r="B15" s="30" t="s">
        <v>1311</v>
      </c>
      <c r="C15" s="30" t="s">
        <v>7</v>
      </c>
      <c r="D15" s="30" t="s">
        <v>234</v>
      </c>
      <c r="E15" s="30" t="s">
        <v>235</v>
      </c>
      <c r="F15" s="30" t="s">
        <v>14</v>
      </c>
      <c r="G15" s="30" t="s">
        <v>724</v>
      </c>
      <c r="H15" s="30">
        <v>2009</v>
      </c>
      <c r="I15" s="30"/>
      <c r="J15" s="31">
        <f xml:space="preserve"> 862718 * 1000000</f>
        <v>862718000000</v>
      </c>
      <c r="K15" s="30" t="s">
        <v>2282</v>
      </c>
      <c r="L15" s="30" t="s">
        <v>1879</v>
      </c>
      <c r="M15" s="30" t="s">
        <v>1880</v>
      </c>
      <c r="N15" s="30" t="s">
        <v>1881</v>
      </c>
      <c r="O15" s="30" t="s">
        <v>1882</v>
      </c>
      <c r="P15" s="30" t="s">
        <v>1883</v>
      </c>
      <c r="Q15" s="30" t="s">
        <v>1893</v>
      </c>
      <c r="R15" s="32" t="s">
        <v>1877</v>
      </c>
      <c r="S15" s="32" t="s">
        <v>1878</v>
      </c>
      <c r="T15" s="30"/>
      <c r="U15" s="30" t="s">
        <v>1327</v>
      </c>
      <c r="V15" s="30"/>
      <c r="W15" s="31">
        <f>IF( J15="s.i", "s.i", IF(ISBLANK(J15),"Actualizando información",IFERROR(J15 / VLOOKUP(A15,Deflactor!$G$3:$H$64,2,0),"Revisar error" )))</f>
        <v>662022804346.052</v>
      </c>
      <c r="X15" s="33" t="s">
        <v>1884</v>
      </c>
      <c r="Y15" s="33" t="s">
        <v>1885</v>
      </c>
      <c r="Z15" s="33" t="s">
        <v>1886</v>
      </c>
      <c r="AA15" s="33" t="s">
        <v>1887</v>
      </c>
      <c r="AB15" s="33" t="s">
        <v>1888</v>
      </c>
      <c r="AC15" s="33" t="s">
        <v>1889</v>
      </c>
      <c r="AD15" s="33" t="s">
        <v>1890</v>
      </c>
      <c r="AE15" s="33" t="s">
        <v>1891</v>
      </c>
      <c r="AF15" s="33" t="s">
        <v>1892</v>
      </c>
      <c r="AR15" s="10"/>
    </row>
    <row r="16" spans="1:45" s="33" customFormat="1" x14ac:dyDescent="0.25">
      <c r="A16" s="30">
        <v>2020</v>
      </c>
      <c r="B16" s="30" t="s">
        <v>1312</v>
      </c>
      <c r="C16" s="30" t="s">
        <v>67</v>
      </c>
      <c r="D16" s="30" t="s">
        <v>32</v>
      </c>
      <c r="E16" s="30" t="s">
        <v>33</v>
      </c>
      <c r="F16" s="30" t="s">
        <v>10</v>
      </c>
      <c r="G16" s="30" t="s">
        <v>724</v>
      </c>
      <c r="H16" s="30">
        <v>1995</v>
      </c>
      <c r="I16" s="30"/>
      <c r="J16" s="31">
        <f xml:space="preserve"> 10945 * 1000000</f>
        <v>10945000000</v>
      </c>
      <c r="K16" s="30" t="s">
        <v>1654</v>
      </c>
      <c r="L16" s="30" t="s">
        <v>1896</v>
      </c>
      <c r="M16" s="30" t="s">
        <v>1897</v>
      </c>
      <c r="N16" s="30" t="s">
        <v>1898</v>
      </c>
      <c r="O16" s="30" t="s">
        <v>1899</v>
      </c>
      <c r="P16" s="30" t="s">
        <v>1900</v>
      </c>
      <c r="Q16" s="30" t="s">
        <v>1901</v>
      </c>
      <c r="R16" s="32" t="s">
        <v>1894</v>
      </c>
      <c r="S16" s="32" t="s">
        <v>1895</v>
      </c>
      <c r="T16" s="30"/>
      <c r="U16" s="30" t="s">
        <v>1312</v>
      </c>
      <c r="V16" s="30"/>
      <c r="W16" s="31">
        <f>IF( J16="s.i", "s.i", IF(ISBLANK(J16),"Actualizando información",IFERROR(J16 / VLOOKUP(A16,Deflactor!$G$3:$H$64,2,0),"Revisar error" )))</f>
        <v>8398850601.8971882</v>
      </c>
      <c r="X16" s="33" t="s">
        <v>1902</v>
      </c>
      <c r="Y16" s="33" t="s">
        <v>1903</v>
      </c>
      <c r="Z16" s="33" t="s">
        <v>1904</v>
      </c>
      <c r="AA16" s="33" t="s">
        <v>1905</v>
      </c>
      <c r="AB16" s="33" t="s">
        <v>1906</v>
      </c>
      <c r="AC16" s="33" t="s">
        <v>1907</v>
      </c>
      <c r="AD16" s="33" t="s">
        <v>1908</v>
      </c>
      <c r="AE16" s="33" t="s">
        <v>1909</v>
      </c>
      <c r="AR16" s="10"/>
    </row>
    <row r="17" spans="1:44" s="33" customFormat="1" x14ac:dyDescent="0.25">
      <c r="A17" s="30">
        <v>2020</v>
      </c>
      <c r="B17" s="30" t="s">
        <v>1313</v>
      </c>
      <c r="C17" s="30" t="s">
        <v>7</v>
      </c>
      <c r="D17" s="30" t="s">
        <v>32</v>
      </c>
      <c r="E17" s="30" t="s">
        <v>33</v>
      </c>
      <c r="F17" s="30" t="s">
        <v>14</v>
      </c>
      <c r="G17" s="30" t="s">
        <v>724</v>
      </c>
      <c r="H17" s="30">
        <v>2011</v>
      </c>
      <c r="I17" s="30"/>
      <c r="J17" s="31">
        <f xml:space="preserve"> 643551 * 1000000</f>
        <v>643551000000</v>
      </c>
      <c r="K17" s="30" t="s">
        <v>1654</v>
      </c>
      <c r="L17" s="30" t="s">
        <v>1912</v>
      </c>
      <c r="M17" s="30" t="s">
        <v>1913</v>
      </c>
      <c r="N17" s="30" t="s">
        <v>1914</v>
      </c>
      <c r="O17" s="30" t="s">
        <v>1915</v>
      </c>
      <c r="P17" s="30" t="s">
        <v>1916</v>
      </c>
      <c r="Q17" s="30" t="s">
        <v>1917</v>
      </c>
      <c r="R17" s="32" t="s">
        <v>1910</v>
      </c>
      <c r="S17" s="32" t="s">
        <v>1911</v>
      </c>
      <c r="T17" s="30"/>
      <c r="U17" s="30"/>
      <c r="V17" s="30"/>
      <c r="W17" s="31">
        <f>IF( J17="s.i", "s.i", IF(ISBLANK(J17),"Actualizando información",IFERROR(J17 / VLOOKUP(A17,Deflactor!$G$3:$H$64,2,0),"Revisar error" )))</f>
        <v>493840904860.80743</v>
      </c>
      <c r="X17" s="33" t="s">
        <v>1921</v>
      </c>
      <c r="Y17" s="33" t="s">
        <v>1922</v>
      </c>
      <c r="Z17" s="33" t="s">
        <v>1937</v>
      </c>
      <c r="AA17" s="33" t="s">
        <v>1923</v>
      </c>
      <c r="AB17" s="33" t="s">
        <v>1924</v>
      </c>
      <c r="AC17" s="33" t="s">
        <v>1925</v>
      </c>
      <c r="AD17" s="33" t="s">
        <v>1926</v>
      </c>
      <c r="AE17" s="33" t="s">
        <v>1927</v>
      </c>
      <c r="AF17" s="33" t="s">
        <v>1928</v>
      </c>
      <c r="AG17" s="33" t="s">
        <v>1929</v>
      </c>
      <c r="AH17" s="33" t="s">
        <v>1930</v>
      </c>
      <c r="AI17" s="33" t="s">
        <v>1931</v>
      </c>
      <c r="AJ17" s="33" t="s">
        <v>1932</v>
      </c>
      <c r="AK17" s="33" t="s">
        <v>1933</v>
      </c>
      <c r="AL17" s="33" t="s">
        <v>1934</v>
      </c>
      <c r="AM17" s="33" t="s">
        <v>1935</v>
      </c>
      <c r="AN17" s="33" t="s">
        <v>1936</v>
      </c>
      <c r="AR17" s="10"/>
    </row>
    <row r="18" spans="1:44" s="33" customFormat="1" x14ac:dyDescent="0.25">
      <c r="A18" s="30">
        <v>2020</v>
      </c>
      <c r="B18" s="30" t="s">
        <v>1314</v>
      </c>
      <c r="C18" s="30" t="s">
        <v>7</v>
      </c>
      <c r="D18" s="30" t="s">
        <v>12</v>
      </c>
      <c r="E18" s="30" t="s">
        <v>1315</v>
      </c>
      <c r="F18" s="30" t="s">
        <v>27</v>
      </c>
      <c r="G18" s="30" t="s">
        <v>724</v>
      </c>
      <c r="H18" s="30">
        <v>2008</v>
      </c>
      <c r="I18" s="30"/>
      <c r="J18" s="31">
        <f xml:space="preserve"> 56538 * 1000000</f>
        <v>56538000000</v>
      </c>
      <c r="K18" s="30" t="s">
        <v>2284</v>
      </c>
      <c r="L18" s="30" t="s">
        <v>2283</v>
      </c>
      <c r="M18" s="30" t="s">
        <v>1940</v>
      </c>
      <c r="N18" s="30" t="s">
        <v>1941</v>
      </c>
      <c r="O18" s="30" t="s">
        <v>1942</v>
      </c>
      <c r="P18" s="30" t="s">
        <v>1943</v>
      </c>
      <c r="Q18" s="30"/>
      <c r="R18" s="32" t="s">
        <v>1938</v>
      </c>
      <c r="S18" s="32" t="s">
        <v>1939</v>
      </c>
      <c r="T18" s="30"/>
      <c r="U18" s="30" t="s">
        <v>1329</v>
      </c>
      <c r="V18" s="30"/>
      <c r="W18" s="31">
        <f>IF( J18="s.i", "s.i", IF(ISBLANK(J18),"Actualizando información",IFERROR(J18 / VLOOKUP(A18,Deflactor!$G$3:$H$64,2,0),"Revisar error" )))</f>
        <v>43385492492.468094</v>
      </c>
      <c r="X18" s="33" t="s">
        <v>1944</v>
      </c>
      <c r="Y18" s="33" t="s">
        <v>1945</v>
      </c>
      <c r="Z18" s="33" t="s">
        <v>1946</v>
      </c>
      <c r="AA18" s="33" t="s">
        <v>1947</v>
      </c>
      <c r="AB18" s="33" t="s">
        <v>1948</v>
      </c>
      <c r="AC18" s="33" t="s">
        <v>1949</v>
      </c>
      <c r="AD18" s="33" t="s">
        <v>1950</v>
      </c>
      <c r="AE18" s="33" t="s">
        <v>1951</v>
      </c>
      <c r="AF18" s="33" t="s">
        <v>1952</v>
      </c>
      <c r="AG18" s="33" t="s">
        <v>1953</v>
      </c>
      <c r="AH18" s="33" t="s">
        <v>1954</v>
      </c>
      <c r="AI18" s="33" t="s">
        <v>1955</v>
      </c>
      <c r="AJ18" s="33" t="s">
        <v>1956</v>
      </c>
      <c r="AK18" s="33" t="s">
        <v>1957</v>
      </c>
      <c r="AL18" s="33" t="s">
        <v>1958</v>
      </c>
      <c r="AM18" s="33" t="s">
        <v>1959</v>
      </c>
      <c r="AR18" s="10"/>
    </row>
    <row r="19" spans="1:44" s="33" customFormat="1" x14ac:dyDescent="0.25">
      <c r="A19" s="30">
        <v>2019</v>
      </c>
      <c r="B19" s="30" t="s">
        <v>6</v>
      </c>
      <c r="C19" s="30" t="s">
        <v>7</v>
      </c>
      <c r="D19" s="30" t="s">
        <v>8</v>
      </c>
      <c r="E19" s="30" t="s">
        <v>9</v>
      </c>
      <c r="F19" s="30" t="s">
        <v>10</v>
      </c>
      <c r="G19" s="30" t="s">
        <v>724</v>
      </c>
      <c r="H19" s="39">
        <v>1985</v>
      </c>
      <c r="I19" s="40"/>
      <c r="J19" s="31">
        <v>68399379</v>
      </c>
      <c r="K19" s="30" t="s">
        <v>1044</v>
      </c>
      <c r="L19" s="30" t="s">
        <v>730</v>
      </c>
      <c r="M19" s="30" t="s">
        <v>731</v>
      </c>
      <c r="N19" s="30" t="s">
        <v>732</v>
      </c>
      <c r="O19" s="30" t="s">
        <v>733</v>
      </c>
      <c r="P19" s="30" t="s">
        <v>734</v>
      </c>
      <c r="Q19" s="30"/>
      <c r="R19" s="32" t="s">
        <v>740</v>
      </c>
      <c r="S19" s="32" t="s">
        <v>741</v>
      </c>
      <c r="T19" s="30"/>
      <c r="U19" s="30"/>
      <c r="V19" s="30"/>
      <c r="W19" s="31">
        <f>IF( J19="s.i", "s.i", IF(ISBLANK(J19),"Actualizando información",IFERROR(J19 / VLOOKUP(A19,Deflactor!$G$3:$H$64,2,0),"Revisar error" )))</f>
        <v>53491537.120826639</v>
      </c>
      <c r="X19" s="33" t="s">
        <v>2001</v>
      </c>
      <c r="Y19" s="33" t="s">
        <v>2002</v>
      </c>
      <c r="Z19" s="33" t="s">
        <v>2003</v>
      </c>
      <c r="AA19" s="33" t="s">
        <v>2004</v>
      </c>
      <c r="AB19" s="33" t="s">
        <v>2005</v>
      </c>
      <c r="AC19" s="33" t="s">
        <v>2006</v>
      </c>
      <c r="AD19" s="33" t="s">
        <v>2007</v>
      </c>
      <c r="AE19" s="33" t="s">
        <v>2008</v>
      </c>
      <c r="AF19" s="33" t="s">
        <v>2009</v>
      </c>
      <c r="AG19" s="33" t="s">
        <v>2010</v>
      </c>
      <c r="AH19" s="33" t="s">
        <v>2011</v>
      </c>
      <c r="AI19" s="33" t="s">
        <v>2012</v>
      </c>
      <c r="AJ19" s="33" t="s">
        <v>2013</v>
      </c>
      <c r="AK19" s="33" t="s">
        <v>2014</v>
      </c>
      <c r="AL19" s="33" t="s">
        <v>2015</v>
      </c>
      <c r="AM19" s="33" t="s">
        <v>2016</v>
      </c>
      <c r="AN19" s="33" t="s">
        <v>2017</v>
      </c>
      <c r="AR19" s="10"/>
    </row>
    <row r="20" spans="1:44" s="33" customFormat="1" x14ac:dyDescent="0.25">
      <c r="A20" s="30">
        <v>2019</v>
      </c>
      <c r="B20" s="30" t="s">
        <v>11</v>
      </c>
      <c r="C20" s="30" t="s">
        <v>7</v>
      </c>
      <c r="D20" s="30" t="s">
        <v>12</v>
      </c>
      <c r="E20" s="30" t="s">
        <v>13</v>
      </c>
      <c r="F20" s="30" t="s">
        <v>14</v>
      </c>
      <c r="G20" s="30" t="s">
        <v>724</v>
      </c>
      <c r="H20" s="39">
        <v>2014</v>
      </c>
      <c r="I20" s="40"/>
      <c r="J20" s="31">
        <f xml:space="preserve"> 9964630 * 1000000</f>
        <v>9964630000000</v>
      </c>
      <c r="K20" s="30"/>
      <c r="L20" s="30" t="s">
        <v>847</v>
      </c>
      <c r="M20" s="30" t="s">
        <v>848</v>
      </c>
      <c r="N20" s="30" t="s">
        <v>849</v>
      </c>
      <c r="O20" s="30" t="s">
        <v>850</v>
      </c>
      <c r="P20" s="30" t="s">
        <v>851</v>
      </c>
      <c r="Q20" s="30"/>
      <c r="R20" s="32" t="s">
        <v>852</v>
      </c>
      <c r="S20" s="32" t="s">
        <v>853</v>
      </c>
      <c r="T20" s="30"/>
      <c r="U20" s="30"/>
      <c r="V20" s="30"/>
      <c r="W20" s="31">
        <f>IF( J20="s.i", "s.i", IF(ISBLANK(J20),"Actualizando información",IFERROR(J20 / VLOOKUP(A20,Deflactor!$G$3:$H$64,2,0),"Revisar error" )))</f>
        <v>7792810158997.2441</v>
      </c>
      <c r="X20" s="33" t="s">
        <v>2018</v>
      </c>
      <c r="Y20" s="33" t="s">
        <v>2019</v>
      </c>
      <c r="Z20" s="33" t="s">
        <v>2020</v>
      </c>
      <c r="AA20" s="33" t="s">
        <v>2021</v>
      </c>
      <c r="AB20" s="33" t="s">
        <v>2022</v>
      </c>
      <c r="AC20" s="30" t="s">
        <v>2023</v>
      </c>
      <c r="AD20" s="33" t="s">
        <v>2024</v>
      </c>
      <c r="AE20" s="33" t="s">
        <v>2025</v>
      </c>
      <c r="AF20" s="33" t="s">
        <v>2026</v>
      </c>
      <c r="AG20" s="33" t="s">
        <v>2027</v>
      </c>
      <c r="AH20" s="33" t="s">
        <v>2028</v>
      </c>
      <c r="AI20" s="33" t="s">
        <v>2029</v>
      </c>
      <c r="AJ20" s="33" t="s">
        <v>2033</v>
      </c>
      <c r="AK20" s="33" t="s">
        <v>2032</v>
      </c>
      <c r="AL20" s="33" t="s">
        <v>2031</v>
      </c>
      <c r="AM20" s="33" t="s">
        <v>2030</v>
      </c>
      <c r="AN20" s="33" t="s">
        <v>2037</v>
      </c>
      <c r="AO20" s="33" t="s">
        <v>2038</v>
      </c>
      <c r="AP20" s="33" t="s">
        <v>2039</v>
      </c>
      <c r="AQ20" s="33" t="s">
        <v>2040</v>
      </c>
      <c r="AR20" s="10"/>
    </row>
    <row r="21" spans="1:44" s="38" customFormat="1" x14ac:dyDescent="0.25">
      <c r="A21" s="14">
        <v>2019</v>
      </c>
      <c r="B21" s="14" t="s">
        <v>15</v>
      </c>
      <c r="C21" s="14" t="s">
        <v>7</v>
      </c>
      <c r="D21" s="14" t="s">
        <v>8</v>
      </c>
      <c r="E21" s="14" t="s">
        <v>9</v>
      </c>
      <c r="F21" s="14" t="s">
        <v>10</v>
      </c>
      <c r="G21" s="14" t="s">
        <v>724</v>
      </c>
      <c r="H21" s="34">
        <v>1985</v>
      </c>
      <c r="I21" s="35"/>
      <c r="J21" s="36">
        <v>68399379</v>
      </c>
      <c r="K21" s="14" t="s">
        <v>1044</v>
      </c>
      <c r="L21" s="14" t="s">
        <v>730</v>
      </c>
      <c r="M21" s="14" t="s">
        <v>731</v>
      </c>
      <c r="N21" s="14" t="s">
        <v>732</v>
      </c>
      <c r="O21" s="14" t="s">
        <v>733</v>
      </c>
      <c r="P21" s="14" t="s">
        <v>734</v>
      </c>
      <c r="Q21" s="14"/>
      <c r="R21" s="37" t="s">
        <v>2041</v>
      </c>
      <c r="S21" s="37" t="s">
        <v>2042</v>
      </c>
      <c r="T21" s="14"/>
      <c r="U21" s="14"/>
      <c r="V21" s="14"/>
      <c r="W21" s="36">
        <f>IF( J21="s.i", "s.i", IF(ISBLANK(J21),"Actualizando información",IFERROR(J21 / VLOOKUP(A21,Deflactor!$G$3:$H$64,2,0),"Revisar error" )))</f>
        <v>53491537.120826639</v>
      </c>
      <c r="X21" s="38" t="s">
        <v>2001</v>
      </c>
      <c r="Y21" s="38" t="s">
        <v>2002</v>
      </c>
      <c r="Z21" s="38" t="s">
        <v>2003</v>
      </c>
      <c r="AR21" s="10"/>
    </row>
    <row r="22" spans="1:44" x14ac:dyDescent="0.25">
      <c r="A22" s="3">
        <v>2019</v>
      </c>
      <c r="B22" s="3" t="s">
        <v>16</v>
      </c>
      <c r="C22" s="3" t="s">
        <v>7</v>
      </c>
      <c r="D22" s="3" t="s">
        <v>17</v>
      </c>
      <c r="E22" s="3" t="s">
        <v>18</v>
      </c>
      <c r="F22" s="3" t="s">
        <v>10</v>
      </c>
      <c r="G22" s="3" t="s">
        <v>724</v>
      </c>
      <c r="H22" s="12">
        <v>2005</v>
      </c>
      <c r="I22" s="13"/>
      <c r="J22" s="10">
        <f xml:space="preserve"> 8900 * 1000000</f>
        <v>8900000000</v>
      </c>
      <c r="K22" s="3" t="s">
        <v>1651</v>
      </c>
      <c r="L22" s="3" t="s">
        <v>854</v>
      </c>
      <c r="M22" s="3" t="s">
        <v>855</v>
      </c>
      <c r="N22" s="3" t="s">
        <v>856</v>
      </c>
      <c r="O22" s="3" t="s">
        <v>857</v>
      </c>
      <c r="P22" s="3" t="s">
        <v>858</v>
      </c>
      <c r="Q22" s="3"/>
      <c r="R22" s="11" t="s">
        <v>859</v>
      </c>
      <c r="S22" s="11" t="s">
        <v>860</v>
      </c>
      <c r="T22" s="11" t="s">
        <v>861</v>
      </c>
      <c r="U22" s="3" t="s">
        <v>1142</v>
      </c>
      <c r="V22" s="3"/>
      <c r="W22" s="10">
        <f>IF( J22="s.i", "s.i", IF(ISBLANK(J22),"Actualizando información",IFERROR(J22 / VLOOKUP(A22,Deflactor!$G$3:$H$64,2,0),"Revisar error" )))</f>
        <v>6960219337.3035898</v>
      </c>
    </row>
    <row r="23" spans="1:44" x14ac:dyDescent="0.25">
      <c r="A23" s="3">
        <v>2019</v>
      </c>
      <c r="B23" s="3" t="s">
        <v>19</v>
      </c>
      <c r="C23" s="3" t="s">
        <v>7</v>
      </c>
      <c r="D23" s="3" t="s">
        <v>20</v>
      </c>
      <c r="E23" s="3" t="s">
        <v>21</v>
      </c>
      <c r="F23" s="3" t="s">
        <v>14</v>
      </c>
      <c r="G23" s="3" t="s">
        <v>724</v>
      </c>
      <c r="H23" s="12">
        <v>1994</v>
      </c>
      <c r="I23" s="13"/>
      <c r="J23" s="10">
        <f xml:space="preserve"> 11054977 * 1000</f>
        <v>11054977000</v>
      </c>
      <c r="K23" s="3" t="s">
        <v>862</v>
      </c>
      <c r="L23" s="3" t="s">
        <v>862</v>
      </c>
      <c r="M23" s="3" t="s">
        <v>863</v>
      </c>
      <c r="N23" s="3" t="s">
        <v>864</v>
      </c>
      <c r="O23" s="3" t="s">
        <v>865</v>
      </c>
      <c r="P23" s="3" t="s">
        <v>866</v>
      </c>
      <c r="Q23" s="3"/>
      <c r="R23" s="11" t="s">
        <v>867</v>
      </c>
      <c r="S23" s="11" t="s">
        <v>868</v>
      </c>
      <c r="T23" s="3"/>
      <c r="U23" s="3" t="s">
        <v>1143</v>
      </c>
      <c r="V23" s="3"/>
      <c r="W23" s="10">
        <f>IF( J23="s.i", "s.i", IF(ISBLANK(J23),"Actualizando información",IFERROR(J23 / VLOOKUP(A23,Deflactor!$G$3:$H$64,2,0),"Revisar error" )))</f>
        <v>8645512886.3872395</v>
      </c>
    </row>
    <row r="24" spans="1:44" x14ac:dyDescent="0.25">
      <c r="A24" s="3">
        <v>2019</v>
      </c>
      <c r="B24" s="3" t="s">
        <v>22</v>
      </c>
      <c r="C24" s="3" t="s">
        <v>7</v>
      </c>
      <c r="D24" s="3" t="s">
        <v>20</v>
      </c>
      <c r="E24" s="3" t="s">
        <v>23</v>
      </c>
      <c r="F24" s="3" t="s">
        <v>14</v>
      </c>
      <c r="G24" s="3" t="s">
        <v>724</v>
      </c>
      <c r="H24" s="12">
        <v>2016</v>
      </c>
      <c r="I24" s="13"/>
      <c r="J24" s="10">
        <v>3348243</v>
      </c>
      <c r="K24" s="3" t="s">
        <v>1653</v>
      </c>
      <c r="L24" s="3" t="s">
        <v>869</v>
      </c>
      <c r="M24" s="3" t="s">
        <v>870</v>
      </c>
      <c r="N24" s="3" t="s">
        <v>871</v>
      </c>
      <c r="O24" s="3" t="s">
        <v>872</v>
      </c>
      <c r="P24" s="3" t="s">
        <v>873</v>
      </c>
      <c r="Q24" s="3" t="s">
        <v>874</v>
      </c>
      <c r="R24" s="11" t="s">
        <v>875</v>
      </c>
      <c r="S24" s="11" t="s">
        <v>876</v>
      </c>
      <c r="T24" s="3"/>
      <c r="U24" s="3" t="s">
        <v>1144</v>
      </c>
      <c r="V24" s="3"/>
      <c r="W24" s="10">
        <f>IF( J24="s.i", "s.i", IF(ISBLANK(J24),"Actualizando información",IFERROR(J24 / VLOOKUP(A24,Deflactor!$G$3:$H$64,2,0),"Revisar error" )))</f>
        <v>2618483.7836619532</v>
      </c>
    </row>
    <row r="25" spans="1:44" x14ac:dyDescent="0.25">
      <c r="A25" s="3">
        <v>2019</v>
      </c>
      <c r="B25" s="3" t="s">
        <v>24</v>
      </c>
      <c r="C25" s="3" t="s">
        <v>7</v>
      </c>
      <c r="D25" s="3" t="s">
        <v>25</v>
      </c>
      <c r="E25" s="3" t="s">
        <v>26</v>
      </c>
      <c r="F25" s="3" t="s">
        <v>27</v>
      </c>
      <c r="G25" s="3" t="s">
        <v>724</v>
      </c>
      <c r="H25" s="12">
        <v>2014</v>
      </c>
      <c r="I25" s="13"/>
      <c r="J25" s="10">
        <f xml:space="preserve"> 18149 * 1000000</f>
        <v>18149000000</v>
      </c>
      <c r="K25" s="3" t="s">
        <v>2191</v>
      </c>
      <c r="L25" s="3" t="s">
        <v>877</v>
      </c>
      <c r="M25" s="3" t="s">
        <v>878</v>
      </c>
      <c r="N25" s="3" t="s">
        <v>879</v>
      </c>
      <c r="O25" s="3" t="s">
        <v>880</v>
      </c>
      <c r="P25" s="3" t="s">
        <v>881</v>
      </c>
      <c r="Q25" s="3"/>
      <c r="R25" s="11" t="s">
        <v>882</v>
      </c>
      <c r="S25" s="11" t="s">
        <v>883</v>
      </c>
      <c r="T25" s="11" t="s">
        <v>884</v>
      </c>
      <c r="U25" s="3" t="s">
        <v>878</v>
      </c>
      <c r="V25" s="3"/>
      <c r="W25" s="10">
        <f>IF( J25="s.i", "s.i", IF(ISBLANK(J25),"Actualizando información",IFERROR(J25 / VLOOKUP(A25,Deflactor!$G$3:$H$64,2,0),"Revisar error" )))</f>
        <v>14193373118.283466</v>
      </c>
    </row>
    <row r="26" spans="1:44" x14ac:dyDescent="0.25">
      <c r="A26" s="3">
        <v>2019</v>
      </c>
      <c r="B26" s="3" t="s">
        <v>28</v>
      </c>
      <c r="C26" s="3" t="s">
        <v>7</v>
      </c>
      <c r="D26" s="3" t="s">
        <v>25</v>
      </c>
      <c r="E26" s="3" t="s">
        <v>29</v>
      </c>
      <c r="F26" s="3" t="s">
        <v>30</v>
      </c>
      <c r="G26" s="3" t="s">
        <v>724</v>
      </c>
      <c r="H26" s="12">
        <v>2015</v>
      </c>
      <c r="I26" s="13"/>
      <c r="J26" s="10">
        <f xml:space="preserve"> 18900 * 1000000</f>
        <v>18900000000</v>
      </c>
      <c r="K26" s="3" t="s">
        <v>1649</v>
      </c>
      <c r="L26" s="3" t="s">
        <v>885</v>
      </c>
      <c r="M26" s="3" t="s">
        <v>886</v>
      </c>
      <c r="N26" s="3" t="s">
        <v>887</v>
      </c>
      <c r="O26" s="3" t="s">
        <v>888</v>
      </c>
      <c r="P26" s="3" t="s">
        <v>889</v>
      </c>
      <c r="Q26" s="3"/>
      <c r="R26" s="11" t="s">
        <v>890</v>
      </c>
      <c r="S26" s="11" t="s">
        <v>891</v>
      </c>
      <c r="T26" s="3"/>
      <c r="U26" s="3" t="s">
        <v>1145</v>
      </c>
      <c r="V26" s="3"/>
      <c r="W26" s="10">
        <f>IF( J26="s.i", "s.i", IF(ISBLANK(J26),"Actualizando información",IFERROR(J26 / VLOOKUP(A26,Deflactor!$G$3:$H$64,2,0),"Revisar error" )))</f>
        <v>14780690502.813242</v>
      </c>
    </row>
    <row r="27" spans="1:44" x14ac:dyDescent="0.25">
      <c r="A27" s="3">
        <v>2019</v>
      </c>
      <c r="B27" s="3" t="s">
        <v>31</v>
      </c>
      <c r="C27" s="3" t="s">
        <v>7</v>
      </c>
      <c r="D27" s="3" t="s">
        <v>32</v>
      </c>
      <c r="E27" s="3" t="s">
        <v>33</v>
      </c>
      <c r="F27" s="3" t="s">
        <v>27</v>
      </c>
      <c r="G27" s="3" t="s">
        <v>724</v>
      </c>
      <c r="H27" s="12">
        <v>2011</v>
      </c>
      <c r="I27" s="13"/>
      <c r="J27" s="10">
        <v>50263613</v>
      </c>
      <c r="K27" s="3" t="s">
        <v>1654</v>
      </c>
      <c r="L27" s="3" t="s">
        <v>939</v>
      </c>
      <c r="M27" s="3" t="s">
        <v>940</v>
      </c>
      <c r="N27" s="3" t="s">
        <v>941</v>
      </c>
      <c r="O27" s="3" t="s">
        <v>943</v>
      </c>
      <c r="P27" s="3" t="s">
        <v>942</v>
      </c>
      <c r="Q27" s="3" t="s">
        <v>944</v>
      </c>
      <c r="R27" s="11" t="s">
        <v>937</v>
      </c>
      <c r="S27" s="11" t="s">
        <v>938</v>
      </c>
      <c r="T27" s="3"/>
      <c r="U27" s="3" t="s">
        <v>1198</v>
      </c>
      <c r="V27" s="3"/>
      <c r="W27" s="10">
        <f>IF( J27="s.i", "s.i", IF(ISBLANK(J27),"Actualizando información",IFERROR(J27 / VLOOKUP(A27,Deflactor!$G$3:$H$64,2,0),"Revisar error" )))</f>
        <v>39308513.61408361</v>
      </c>
    </row>
    <row r="28" spans="1:44" x14ac:dyDescent="0.25">
      <c r="A28" s="3">
        <v>2019</v>
      </c>
      <c r="B28" s="3" t="s">
        <v>34</v>
      </c>
      <c r="C28" s="3" t="s">
        <v>7</v>
      </c>
      <c r="D28" s="3" t="s">
        <v>8</v>
      </c>
      <c r="E28" s="3" t="s">
        <v>9</v>
      </c>
      <c r="F28" s="3" t="s">
        <v>10</v>
      </c>
      <c r="G28" s="3" t="s">
        <v>724</v>
      </c>
      <c r="H28" s="12">
        <v>1985</v>
      </c>
      <c r="I28" s="13"/>
      <c r="J28" s="10">
        <v>68399379</v>
      </c>
      <c r="K28" s="3" t="s">
        <v>1044</v>
      </c>
      <c r="L28" s="3" t="s">
        <v>730</v>
      </c>
      <c r="M28" s="3" t="s">
        <v>731</v>
      </c>
      <c r="N28" s="3" t="s">
        <v>732</v>
      </c>
      <c r="O28" s="3" t="s">
        <v>733</v>
      </c>
      <c r="P28" s="3" t="s">
        <v>734</v>
      </c>
      <c r="Q28" s="3"/>
      <c r="R28" s="11" t="s">
        <v>740</v>
      </c>
      <c r="S28" s="11" t="s">
        <v>741</v>
      </c>
      <c r="T28" s="3"/>
      <c r="U28" s="3"/>
      <c r="V28" s="3"/>
      <c r="W28" s="10">
        <f>IF( J28="s.i", "s.i", IF(ISBLANK(J28),"Actualizando información",IFERROR(J28 / VLOOKUP(A28,Deflactor!$G$3:$H$64,2,0),"Revisar error" )))</f>
        <v>53491537.120826639</v>
      </c>
    </row>
    <row r="29" spans="1:44" x14ac:dyDescent="0.25">
      <c r="A29" s="3">
        <v>2019</v>
      </c>
      <c r="B29" s="3" t="s">
        <v>35</v>
      </c>
      <c r="C29" s="3" t="s">
        <v>7</v>
      </c>
      <c r="D29" s="3" t="s">
        <v>36</v>
      </c>
      <c r="E29" s="3" t="s">
        <v>37</v>
      </c>
      <c r="F29" s="3" t="s">
        <v>14</v>
      </c>
      <c r="G29" s="3" t="s">
        <v>724</v>
      </c>
      <c r="H29" s="13">
        <v>2003</v>
      </c>
      <c r="I29" s="13"/>
      <c r="J29" s="10">
        <f xml:space="preserve"> 6119 * 1000000</f>
        <v>6119000000</v>
      </c>
      <c r="K29" s="3" t="s">
        <v>764</v>
      </c>
      <c r="L29" s="3" t="s">
        <v>947</v>
      </c>
      <c r="M29" s="3" t="s">
        <v>950</v>
      </c>
      <c r="N29" s="3" t="s">
        <v>948</v>
      </c>
      <c r="O29" s="3" t="s">
        <v>949</v>
      </c>
      <c r="P29" s="3" t="s">
        <v>951</v>
      </c>
      <c r="Q29" s="3"/>
      <c r="R29" s="11" t="s">
        <v>945</v>
      </c>
      <c r="S29" s="11" t="s">
        <v>946</v>
      </c>
      <c r="T29" s="3"/>
      <c r="U29" s="3"/>
      <c r="V29" s="3"/>
      <c r="W29" s="10">
        <f>IF( J29="s.i", "s.i", IF(ISBLANK(J29),"Actualizando información",IFERROR(J29 / VLOOKUP(A29,Deflactor!$G$3:$H$64,2,0),"Revisar error" )))</f>
        <v>4785346306.1753559</v>
      </c>
    </row>
    <row r="30" spans="1:44" x14ac:dyDescent="0.25">
      <c r="A30" s="3">
        <v>2019</v>
      </c>
      <c r="B30" s="3" t="s">
        <v>38</v>
      </c>
      <c r="C30" s="3" t="s">
        <v>7</v>
      </c>
      <c r="D30" s="3" t="s">
        <v>36</v>
      </c>
      <c r="E30" s="3" t="s">
        <v>37</v>
      </c>
      <c r="F30" s="3" t="s">
        <v>14</v>
      </c>
      <c r="G30" s="3" t="s">
        <v>724</v>
      </c>
      <c r="H30" s="13">
        <v>1994</v>
      </c>
      <c r="I30" s="13"/>
      <c r="J30" s="10">
        <f xml:space="preserve"> 7721 * 1000000</f>
        <v>7721000000</v>
      </c>
      <c r="K30" s="3" t="s">
        <v>2296</v>
      </c>
      <c r="L30" s="3" t="s">
        <v>957</v>
      </c>
      <c r="M30" s="3" t="s">
        <v>958</v>
      </c>
      <c r="N30" s="3" t="s">
        <v>959</v>
      </c>
      <c r="O30" s="3" t="s">
        <v>960</v>
      </c>
      <c r="P30" s="3" t="s">
        <v>961</v>
      </c>
      <c r="Q30" s="3"/>
      <c r="R30" s="11" t="s">
        <v>952</v>
      </c>
      <c r="S30" s="11" t="s">
        <v>953</v>
      </c>
      <c r="T30" s="3"/>
      <c r="U30" s="3" t="s">
        <v>1146</v>
      </c>
      <c r="V30" s="3"/>
      <c r="W30" s="10">
        <f>IF( J30="s.i", "s.i", IF(ISBLANK(J30),"Actualizando información",IFERROR(J30 / VLOOKUP(A30,Deflactor!$G$3:$H$64,2,0),"Revisar error" )))</f>
        <v>6038185786.8900023</v>
      </c>
    </row>
    <row r="31" spans="1:44" x14ac:dyDescent="0.25">
      <c r="A31" s="3">
        <v>2019</v>
      </c>
      <c r="B31" s="3" t="s">
        <v>39</v>
      </c>
      <c r="C31" s="3" t="s">
        <v>7</v>
      </c>
      <c r="D31" s="3" t="s">
        <v>40</v>
      </c>
      <c r="E31" s="3" t="s">
        <v>41</v>
      </c>
      <c r="F31" s="3" t="s">
        <v>27</v>
      </c>
      <c r="G31" s="3" t="s">
        <v>724</v>
      </c>
      <c r="H31" s="13">
        <v>1994</v>
      </c>
      <c r="I31" s="13"/>
      <c r="J31" s="10">
        <f xml:space="preserve"> (29098 + 43337 + 7349) * 1000000</f>
        <v>79784000000</v>
      </c>
      <c r="K31" s="3" t="s">
        <v>1655</v>
      </c>
      <c r="L31" s="3" t="s">
        <v>966</v>
      </c>
      <c r="M31" s="3" t="s">
        <v>965</v>
      </c>
      <c r="N31" s="3" t="s">
        <v>969</v>
      </c>
      <c r="O31" s="3" t="s">
        <v>967</v>
      </c>
      <c r="P31" s="3" t="s">
        <v>968</v>
      </c>
      <c r="Q31" s="3"/>
      <c r="R31" s="11" t="s">
        <v>963</v>
      </c>
      <c r="S31" s="11" t="s">
        <v>964</v>
      </c>
      <c r="T31" s="3"/>
      <c r="U31" s="3"/>
      <c r="V31" s="3"/>
      <c r="W31" s="10">
        <f>IF( J31="s.i", "s.i", IF(ISBLANK(J31),"Actualizando información",IFERROR(J31 / VLOOKUP(A31,Deflactor!$G$3:$H$64,2,0),"Revisar error" )))</f>
        <v>62394847146.902206</v>
      </c>
    </row>
    <row r="32" spans="1:44" x14ac:dyDescent="0.25">
      <c r="A32" s="3">
        <v>2019</v>
      </c>
      <c r="B32" s="3" t="s">
        <v>42</v>
      </c>
      <c r="C32" s="3" t="s">
        <v>7</v>
      </c>
      <c r="D32" s="3" t="s">
        <v>40</v>
      </c>
      <c r="E32" s="3" t="s">
        <v>43</v>
      </c>
      <c r="F32" s="3" t="s">
        <v>14</v>
      </c>
      <c r="G32" s="3" t="s">
        <v>724</v>
      </c>
      <c r="H32" s="13">
        <v>2009</v>
      </c>
      <c r="I32" s="13"/>
      <c r="J32" s="10">
        <f xml:space="preserve"> 6224 * 1000000</f>
        <v>6224000000</v>
      </c>
      <c r="K32" s="3" t="s">
        <v>1048</v>
      </c>
      <c r="L32" s="3" t="s">
        <v>972</v>
      </c>
      <c r="M32" s="3" t="s">
        <v>973</v>
      </c>
      <c r="N32" s="3" t="s">
        <v>974</v>
      </c>
      <c r="O32" s="3" t="s">
        <v>975</v>
      </c>
      <c r="P32" s="3" t="s">
        <v>976</v>
      </c>
      <c r="Q32" s="3"/>
      <c r="R32" s="11" t="s">
        <v>970</v>
      </c>
      <c r="S32" s="11" t="s">
        <v>971</v>
      </c>
      <c r="T32" s="3"/>
      <c r="U32" s="3"/>
      <c r="V32" s="3"/>
      <c r="W32" s="10">
        <f>IF( J32="s.i", "s.i", IF(ISBLANK(J32),"Actualizando información",IFERROR(J32 / VLOOKUP(A32,Deflactor!$G$3:$H$64,2,0),"Revisar error" )))</f>
        <v>4867461253.4132071</v>
      </c>
    </row>
    <row r="33" spans="1:23" x14ac:dyDescent="0.25">
      <c r="A33" s="3">
        <v>2019</v>
      </c>
      <c r="B33" s="3" t="s">
        <v>44</v>
      </c>
      <c r="C33" s="3" t="s">
        <v>7</v>
      </c>
      <c r="D33" s="3" t="s">
        <v>45</v>
      </c>
      <c r="E33" s="3" t="s">
        <v>46</v>
      </c>
      <c r="F33" s="3" t="s">
        <v>10</v>
      </c>
      <c r="G33" s="3" t="s">
        <v>724</v>
      </c>
      <c r="H33" s="13">
        <v>1993</v>
      </c>
      <c r="I33" s="13"/>
      <c r="J33" s="10">
        <f xml:space="preserve"> 7150999 * 1000000</f>
        <v>7150999000000</v>
      </c>
      <c r="K33" s="3" t="s">
        <v>1656</v>
      </c>
      <c r="L33" s="3" t="s">
        <v>982</v>
      </c>
      <c r="M33" s="3" t="s">
        <v>979</v>
      </c>
      <c r="N33" s="3" t="s">
        <v>980</v>
      </c>
      <c r="O33" s="3" t="s">
        <v>981</v>
      </c>
      <c r="P33" s="3" t="s">
        <v>983</v>
      </c>
      <c r="Q33" s="3"/>
      <c r="R33" s="11" t="s">
        <v>977</v>
      </c>
      <c r="S33" s="11" t="s">
        <v>978</v>
      </c>
      <c r="T33" s="3"/>
      <c r="U33" s="3"/>
      <c r="V33" s="3"/>
      <c r="W33" s="10">
        <f>IF( J33="s.i", "s.i", IF(ISBLANK(J33),"Actualizando información",IFERROR(J33 / VLOOKUP(A33,Deflactor!$G$3:$H$64,2,0),"Revisar error" )))</f>
        <v>5592418148408.835</v>
      </c>
    </row>
    <row r="34" spans="1:23" x14ac:dyDescent="0.25">
      <c r="A34" s="3">
        <v>2019</v>
      </c>
      <c r="B34" s="3" t="s">
        <v>47</v>
      </c>
      <c r="C34" s="3" t="s">
        <v>7</v>
      </c>
      <c r="D34" s="3" t="s">
        <v>48</v>
      </c>
      <c r="E34" s="3" t="s">
        <v>49</v>
      </c>
      <c r="F34" s="3" t="s">
        <v>10</v>
      </c>
      <c r="G34" s="3" t="s">
        <v>724</v>
      </c>
      <c r="H34" s="13">
        <v>1992</v>
      </c>
      <c r="I34" s="13"/>
      <c r="J34" s="10">
        <f xml:space="preserve"> 4712 * 1000000</f>
        <v>4712000000</v>
      </c>
      <c r="K34" s="3" t="s">
        <v>1651</v>
      </c>
      <c r="L34" s="3" t="s">
        <v>987</v>
      </c>
      <c r="M34" s="3" t="s">
        <v>986</v>
      </c>
      <c r="N34" s="3" t="s">
        <v>988</v>
      </c>
      <c r="O34" s="3" t="s">
        <v>989</v>
      </c>
      <c r="P34" s="3" t="s">
        <v>990</v>
      </c>
      <c r="Q34" s="3"/>
      <c r="R34" s="11" t="s">
        <v>984</v>
      </c>
      <c r="S34" s="11" t="s">
        <v>985</v>
      </c>
      <c r="T34" s="3"/>
      <c r="U34" s="3"/>
      <c r="V34" s="3"/>
      <c r="W34" s="10">
        <f>IF( J34="s.i", "s.i", IF(ISBLANK(J34),"Actualizando información",IFERROR(J34 / VLOOKUP(A34,Deflactor!$G$3:$H$64,2,0),"Revisar error" )))</f>
        <v>3685006013.188148</v>
      </c>
    </row>
    <row r="35" spans="1:23" x14ac:dyDescent="0.25">
      <c r="A35" s="3">
        <v>2018</v>
      </c>
      <c r="B35" s="3" t="s">
        <v>50</v>
      </c>
      <c r="C35" s="3" t="s">
        <v>7</v>
      </c>
      <c r="D35" s="3" t="s">
        <v>8</v>
      </c>
      <c r="E35" s="3" t="s">
        <v>51</v>
      </c>
      <c r="F35" s="3" t="s">
        <v>14</v>
      </c>
      <c r="G35" s="3" t="s">
        <v>724</v>
      </c>
      <c r="H35" s="13">
        <v>1997</v>
      </c>
      <c r="I35" s="13" t="s">
        <v>624</v>
      </c>
      <c r="J35" s="10">
        <v>40543883</v>
      </c>
      <c r="K35" s="3" t="s">
        <v>742</v>
      </c>
      <c r="L35" s="3" t="s">
        <v>743</v>
      </c>
      <c r="M35" s="3" t="s">
        <v>742</v>
      </c>
      <c r="N35" s="3" t="s">
        <v>744</v>
      </c>
      <c r="O35" s="3"/>
      <c r="P35" s="3"/>
      <c r="Q35" s="3"/>
      <c r="R35" s="3"/>
      <c r="S35" s="3"/>
      <c r="T35" s="3"/>
      <c r="U35" s="3"/>
      <c r="V35" s="3"/>
      <c r="W35" s="10">
        <f>IF( J35="s.i", "s.i", IF(ISBLANK(J35),"Actualizando información",IFERROR(J35 / VLOOKUP(A35,Deflactor!$G$3:$H$64,2,0),"Revisar error" )))</f>
        <v>32553369.4451956</v>
      </c>
    </row>
    <row r="36" spans="1:23" x14ac:dyDescent="0.25">
      <c r="A36" s="3">
        <v>2018</v>
      </c>
      <c r="B36" s="3" t="s">
        <v>52</v>
      </c>
      <c r="C36" s="3" t="s">
        <v>7</v>
      </c>
      <c r="D36" s="3" t="s">
        <v>20</v>
      </c>
      <c r="E36" s="3" t="s">
        <v>23</v>
      </c>
      <c r="F36" s="3" t="s">
        <v>10</v>
      </c>
      <c r="G36" s="3" t="s">
        <v>624</v>
      </c>
      <c r="H36" s="13">
        <v>2012</v>
      </c>
      <c r="I36" s="13" t="s">
        <v>624</v>
      </c>
      <c r="J36" s="10">
        <f xml:space="preserve"> 9622.8 * 1000000</f>
        <v>9622800000</v>
      </c>
      <c r="K36" s="3" t="s">
        <v>1046</v>
      </c>
      <c r="L36" s="3" t="s">
        <v>763</v>
      </c>
      <c r="M36" s="3" t="s">
        <v>761</v>
      </c>
      <c r="N36" s="3" t="s">
        <v>762</v>
      </c>
      <c r="O36" s="3" t="s">
        <v>764</v>
      </c>
      <c r="P36" s="3"/>
      <c r="Q36" s="3"/>
      <c r="R36" s="3" t="s">
        <v>765</v>
      </c>
      <c r="S36" s="3" t="s">
        <v>766</v>
      </c>
      <c r="T36" s="3" t="s">
        <v>767</v>
      </c>
      <c r="U36" s="3"/>
      <c r="V36" s="3"/>
      <c r="W36" s="10">
        <f>IF( J36="s.i", "s.i", IF(ISBLANK(J36),"Actualizando información",IFERROR(J36 / VLOOKUP(A36,Deflactor!$G$3:$H$64,2,0),"Revisar error" )))</f>
        <v>7726308886.0341339</v>
      </c>
    </row>
    <row r="37" spans="1:23" x14ac:dyDescent="0.25">
      <c r="A37" s="3">
        <v>2018</v>
      </c>
      <c r="B37" s="3" t="s">
        <v>53</v>
      </c>
      <c r="C37" s="3" t="s">
        <v>7</v>
      </c>
      <c r="D37" s="3" t="s">
        <v>54</v>
      </c>
      <c r="E37" s="3" t="s">
        <v>55</v>
      </c>
      <c r="F37" s="3" t="s">
        <v>10</v>
      </c>
      <c r="G37" s="3" t="s">
        <v>624</v>
      </c>
      <c r="H37" s="13">
        <v>2014</v>
      </c>
      <c r="I37" s="13" t="s">
        <v>624</v>
      </c>
      <c r="J37" s="10">
        <f xml:space="preserve"> 40949 * 1000000</f>
        <v>40949000000</v>
      </c>
      <c r="K37" s="3" t="s">
        <v>1658</v>
      </c>
      <c r="L37" s="3" t="s">
        <v>824</v>
      </c>
      <c r="M37" s="3" t="s">
        <v>825</v>
      </c>
      <c r="N37" s="3" t="s">
        <v>826</v>
      </c>
      <c r="O37" s="3" t="s">
        <v>827</v>
      </c>
      <c r="P37" s="3" t="s">
        <v>828</v>
      </c>
      <c r="Q37" s="3"/>
      <c r="R37" s="3" t="s">
        <v>821</v>
      </c>
      <c r="S37" s="3" t="s">
        <v>822</v>
      </c>
      <c r="T37" s="3" t="s">
        <v>823</v>
      </c>
      <c r="U37" s="3"/>
      <c r="V37" s="3"/>
      <c r="W37" s="10">
        <f>IF( J37="s.i", "s.i", IF(ISBLANK(J37),"Actualizando información",IFERROR(J37 / VLOOKUP(A37,Deflactor!$G$3:$H$64,2,0),"Revisar error" )))</f>
        <v>32878644736.896927</v>
      </c>
    </row>
    <row r="38" spans="1:23" x14ac:dyDescent="0.25">
      <c r="A38" s="3">
        <v>2018</v>
      </c>
      <c r="B38" s="3" t="s">
        <v>56</v>
      </c>
      <c r="C38" s="3" t="s">
        <v>7</v>
      </c>
      <c r="D38" s="3" t="s">
        <v>54</v>
      </c>
      <c r="E38" s="3" t="s">
        <v>55</v>
      </c>
      <c r="F38" s="3" t="s">
        <v>14</v>
      </c>
      <c r="G38" s="3" t="s">
        <v>624</v>
      </c>
      <c r="H38" s="13">
        <v>2008</v>
      </c>
      <c r="I38" s="13" t="s">
        <v>624</v>
      </c>
      <c r="J38" s="10">
        <f xml:space="preserve"> 143807 * 1000000</f>
        <v>143807000000</v>
      </c>
      <c r="K38" s="3" t="s">
        <v>1660</v>
      </c>
      <c r="L38" s="3" t="s">
        <v>832</v>
      </c>
      <c r="M38" s="3" t="s">
        <v>833</v>
      </c>
      <c r="N38" s="3" t="s">
        <v>834</v>
      </c>
      <c r="O38" s="3" t="s">
        <v>835</v>
      </c>
      <c r="P38" s="3"/>
      <c r="Q38" s="3"/>
      <c r="R38" s="3" t="s">
        <v>829</v>
      </c>
      <c r="S38" s="3" t="s">
        <v>830</v>
      </c>
      <c r="T38" s="3" t="s">
        <v>831</v>
      </c>
      <c r="U38" s="3"/>
      <c r="V38" s="3"/>
      <c r="W38" s="10">
        <f>IF( J38="s.i", "s.i", IF(ISBLANK(J38),"Actualizando información",IFERROR(J38 / VLOOKUP(A38,Deflactor!$G$3:$H$64,2,0),"Revisar error" )))</f>
        <v>115465072741.18871</v>
      </c>
    </row>
    <row r="39" spans="1:23" x14ac:dyDescent="0.25">
      <c r="A39" s="3">
        <v>2018</v>
      </c>
      <c r="B39" s="3" t="s">
        <v>57</v>
      </c>
      <c r="C39" s="3" t="s">
        <v>7</v>
      </c>
      <c r="D39" s="3" t="s">
        <v>12</v>
      </c>
      <c r="E39" s="3" t="s">
        <v>58</v>
      </c>
      <c r="F39" s="3" t="s">
        <v>10</v>
      </c>
      <c r="G39" s="3" t="s">
        <v>724</v>
      </c>
      <c r="H39" s="13">
        <v>2015</v>
      </c>
      <c r="I39" s="13" t="s">
        <v>745</v>
      </c>
      <c r="J39" s="10">
        <v>7036128</v>
      </c>
      <c r="K39" s="3" t="s">
        <v>1661</v>
      </c>
      <c r="L39" s="3" t="s">
        <v>746</v>
      </c>
      <c r="M39" s="3" t="s">
        <v>747</v>
      </c>
      <c r="N39" s="3" t="s">
        <v>764</v>
      </c>
      <c r="O39" s="3" t="s">
        <v>748</v>
      </c>
      <c r="P39" s="3"/>
      <c r="Q39" s="3"/>
      <c r="R39" s="3" t="s">
        <v>740</v>
      </c>
      <c r="S39" s="3" t="s">
        <v>741</v>
      </c>
      <c r="T39" s="3"/>
      <c r="U39" s="3"/>
      <c r="V39" s="3"/>
      <c r="W39" s="10">
        <f>IF( J39="s.i", "s.i", IF(ISBLANK(J39),"Actualizando información",IFERROR(J39 / VLOOKUP(A39,Deflactor!$G$3:$H$64,2,0),"Revisar error" )))</f>
        <v>5649426.1846524477</v>
      </c>
    </row>
    <row r="40" spans="1:23" x14ac:dyDescent="0.25">
      <c r="A40" s="3">
        <v>2018</v>
      </c>
      <c r="B40" s="3" t="s">
        <v>59</v>
      </c>
      <c r="C40" s="3" t="s">
        <v>7</v>
      </c>
      <c r="D40" s="3" t="s">
        <v>12</v>
      </c>
      <c r="E40" s="3" t="s">
        <v>58</v>
      </c>
      <c r="F40" s="3" t="s">
        <v>10</v>
      </c>
      <c r="G40" s="3" t="s">
        <v>724</v>
      </c>
      <c r="H40" s="13">
        <v>2015</v>
      </c>
      <c r="I40" s="13" t="s">
        <v>745</v>
      </c>
      <c r="J40" s="10">
        <v>7036128</v>
      </c>
      <c r="K40" s="3" t="s">
        <v>1661</v>
      </c>
      <c r="L40" s="3" t="s">
        <v>746</v>
      </c>
      <c r="M40" s="3" t="s">
        <v>747</v>
      </c>
      <c r="N40" s="3" t="s">
        <v>991</v>
      </c>
      <c r="O40" s="3"/>
      <c r="P40" s="3"/>
      <c r="Q40" s="3"/>
      <c r="R40" s="3" t="s">
        <v>740</v>
      </c>
      <c r="S40" s="3" t="s">
        <v>741</v>
      </c>
      <c r="T40" s="3"/>
      <c r="U40" s="3"/>
      <c r="V40" s="3"/>
      <c r="W40" s="10">
        <f>IF( J40="s.i", "s.i", IF(ISBLANK(J40),"Actualizando información",IFERROR(J40 / VLOOKUP(A40,Deflactor!$G$3:$H$64,2,0),"Revisar error" )))</f>
        <v>5649426.1846524477</v>
      </c>
    </row>
    <row r="41" spans="1:23" x14ac:dyDescent="0.25">
      <c r="A41" s="3">
        <v>2018</v>
      </c>
      <c r="B41" s="3" t="s">
        <v>60</v>
      </c>
      <c r="C41" s="3" t="s">
        <v>7</v>
      </c>
      <c r="D41" s="3" t="s">
        <v>12</v>
      </c>
      <c r="E41" s="3" t="s">
        <v>61</v>
      </c>
      <c r="F41" s="3" t="s">
        <v>30</v>
      </c>
      <c r="G41" s="3" t="s">
        <v>724</v>
      </c>
      <c r="H41" s="13">
        <v>2015</v>
      </c>
      <c r="I41" s="13" t="s">
        <v>745</v>
      </c>
      <c r="J41" s="10">
        <f xml:space="preserve"> 10960 * 1000000</f>
        <v>10960000000</v>
      </c>
      <c r="K41" s="3"/>
      <c r="L41" s="3" t="s">
        <v>749</v>
      </c>
      <c r="M41" s="3" t="s">
        <v>750</v>
      </c>
      <c r="N41" s="3" t="s">
        <v>751</v>
      </c>
      <c r="O41" s="3"/>
      <c r="P41" s="3"/>
      <c r="Q41" s="3"/>
      <c r="R41" s="3" t="s">
        <v>752</v>
      </c>
      <c r="S41" s="3" t="s">
        <v>753</v>
      </c>
      <c r="T41" s="3"/>
      <c r="U41" s="3"/>
      <c r="V41" s="3"/>
      <c r="W41" s="10">
        <f>IF( J41="s.i", "s.i", IF(ISBLANK(J41),"Actualizando información",IFERROR(J41 / VLOOKUP(A41,Deflactor!$G$3:$H$64,2,0),"Revisar error" )))</f>
        <v>8799969384.2679996</v>
      </c>
    </row>
    <row r="42" spans="1:23" x14ac:dyDescent="0.25">
      <c r="A42" s="3">
        <v>2018</v>
      </c>
      <c r="B42" s="3" t="s">
        <v>62</v>
      </c>
      <c r="C42" s="3" t="s">
        <v>7</v>
      </c>
      <c r="D42" s="3" t="s">
        <v>12</v>
      </c>
      <c r="E42" s="3" t="s">
        <v>61</v>
      </c>
      <c r="F42" s="3" t="s">
        <v>14</v>
      </c>
      <c r="G42" s="3" t="s">
        <v>624</v>
      </c>
      <c r="H42" s="13">
        <v>2014</v>
      </c>
      <c r="I42" s="13" t="s">
        <v>624</v>
      </c>
      <c r="J42" s="10">
        <f xml:space="preserve"> 28402 * 1000000</f>
        <v>28402000000</v>
      </c>
      <c r="K42" s="3" t="s">
        <v>1662</v>
      </c>
      <c r="L42" s="3" t="s">
        <v>754</v>
      </c>
      <c r="M42" s="3" t="s">
        <v>755</v>
      </c>
      <c r="N42" s="3" t="s">
        <v>758</v>
      </c>
      <c r="O42" s="3" t="s">
        <v>759</v>
      </c>
      <c r="P42" s="3" t="s">
        <v>760</v>
      </c>
      <c r="Q42" s="3"/>
      <c r="R42" s="11" t="s">
        <v>756</v>
      </c>
      <c r="S42" s="3" t="s">
        <v>757</v>
      </c>
      <c r="T42" s="3"/>
      <c r="U42" s="3"/>
      <c r="V42" s="3"/>
      <c r="W42" s="10">
        <f>IF( J42="s.i", "s.i", IF(ISBLANK(J42),"Actualizando información",IFERROR(J42 / VLOOKUP(A42,Deflactor!$G$3:$H$64,2,0),"Revisar error" )))</f>
        <v>22804446209.122238</v>
      </c>
    </row>
    <row r="43" spans="1:23" x14ac:dyDescent="0.25">
      <c r="A43" s="3">
        <v>2018</v>
      </c>
      <c r="B43" s="3" t="s">
        <v>63</v>
      </c>
      <c r="C43" s="3" t="s">
        <v>7</v>
      </c>
      <c r="D43" s="3" t="s">
        <v>64</v>
      </c>
      <c r="E43" s="3" t="s">
        <v>65</v>
      </c>
      <c r="F43" s="3" t="s">
        <v>27</v>
      </c>
      <c r="G43" s="3" t="s">
        <v>624</v>
      </c>
      <c r="H43" s="3">
        <v>2009</v>
      </c>
      <c r="I43" s="13" t="s">
        <v>624</v>
      </c>
      <c r="J43" s="10">
        <f xml:space="preserve"> 70930 * 1000000</f>
        <v>70930000000</v>
      </c>
      <c r="K43" s="3" t="s">
        <v>1669</v>
      </c>
      <c r="L43" s="3" t="s">
        <v>839</v>
      </c>
      <c r="M43" s="3" t="s">
        <v>840</v>
      </c>
      <c r="N43" s="3" t="s">
        <v>841</v>
      </c>
      <c r="O43" s="3" t="s">
        <v>842</v>
      </c>
      <c r="P43" s="3"/>
      <c r="Q43" s="3"/>
      <c r="R43" s="3" t="s">
        <v>836</v>
      </c>
      <c r="S43" s="3" t="s">
        <v>837</v>
      </c>
      <c r="T43" s="3" t="s">
        <v>838</v>
      </c>
      <c r="U43" s="3"/>
      <c r="V43" s="3"/>
      <c r="W43" s="10">
        <f>IF( J43="s.i", "s.i", IF(ISBLANK(J43),"Actualizando información",IFERROR(J43 / VLOOKUP(A43,Deflactor!$G$3:$H$64,2,0),"Revisar error" )))</f>
        <v>56950896754.20887</v>
      </c>
    </row>
    <row r="44" spans="1:23" x14ac:dyDescent="0.25">
      <c r="A44" s="3">
        <v>2018</v>
      </c>
      <c r="B44" s="3" t="s">
        <v>66</v>
      </c>
      <c r="C44" s="3" t="s">
        <v>67</v>
      </c>
      <c r="D44" s="3" t="s">
        <v>36</v>
      </c>
      <c r="E44" s="3" t="s">
        <v>68</v>
      </c>
      <c r="F44" s="3" t="s">
        <v>10</v>
      </c>
      <c r="G44" s="3" t="s">
        <v>624</v>
      </c>
      <c r="H44" s="3">
        <v>1993</v>
      </c>
      <c r="I44" s="13" t="s">
        <v>624</v>
      </c>
      <c r="J44" s="10">
        <f xml:space="preserve"> 6815 * 1000</f>
        <v>6815000</v>
      </c>
      <c r="K44" s="3"/>
      <c r="L44" s="3" t="s">
        <v>792</v>
      </c>
      <c r="M44" s="3" t="s">
        <v>793</v>
      </c>
      <c r="N44" s="3" t="s">
        <v>782</v>
      </c>
      <c r="O44" s="3" t="s">
        <v>783</v>
      </c>
      <c r="P44" s="3" t="s">
        <v>784</v>
      </c>
      <c r="Q44" s="3"/>
      <c r="R44" s="3" t="s">
        <v>785</v>
      </c>
      <c r="S44" s="3" t="s">
        <v>786</v>
      </c>
      <c r="T44" s="3" t="s">
        <v>787</v>
      </c>
      <c r="U44" s="3"/>
      <c r="V44" s="3"/>
      <c r="W44" s="10">
        <f>IF( J44="s.i", "s.i", IF(ISBLANK(J44),"Actualizando información",IFERROR(J44 / VLOOKUP(A44,Deflactor!$G$3:$H$64,2,0),"Revisar error" )))</f>
        <v>5471878.7731556948</v>
      </c>
    </row>
    <row r="45" spans="1:23" x14ac:dyDescent="0.25">
      <c r="A45" s="3">
        <v>2018</v>
      </c>
      <c r="B45" s="3" t="s">
        <v>69</v>
      </c>
      <c r="C45" s="3" t="s">
        <v>7</v>
      </c>
      <c r="D45" s="3" t="s">
        <v>20</v>
      </c>
      <c r="E45" s="3" t="s">
        <v>21</v>
      </c>
      <c r="F45" s="3" t="s">
        <v>14</v>
      </c>
      <c r="G45" s="3" t="s">
        <v>624</v>
      </c>
      <c r="H45" s="13">
        <v>2013</v>
      </c>
      <c r="I45" s="13" t="s">
        <v>624</v>
      </c>
      <c r="J45" s="10">
        <f xml:space="preserve"> 5764 * 1000000</f>
        <v>5764000000</v>
      </c>
      <c r="K45" s="3" t="s">
        <v>862</v>
      </c>
      <c r="L45" s="3" t="s">
        <v>768</v>
      </c>
      <c r="M45" s="3" t="s">
        <v>769</v>
      </c>
      <c r="N45" s="3" t="s">
        <v>770</v>
      </c>
      <c r="O45" s="3" t="s">
        <v>771</v>
      </c>
      <c r="P45" s="3" t="s">
        <v>772</v>
      </c>
      <c r="Q45" s="3"/>
      <c r="R45" s="3" t="s">
        <v>773</v>
      </c>
      <c r="S45" s="3" t="s">
        <v>774</v>
      </c>
      <c r="T45" s="3" t="s">
        <v>775</v>
      </c>
      <c r="U45" s="3"/>
      <c r="V45" s="3"/>
      <c r="W45" s="10">
        <f>IF( J45="s.i", "s.i", IF(ISBLANK(J45),"Actualizando información",IFERROR(J45 / VLOOKUP(A45,Deflactor!$G$3:$H$64,2,0),"Revisar error" )))</f>
        <v>4628013095.8869295</v>
      </c>
    </row>
    <row r="46" spans="1:23" x14ac:dyDescent="0.25">
      <c r="A46" s="3">
        <v>2018</v>
      </c>
      <c r="B46" s="3" t="s">
        <v>70</v>
      </c>
      <c r="C46" s="3" t="s">
        <v>7</v>
      </c>
      <c r="D46" s="3" t="s">
        <v>71</v>
      </c>
      <c r="E46" s="3" t="s">
        <v>72</v>
      </c>
      <c r="F46" s="3" t="s">
        <v>27</v>
      </c>
      <c r="G46" s="3" t="s">
        <v>624</v>
      </c>
      <c r="H46" s="13">
        <v>2000</v>
      </c>
      <c r="I46" s="13" t="s">
        <v>624</v>
      </c>
      <c r="J46" s="10">
        <f xml:space="preserve"> 61757322 * 1000</f>
        <v>61757322000</v>
      </c>
      <c r="K46" s="3" t="s">
        <v>1045</v>
      </c>
      <c r="L46" s="3" t="s">
        <v>843</v>
      </c>
      <c r="M46" s="3" t="s">
        <v>992</v>
      </c>
      <c r="N46" s="3" t="s">
        <v>993</v>
      </c>
      <c r="O46" s="3"/>
      <c r="P46" s="3"/>
      <c r="Q46" s="3"/>
      <c r="R46" s="3" t="s">
        <v>844</v>
      </c>
      <c r="S46" s="3" t="s">
        <v>845</v>
      </c>
      <c r="T46" s="3" t="s">
        <v>846</v>
      </c>
      <c r="U46" s="3"/>
      <c r="V46" s="3"/>
      <c r="W46" s="10">
        <f>IF( J46="s.i", "s.i", IF(ISBLANK(J46),"Actualizando información",IFERROR(J46 / VLOOKUP(A46,Deflactor!$G$3:$H$64,2,0),"Revisar error" )))</f>
        <v>49585998435.618668</v>
      </c>
    </row>
    <row r="47" spans="1:23" x14ac:dyDescent="0.25">
      <c r="A47" s="3">
        <v>2018</v>
      </c>
      <c r="B47" s="3" t="s">
        <v>73</v>
      </c>
      <c r="C47" s="3" t="s">
        <v>7</v>
      </c>
      <c r="D47" s="3" t="s">
        <v>74</v>
      </c>
      <c r="E47" s="3" t="s">
        <v>75</v>
      </c>
      <c r="F47" s="3" t="s">
        <v>30</v>
      </c>
      <c r="G47" s="3" t="s">
        <v>624</v>
      </c>
      <c r="H47" s="13">
        <v>2014</v>
      </c>
      <c r="I47" s="13" t="s">
        <v>624</v>
      </c>
      <c r="J47" s="10">
        <f xml:space="preserve"> 9599944 * 1000</f>
        <v>9599944000</v>
      </c>
      <c r="K47" s="3"/>
      <c r="L47" s="3" t="s">
        <v>994</v>
      </c>
      <c r="M47" s="3" t="s">
        <v>995</v>
      </c>
      <c r="N47" s="3" t="s">
        <v>996</v>
      </c>
      <c r="O47" s="3" t="s">
        <v>997</v>
      </c>
      <c r="P47" s="3" t="s">
        <v>998</v>
      </c>
      <c r="Q47" s="3"/>
      <c r="R47" s="3"/>
      <c r="S47" s="3"/>
      <c r="T47" s="3"/>
      <c r="U47" s="3"/>
      <c r="V47" s="3"/>
      <c r="W47" s="10">
        <f>IF( J47="s.i", "s.i", IF(ISBLANK(J47),"Actualizando información",IFERROR(J47 / VLOOKUP(A47,Deflactor!$G$3:$H$64,2,0),"Revisar error" )))</f>
        <v>7707957417.0335102</v>
      </c>
    </row>
    <row r="48" spans="1:23" x14ac:dyDescent="0.25">
      <c r="A48" s="3">
        <v>2018</v>
      </c>
      <c r="B48" s="3" t="s">
        <v>76</v>
      </c>
      <c r="C48" s="3" t="s">
        <v>7</v>
      </c>
      <c r="D48" s="3" t="s">
        <v>25</v>
      </c>
      <c r="E48" s="3" t="s">
        <v>26</v>
      </c>
      <c r="F48" s="3" t="s">
        <v>27</v>
      </c>
      <c r="G48" s="3" t="s">
        <v>624</v>
      </c>
      <c r="H48" s="13">
        <v>2014</v>
      </c>
      <c r="I48" s="13" t="s">
        <v>624</v>
      </c>
      <c r="J48" s="10">
        <f xml:space="preserve"> 13140 * 1000000</f>
        <v>13140000000</v>
      </c>
      <c r="K48" s="3" t="s">
        <v>1663</v>
      </c>
      <c r="L48" s="3" t="s">
        <v>776</v>
      </c>
      <c r="M48" s="3" t="s">
        <v>777</v>
      </c>
      <c r="N48" s="3" t="s">
        <v>778</v>
      </c>
      <c r="O48" s="3"/>
      <c r="P48" s="3"/>
      <c r="Q48" s="3"/>
      <c r="R48" s="3" t="s">
        <v>779</v>
      </c>
      <c r="S48" s="3" t="s">
        <v>780</v>
      </c>
      <c r="T48" s="3" t="s">
        <v>781</v>
      </c>
      <c r="U48" s="3"/>
      <c r="V48" s="3"/>
      <c r="W48" s="10">
        <f>IF( J48="s.i", "s.i", IF(ISBLANK(J48),"Actualizando información",IFERROR(J48 / VLOOKUP(A48,Deflactor!$G$3:$H$64,2,0),"Revisar error" )))</f>
        <v>10550328258.146124</v>
      </c>
    </row>
    <row r="49" spans="1:23" x14ac:dyDescent="0.25">
      <c r="A49" s="3">
        <v>2018</v>
      </c>
      <c r="B49" s="3" t="s">
        <v>77</v>
      </c>
      <c r="C49" s="3" t="s">
        <v>7</v>
      </c>
      <c r="D49" s="3" t="s">
        <v>25</v>
      </c>
      <c r="E49" s="3" t="s">
        <v>26</v>
      </c>
      <c r="F49" s="3" t="s">
        <v>10</v>
      </c>
      <c r="G49" s="3" t="s">
        <v>624</v>
      </c>
      <c r="H49" s="13">
        <v>2014</v>
      </c>
      <c r="I49" s="13" t="s">
        <v>624</v>
      </c>
      <c r="J49" s="10">
        <f xml:space="preserve"> 13140 * 1000000</f>
        <v>13140000000</v>
      </c>
      <c r="K49" s="3" t="s">
        <v>1663</v>
      </c>
      <c r="L49" s="3" t="s">
        <v>776</v>
      </c>
      <c r="M49" s="3" t="s">
        <v>777</v>
      </c>
      <c r="N49" s="3" t="s">
        <v>778</v>
      </c>
      <c r="O49" s="3"/>
      <c r="P49" s="3"/>
      <c r="Q49" s="3"/>
      <c r="R49" s="3" t="s">
        <v>779</v>
      </c>
      <c r="S49" s="3" t="s">
        <v>780</v>
      </c>
      <c r="T49" s="3" t="s">
        <v>781</v>
      </c>
      <c r="U49" s="3"/>
      <c r="V49" s="3"/>
      <c r="W49" s="10">
        <f>IF( J49="s.i", "s.i", IF(ISBLANK(J49),"Actualizando información",IFERROR(J49 / VLOOKUP(A49,Deflactor!$G$3:$H$64,2,0),"Revisar error" )))</f>
        <v>10550328258.146124</v>
      </c>
    </row>
    <row r="50" spans="1:23" x14ac:dyDescent="0.25">
      <c r="A50" s="3">
        <v>2018</v>
      </c>
      <c r="B50" s="3" t="s">
        <v>78</v>
      </c>
      <c r="C50" s="3" t="s">
        <v>7</v>
      </c>
      <c r="D50" s="3" t="s">
        <v>25</v>
      </c>
      <c r="E50" s="3" t="s">
        <v>26</v>
      </c>
      <c r="F50" s="3" t="s">
        <v>10</v>
      </c>
      <c r="G50" s="3" t="s">
        <v>624</v>
      </c>
      <c r="H50" s="13">
        <v>2014</v>
      </c>
      <c r="I50" s="13" t="s">
        <v>624</v>
      </c>
      <c r="J50" s="10">
        <f xml:space="preserve"> 13140 * 1000000</f>
        <v>13140000000</v>
      </c>
      <c r="K50" s="3" t="s">
        <v>1663</v>
      </c>
      <c r="L50" s="3" t="s">
        <v>776</v>
      </c>
      <c r="M50" s="3" t="s">
        <v>777</v>
      </c>
      <c r="N50" s="3" t="s">
        <v>778</v>
      </c>
      <c r="O50" s="3"/>
      <c r="P50" s="3"/>
      <c r="Q50" s="3"/>
      <c r="R50" s="3" t="s">
        <v>779</v>
      </c>
      <c r="S50" s="3" t="s">
        <v>780</v>
      </c>
      <c r="T50" s="3" t="s">
        <v>781</v>
      </c>
      <c r="U50" s="3"/>
      <c r="V50" s="3"/>
      <c r="W50" s="10">
        <f>IF( J50="s.i", "s.i", IF(ISBLANK(J50),"Actualizando información",IFERROR(J50 / VLOOKUP(A50,Deflactor!$G$3:$H$64,2,0),"Revisar error" )))</f>
        <v>10550328258.146124</v>
      </c>
    </row>
    <row r="51" spans="1:23" x14ac:dyDescent="0.25">
      <c r="A51" s="3">
        <v>2018</v>
      </c>
      <c r="B51" s="3" t="s">
        <v>79</v>
      </c>
      <c r="C51" s="3" t="s">
        <v>7</v>
      </c>
      <c r="D51" s="3" t="s">
        <v>36</v>
      </c>
      <c r="E51" s="3" t="s">
        <v>37</v>
      </c>
      <c r="F51" s="3" t="s">
        <v>27</v>
      </c>
      <c r="G51" s="3" t="s">
        <v>624</v>
      </c>
      <c r="H51" s="3">
        <v>2004</v>
      </c>
      <c r="I51" s="13" t="s">
        <v>624</v>
      </c>
      <c r="J51" s="10">
        <f xml:space="preserve"> 40497491 * 1000</f>
        <v>40497491000</v>
      </c>
      <c r="K51" s="3" t="s">
        <v>1049</v>
      </c>
      <c r="L51" s="3" t="s">
        <v>791</v>
      </c>
      <c r="M51" s="3" t="s">
        <v>789</v>
      </c>
      <c r="N51" s="3" t="s">
        <v>788</v>
      </c>
      <c r="O51" s="3" t="s">
        <v>790</v>
      </c>
      <c r="P51" s="3"/>
      <c r="Q51" s="3"/>
      <c r="R51" s="3" t="s">
        <v>779</v>
      </c>
      <c r="S51" s="3" t="s">
        <v>780</v>
      </c>
      <c r="T51" s="3" t="s">
        <v>781</v>
      </c>
      <c r="U51" s="3"/>
      <c r="V51" s="3"/>
      <c r="W51" s="10">
        <f>IF( J51="s.i", "s.i", IF(ISBLANK(J51),"Actualizando información",IFERROR(J51 / VLOOKUP(A51,Deflactor!$G$3:$H$64,2,0),"Revisar error" )))</f>
        <v>32516120523.692413</v>
      </c>
    </row>
    <row r="52" spans="1:23" x14ac:dyDescent="0.25">
      <c r="A52" s="3">
        <v>2018</v>
      </c>
      <c r="B52" s="3" t="s">
        <v>80</v>
      </c>
      <c r="C52" s="3" t="s">
        <v>7</v>
      </c>
      <c r="D52" s="3" t="s">
        <v>36</v>
      </c>
      <c r="E52" s="3" t="s">
        <v>81</v>
      </c>
      <c r="F52" s="3" t="s">
        <v>10</v>
      </c>
      <c r="G52" s="3" t="s">
        <v>624</v>
      </c>
      <c r="H52" s="13">
        <v>2009</v>
      </c>
      <c r="I52" s="13" t="s">
        <v>624</v>
      </c>
      <c r="J52" s="10">
        <f xml:space="preserve"> 1263672 * 1000</f>
        <v>1263672000</v>
      </c>
      <c r="K52" s="3" t="s">
        <v>764</v>
      </c>
      <c r="L52" s="3" t="s">
        <v>794</v>
      </c>
      <c r="M52" s="3" t="s">
        <v>795</v>
      </c>
      <c r="N52" s="3" t="s">
        <v>796</v>
      </c>
      <c r="O52" s="3" t="s">
        <v>797</v>
      </c>
      <c r="P52" s="3"/>
      <c r="Q52" s="3"/>
      <c r="R52" s="3" t="s">
        <v>798</v>
      </c>
      <c r="S52" s="3" t="s">
        <v>799</v>
      </c>
      <c r="T52" s="3"/>
      <c r="U52" s="3"/>
      <c r="V52" s="3"/>
      <c r="W52" s="10">
        <f>IF( J52="s.i", "s.i", IF(ISBLANK(J52),"Actualizando información",IFERROR(J52 / VLOOKUP(A52,Deflactor!$G$3:$H$64,2,0),"Revisar error" )))</f>
        <v>1014623623.3354664</v>
      </c>
    </row>
    <row r="53" spans="1:23" x14ac:dyDescent="0.25">
      <c r="A53" s="3">
        <v>2018</v>
      </c>
      <c r="B53" s="3" t="s">
        <v>82</v>
      </c>
      <c r="C53" s="3" t="s">
        <v>7</v>
      </c>
      <c r="D53" s="3" t="s">
        <v>36</v>
      </c>
      <c r="E53" s="3" t="s">
        <v>81</v>
      </c>
      <c r="F53" s="3" t="s">
        <v>14</v>
      </c>
      <c r="G53" s="3" t="s">
        <v>624</v>
      </c>
      <c r="H53" s="13">
        <v>2009</v>
      </c>
      <c r="I53" s="13" t="s">
        <v>624</v>
      </c>
      <c r="J53" s="10">
        <f xml:space="preserve"> 4983191 * 1000</f>
        <v>4983191000</v>
      </c>
      <c r="K53" s="3" t="s">
        <v>1666</v>
      </c>
      <c r="L53" s="3" t="s">
        <v>800</v>
      </c>
      <c r="M53" s="3" t="s">
        <v>801</v>
      </c>
      <c r="N53" s="3" t="s">
        <v>802</v>
      </c>
      <c r="O53" s="3" t="s">
        <v>803</v>
      </c>
      <c r="P53" s="3" t="s">
        <v>805</v>
      </c>
      <c r="Q53" s="3"/>
      <c r="R53" s="3" t="s">
        <v>804</v>
      </c>
      <c r="S53" s="3"/>
      <c r="T53" s="3"/>
      <c r="U53" s="3"/>
      <c r="V53" s="3"/>
      <c r="W53" s="10">
        <f>IF( J53="s.i", "s.i", IF(ISBLANK(J53),"Actualizando información",IFERROR(J53 / VLOOKUP(A53,Deflactor!$G$3:$H$64,2,0),"Revisar error" )))</f>
        <v>4001088342.6970654</v>
      </c>
    </row>
    <row r="54" spans="1:23" x14ac:dyDescent="0.25">
      <c r="A54" s="3">
        <v>2018</v>
      </c>
      <c r="B54" s="3" t="s">
        <v>83</v>
      </c>
      <c r="C54" s="3" t="s">
        <v>7</v>
      </c>
      <c r="D54" s="3" t="s">
        <v>36</v>
      </c>
      <c r="E54" s="3" t="s">
        <v>81</v>
      </c>
      <c r="F54" s="3" t="s">
        <v>27</v>
      </c>
      <c r="G54" s="3" t="s">
        <v>624</v>
      </c>
      <c r="H54" s="13">
        <v>2009</v>
      </c>
      <c r="I54" s="13" t="s">
        <v>624</v>
      </c>
      <c r="J54" s="10">
        <f xml:space="preserve"> 10259 * 1000000</f>
        <v>10259000000</v>
      </c>
      <c r="K54" s="3" t="s">
        <v>1047</v>
      </c>
      <c r="L54" s="3" t="s">
        <v>806</v>
      </c>
      <c r="M54" s="3" t="s">
        <v>809</v>
      </c>
      <c r="N54" s="3" t="s">
        <v>807</v>
      </c>
      <c r="O54" s="3" t="s">
        <v>808</v>
      </c>
      <c r="P54" s="3"/>
      <c r="Q54" s="3"/>
      <c r="R54" s="11" t="s">
        <v>810</v>
      </c>
      <c r="S54" s="3" t="s">
        <v>811</v>
      </c>
      <c r="T54" s="3" t="s">
        <v>812</v>
      </c>
      <c r="U54" s="3"/>
      <c r="V54" s="3"/>
      <c r="W54" s="10">
        <f>IF( J54="s.i", "s.i", IF(ISBLANK(J54),"Actualizando información",IFERROR(J54 / VLOOKUP(A54,Deflactor!$G$3:$H$64,2,0),"Revisar error" )))</f>
        <v>8237124627.117281</v>
      </c>
    </row>
    <row r="55" spans="1:23" x14ac:dyDescent="0.25">
      <c r="A55" s="3">
        <v>2018</v>
      </c>
      <c r="B55" s="3" t="s">
        <v>84</v>
      </c>
      <c r="C55" s="3" t="s">
        <v>7</v>
      </c>
      <c r="D55" s="3" t="s">
        <v>36</v>
      </c>
      <c r="E55" s="3" t="s">
        <v>81</v>
      </c>
      <c r="F55" s="3" t="s">
        <v>10</v>
      </c>
      <c r="G55" s="3" t="s">
        <v>624</v>
      </c>
      <c r="H55" s="13">
        <v>2015</v>
      </c>
      <c r="I55" s="13" t="s">
        <v>624</v>
      </c>
      <c r="J55" s="10">
        <f xml:space="preserve"> 34248 * 1000000</f>
        <v>34248000000</v>
      </c>
      <c r="K55" s="3" t="s">
        <v>1047</v>
      </c>
      <c r="L55" s="3" t="s">
        <v>806</v>
      </c>
      <c r="M55" s="3" t="s">
        <v>809</v>
      </c>
      <c r="N55" s="3" t="s">
        <v>807</v>
      </c>
      <c r="O55" s="3" t="s">
        <v>808</v>
      </c>
      <c r="P55" s="3"/>
      <c r="Q55" s="3"/>
      <c r="R55" s="11" t="s">
        <v>810</v>
      </c>
      <c r="S55" s="3" t="s">
        <v>811</v>
      </c>
      <c r="T55" s="3" t="s">
        <v>812</v>
      </c>
      <c r="U55" s="3"/>
      <c r="V55" s="3"/>
      <c r="W55" s="10">
        <f>IF( J55="s.i", "s.i", IF(ISBLANK(J55),"Actualizando información",IFERROR(J55 / VLOOKUP(A55,Deflactor!$G$3:$H$64,2,0),"Revisar error" )))</f>
        <v>27498298492.008251</v>
      </c>
    </row>
    <row r="56" spans="1:23" x14ac:dyDescent="0.25">
      <c r="A56" s="3">
        <v>2018</v>
      </c>
      <c r="B56" s="3" t="s">
        <v>85</v>
      </c>
      <c r="C56" s="3" t="s">
        <v>7</v>
      </c>
      <c r="D56" s="3" t="s">
        <v>40</v>
      </c>
      <c r="E56" s="3" t="s">
        <v>41</v>
      </c>
      <c r="F56" s="3" t="s">
        <v>10</v>
      </c>
      <c r="G56" s="3" t="s">
        <v>624</v>
      </c>
      <c r="H56" s="13">
        <v>2012</v>
      </c>
      <c r="I56" s="13" t="s">
        <v>624</v>
      </c>
      <c r="J56" s="10">
        <f xml:space="preserve"> 39178854 * 1000</f>
        <v>39178854000</v>
      </c>
      <c r="K56" s="3" t="s">
        <v>2287</v>
      </c>
      <c r="L56" s="3" t="s">
        <v>813</v>
      </c>
      <c r="M56" s="3" t="s">
        <v>814</v>
      </c>
      <c r="N56" s="3" t="s">
        <v>815</v>
      </c>
      <c r="O56" s="3" t="s">
        <v>816</v>
      </c>
      <c r="P56" s="3" t="s">
        <v>817</v>
      </c>
      <c r="Q56" s="3"/>
      <c r="R56" s="3" t="s">
        <v>818</v>
      </c>
      <c r="S56" s="3" t="s">
        <v>819</v>
      </c>
      <c r="T56" s="3" t="s">
        <v>820</v>
      </c>
      <c r="U56" s="3"/>
      <c r="V56" s="3"/>
      <c r="W56" s="10">
        <f>IF( J56="s.i", "s.i", IF(ISBLANK(J56),"Actualizando información",IFERROR(J56 / VLOOKUP(A56,Deflactor!$G$3:$H$64,2,0),"Revisar error" )))</f>
        <v>31457364572.144691</v>
      </c>
    </row>
    <row r="57" spans="1:23" x14ac:dyDescent="0.25">
      <c r="A57" s="3">
        <v>2017</v>
      </c>
      <c r="B57" s="3" t="s">
        <v>86</v>
      </c>
      <c r="C57" s="3" t="s">
        <v>7</v>
      </c>
      <c r="D57" s="3" t="s">
        <v>87</v>
      </c>
      <c r="E57" s="3" t="s">
        <v>88</v>
      </c>
      <c r="F57" s="3" t="s">
        <v>89</v>
      </c>
      <c r="G57" s="3" t="s">
        <v>724</v>
      </c>
      <c r="H57" s="13">
        <v>2013</v>
      </c>
      <c r="I57" s="13"/>
      <c r="J57" s="10">
        <f xml:space="preserve"> 13058655 * 1000000</f>
        <v>13058655000000</v>
      </c>
      <c r="K57" s="3" t="s">
        <v>1670</v>
      </c>
      <c r="L57" s="3" t="s">
        <v>1017</v>
      </c>
      <c r="M57" s="3" t="s">
        <v>1019</v>
      </c>
      <c r="N57" s="3" t="s">
        <v>1018</v>
      </c>
      <c r="O57" s="3" t="s">
        <v>1015</v>
      </c>
      <c r="P57" s="3" t="s">
        <v>1016</v>
      </c>
      <c r="Q57" s="3"/>
      <c r="R57" s="11" t="s">
        <v>1013</v>
      </c>
      <c r="S57" s="11" t="s">
        <v>1014</v>
      </c>
      <c r="T57" s="3"/>
      <c r="U57" s="3" t="s">
        <v>1199</v>
      </c>
      <c r="V57" s="3"/>
      <c r="W57" s="10">
        <f>IF( J57="s.i", "s.i", IF(ISBLANK(J57),"Actualizando información",IFERROR(J57 / VLOOKUP(A57,Deflactor!$G$3:$H$64,2,0),"Revisar error" )))</f>
        <v>10732511591624.725</v>
      </c>
    </row>
    <row r="58" spans="1:23" x14ac:dyDescent="0.25">
      <c r="A58" s="3">
        <v>2017</v>
      </c>
      <c r="B58" s="3" t="s">
        <v>90</v>
      </c>
      <c r="C58" s="3" t="s">
        <v>67</v>
      </c>
      <c r="D58" s="3" t="s">
        <v>32</v>
      </c>
      <c r="E58" s="3" t="s">
        <v>33</v>
      </c>
      <c r="F58" s="3" t="s">
        <v>10</v>
      </c>
      <c r="G58" s="3" t="s">
        <v>724</v>
      </c>
      <c r="H58" s="13">
        <v>2013</v>
      </c>
      <c r="I58" s="13"/>
      <c r="J58" s="10">
        <f xml:space="preserve"> 8868820 * 1000</f>
        <v>8868820000</v>
      </c>
      <c r="K58" s="3" t="s">
        <v>1654</v>
      </c>
      <c r="L58" s="3" t="s">
        <v>1137</v>
      </c>
      <c r="M58" s="3" t="s">
        <v>1136</v>
      </c>
      <c r="N58" s="3" t="s">
        <v>1138</v>
      </c>
      <c r="O58" s="3" t="s">
        <v>1139</v>
      </c>
      <c r="P58" s="3" t="s">
        <v>1140</v>
      </c>
      <c r="Q58" s="3"/>
      <c r="R58" s="11" t="s">
        <v>1134</v>
      </c>
      <c r="S58" s="11" t="s">
        <v>1135</v>
      </c>
      <c r="T58" s="3"/>
      <c r="U58" s="3"/>
      <c r="V58" s="3"/>
      <c r="W58" s="10">
        <f>IF( J58="s.i", "s.i", IF(ISBLANK(J58),"Actualizando información",IFERROR(J58 / VLOOKUP(A58,Deflactor!$G$3:$H$64,2,0),"Revisar error" )))</f>
        <v>7289013566.4073505</v>
      </c>
    </row>
    <row r="59" spans="1:23" x14ac:dyDescent="0.25">
      <c r="A59" s="3">
        <v>2017</v>
      </c>
      <c r="B59" s="3" t="s">
        <v>91</v>
      </c>
      <c r="C59" s="3" t="s">
        <v>92</v>
      </c>
      <c r="D59" s="3" t="s">
        <v>36</v>
      </c>
      <c r="E59" s="3" t="s">
        <v>37</v>
      </c>
      <c r="F59" s="3" t="s">
        <v>10</v>
      </c>
      <c r="G59" s="3" t="s">
        <v>724</v>
      </c>
      <c r="H59" s="13">
        <v>2014</v>
      </c>
      <c r="I59" s="13"/>
      <c r="J59" s="10">
        <f xml:space="preserve"> 16848165 * 1000</f>
        <v>16848165000</v>
      </c>
      <c r="K59" s="3" t="s">
        <v>1671</v>
      </c>
      <c r="L59" s="3" t="s">
        <v>1155</v>
      </c>
      <c r="M59" s="3" t="s">
        <v>1156</v>
      </c>
      <c r="N59" s="3" t="s">
        <v>1157</v>
      </c>
      <c r="O59" s="3" t="s">
        <v>1158</v>
      </c>
      <c r="P59" s="3" t="s">
        <v>1159</v>
      </c>
      <c r="Q59" s="3"/>
      <c r="R59" s="11" t="s">
        <v>1152</v>
      </c>
      <c r="S59" s="11" t="s">
        <v>1153</v>
      </c>
      <c r="T59" s="11" t="s">
        <v>1154</v>
      </c>
      <c r="U59" s="3"/>
      <c r="V59" s="3"/>
      <c r="W59" s="10">
        <f>IF( J59="s.i", "s.i", IF(ISBLANK(J59),"Actualizando información",IFERROR(J59 / VLOOKUP(A59,Deflactor!$G$3:$H$64,2,0),"Revisar error" )))</f>
        <v>13846994668.295162</v>
      </c>
    </row>
    <row r="60" spans="1:23" x14ac:dyDescent="0.25">
      <c r="A60" s="3">
        <v>2017</v>
      </c>
      <c r="B60" s="3" t="s">
        <v>93</v>
      </c>
      <c r="C60" s="3" t="s">
        <v>7</v>
      </c>
      <c r="D60" s="3" t="s">
        <v>36</v>
      </c>
      <c r="E60" s="3" t="s">
        <v>94</v>
      </c>
      <c r="F60" s="3" t="s">
        <v>95</v>
      </c>
      <c r="G60" s="3" t="s">
        <v>724</v>
      </c>
      <c r="H60" s="13">
        <v>1981</v>
      </c>
      <c r="I60" s="13"/>
      <c r="J60" s="10">
        <f xml:space="preserve"> 90298449 * 1000</f>
        <v>90298449000</v>
      </c>
      <c r="K60" s="3" t="s">
        <v>2303</v>
      </c>
      <c r="L60" s="3" t="s">
        <v>1165</v>
      </c>
      <c r="M60" s="3" t="s">
        <v>1166</v>
      </c>
      <c r="N60" s="3" t="s">
        <v>1167</v>
      </c>
      <c r="O60" s="3" t="s">
        <v>1168</v>
      </c>
      <c r="P60" s="3" t="s">
        <v>1169</v>
      </c>
      <c r="Q60" s="3" t="s">
        <v>1170</v>
      </c>
      <c r="R60" s="11" t="s">
        <v>1160</v>
      </c>
      <c r="S60" s="11" t="s">
        <v>1161</v>
      </c>
      <c r="T60" s="3"/>
      <c r="U60" s="3" t="s">
        <v>96</v>
      </c>
      <c r="V60" s="3"/>
      <c r="W60" s="10">
        <f>IF( J60="s.i", "s.i", IF(ISBLANK(J60),"Actualizando información",IFERROR(J60 / VLOOKUP(A60,Deflactor!$G$3:$H$64,2,0),"Revisar error" )))</f>
        <v>74213550369.332367</v>
      </c>
    </row>
    <row r="61" spans="1:23" x14ac:dyDescent="0.25">
      <c r="A61" s="3">
        <v>2017</v>
      </c>
      <c r="B61" s="3" t="s">
        <v>96</v>
      </c>
      <c r="C61" s="3" t="s">
        <v>7</v>
      </c>
      <c r="D61" s="3" t="s">
        <v>36</v>
      </c>
      <c r="E61" s="3" t="s">
        <v>94</v>
      </c>
      <c r="F61" s="3" t="s">
        <v>95</v>
      </c>
      <c r="G61" s="3" t="s">
        <v>724</v>
      </c>
      <c r="H61" s="13">
        <v>1981</v>
      </c>
      <c r="I61" s="13"/>
      <c r="J61" s="10">
        <f xml:space="preserve"> 90298449 * 1000</f>
        <v>90298449000</v>
      </c>
      <c r="K61" s="3" t="s">
        <v>2303</v>
      </c>
      <c r="L61" s="3" t="s">
        <v>1165</v>
      </c>
      <c r="M61" s="3" t="s">
        <v>1166</v>
      </c>
      <c r="N61" s="3" t="s">
        <v>1167</v>
      </c>
      <c r="O61" s="3" t="s">
        <v>1168</v>
      </c>
      <c r="P61" s="3" t="s">
        <v>1169</v>
      </c>
      <c r="Q61" s="3" t="s">
        <v>1170</v>
      </c>
      <c r="R61" s="11" t="s">
        <v>1162</v>
      </c>
      <c r="S61" s="11" t="s">
        <v>1163</v>
      </c>
      <c r="T61" s="11" t="s">
        <v>1164</v>
      </c>
      <c r="U61" s="3" t="s">
        <v>96</v>
      </c>
      <c r="V61" s="3"/>
      <c r="W61" s="10">
        <f>IF( J61="s.i", "s.i", IF(ISBLANK(J61),"Actualizando información",IFERROR(J61 / VLOOKUP(A61,Deflactor!$G$3:$H$64,2,0),"Revisar error" )))</f>
        <v>74213550369.332367</v>
      </c>
    </row>
    <row r="62" spans="1:23" x14ac:dyDescent="0.25">
      <c r="A62" s="3">
        <v>2017</v>
      </c>
      <c r="B62" s="3" t="s">
        <v>97</v>
      </c>
      <c r="C62" s="3" t="s">
        <v>7</v>
      </c>
      <c r="D62" s="3" t="s">
        <v>36</v>
      </c>
      <c r="E62" s="3" t="s">
        <v>98</v>
      </c>
      <c r="F62" s="3" t="s">
        <v>95</v>
      </c>
      <c r="G62" s="3" t="s">
        <v>624</v>
      </c>
      <c r="H62" s="13">
        <v>1990</v>
      </c>
      <c r="I62" s="3" t="s">
        <v>624</v>
      </c>
      <c r="J62" s="10">
        <f xml:space="preserve"> 13089972 * 1000</f>
        <v>13089972000</v>
      </c>
      <c r="K62" s="3" t="s">
        <v>2289</v>
      </c>
      <c r="L62" s="3" t="s">
        <v>1174</v>
      </c>
      <c r="M62" s="3" t="s">
        <v>1175</v>
      </c>
      <c r="N62" s="3" t="s">
        <v>1176</v>
      </c>
      <c r="O62" s="3" t="s">
        <v>1177</v>
      </c>
      <c r="P62" s="3" t="s">
        <v>1178</v>
      </c>
      <c r="Q62" s="3"/>
      <c r="R62" s="11" t="s">
        <v>1171</v>
      </c>
      <c r="S62" s="11" t="s">
        <v>1172</v>
      </c>
      <c r="T62" s="11" t="s">
        <v>1173</v>
      </c>
      <c r="U62" s="3" t="s">
        <v>1179</v>
      </c>
      <c r="V62" s="3"/>
      <c r="W62" s="10">
        <f>IF( J62="s.i", "s.i", IF(ISBLANK(J62),"Actualizando información",IFERROR(J62 / VLOOKUP(A62,Deflactor!$G$3:$H$64,2,0),"Revisar error" )))</f>
        <v>10758250081.960438</v>
      </c>
    </row>
    <row r="63" spans="1:23" x14ac:dyDescent="0.25">
      <c r="A63" s="3">
        <v>2017</v>
      </c>
      <c r="B63" s="3" t="s">
        <v>99</v>
      </c>
      <c r="C63" s="3" t="s">
        <v>7</v>
      </c>
      <c r="D63" s="3" t="s">
        <v>36</v>
      </c>
      <c r="E63" s="3" t="s">
        <v>81</v>
      </c>
      <c r="F63" s="3" t="s">
        <v>89</v>
      </c>
      <c r="G63" s="3" t="s">
        <v>724</v>
      </c>
      <c r="H63" s="13">
        <v>1981</v>
      </c>
      <c r="I63" s="13"/>
      <c r="J63" s="10">
        <f xml:space="preserve"> 27041864 * 1000000</f>
        <v>27041864000000</v>
      </c>
      <c r="K63" s="3" t="s">
        <v>1790</v>
      </c>
      <c r="L63" s="3" t="s">
        <v>1185</v>
      </c>
      <c r="M63" s="3" t="s">
        <v>1186</v>
      </c>
      <c r="N63" s="3" t="s">
        <v>1184</v>
      </c>
      <c r="O63" s="3" t="s">
        <v>1187</v>
      </c>
      <c r="P63" s="3" t="s">
        <v>1188</v>
      </c>
      <c r="Q63" s="3" t="s">
        <v>1183</v>
      </c>
      <c r="R63" s="11" t="s">
        <v>1180</v>
      </c>
      <c r="S63" s="11" t="s">
        <v>1181</v>
      </c>
      <c r="T63" s="11" t="s">
        <v>1182</v>
      </c>
      <c r="U63" s="3" t="s">
        <v>99</v>
      </c>
      <c r="V63" s="3"/>
      <c r="W63" s="10">
        <f>IF( J63="s.i", "s.i", IF(ISBLANK(J63),"Actualizando información",IFERROR(J63 / VLOOKUP(A63,Deflactor!$G$3:$H$64,2,0),"Revisar error" )))</f>
        <v>22224886011548.609</v>
      </c>
    </row>
    <row r="64" spans="1:23" x14ac:dyDescent="0.25">
      <c r="A64" s="3">
        <v>2017</v>
      </c>
      <c r="B64" s="3" t="s">
        <v>100</v>
      </c>
      <c r="C64" s="3" t="s">
        <v>7</v>
      </c>
      <c r="D64" s="3" t="s">
        <v>87</v>
      </c>
      <c r="E64" s="3" t="s">
        <v>88</v>
      </c>
      <c r="F64" s="3" t="s">
        <v>89</v>
      </c>
      <c r="G64" s="3" t="s">
        <v>724</v>
      </c>
      <c r="H64" s="13">
        <v>2015</v>
      </c>
      <c r="I64" s="13"/>
      <c r="J64" s="10">
        <f xml:space="preserve"> 20334675 * 1000000</f>
        <v>20334675000000</v>
      </c>
      <c r="K64" s="3" t="s">
        <v>1668</v>
      </c>
      <c r="L64" s="3" t="s">
        <v>1020</v>
      </c>
      <c r="M64" s="3" t="s">
        <v>1021</v>
      </c>
      <c r="N64" s="3" t="s">
        <v>1022</v>
      </c>
      <c r="O64" s="3" t="s">
        <v>1015</v>
      </c>
      <c r="P64" s="3" t="s">
        <v>1016</v>
      </c>
      <c r="Q64" s="3"/>
      <c r="R64" s="11" t="s">
        <v>1032</v>
      </c>
      <c r="S64" s="11" t="s">
        <v>1033</v>
      </c>
      <c r="T64" s="11" t="s">
        <v>1034</v>
      </c>
      <c r="U64" s="3" t="s">
        <v>1199</v>
      </c>
      <c r="V64" s="3"/>
      <c r="W64" s="10">
        <f>IF( J64="s.i", "s.i", IF(ISBLANK(J64),"Actualizando información",IFERROR(J64 / VLOOKUP(A64,Deflactor!$G$3:$H$64,2,0),"Revisar error" )))</f>
        <v>16712451255464.02</v>
      </c>
    </row>
    <row r="65" spans="1:23" x14ac:dyDescent="0.25">
      <c r="A65" s="3">
        <v>2017</v>
      </c>
      <c r="B65" s="3" t="s">
        <v>101</v>
      </c>
      <c r="C65" s="3" t="s">
        <v>7</v>
      </c>
      <c r="D65" s="3" t="s">
        <v>32</v>
      </c>
      <c r="E65" s="3" t="s">
        <v>33</v>
      </c>
      <c r="F65" s="3" t="s">
        <v>89</v>
      </c>
      <c r="G65" s="3" t="s">
        <v>724</v>
      </c>
      <c r="H65" s="13">
        <v>2006</v>
      </c>
      <c r="I65" s="13"/>
      <c r="J65" s="10">
        <f xml:space="preserve"> 57390 * 1000000</f>
        <v>57390000000</v>
      </c>
      <c r="K65" s="3" t="s">
        <v>1864</v>
      </c>
      <c r="L65" s="3" t="s">
        <v>1192</v>
      </c>
      <c r="M65" s="3" t="s">
        <v>1193</v>
      </c>
      <c r="N65" s="3" t="s">
        <v>1194</v>
      </c>
      <c r="O65" s="3" t="s">
        <v>1195</v>
      </c>
      <c r="P65" s="3" t="s">
        <v>1196</v>
      </c>
      <c r="Q65" s="3" t="s">
        <v>1197</v>
      </c>
      <c r="R65" s="11" t="s">
        <v>1189</v>
      </c>
      <c r="S65" s="11" t="s">
        <v>1190</v>
      </c>
      <c r="T65" s="11" t="s">
        <v>1191</v>
      </c>
      <c r="U65" s="3" t="s">
        <v>101</v>
      </c>
      <c r="V65" s="3"/>
      <c r="W65" s="10">
        <f>IF( J65="s.i", "s.i", IF(ISBLANK(J65),"Actualizando información",IFERROR(J65 / VLOOKUP(A65,Deflactor!$G$3:$H$64,2,0),"Revisar error" )))</f>
        <v>47167096476.883942</v>
      </c>
    </row>
    <row r="66" spans="1:23" x14ac:dyDescent="0.25">
      <c r="A66" s="3">
        <v>2017</v>
      </c>
      <c r="B66" s="3" t="s">
        <v>102</v>
      </c>
      <c r="C66" s="3" t="s">
        <v>7</v>
      </c>
      <c r="D66" s="3" t="s">
        <v>87</v>
      </c>
      <c r="E66" s="3" t="s">
        <v>88</v>
      </c>
      <c r="F66" s="3" t="s">
        <v>89</v>
      </c>
      <c r="G66" s="3" t="s">
        <v>724</v>
      </c>
      <c r="H66" s="13">
        <v>2014</v>
      </c>
      <c r="I66" s="13"/>
      <c r="J66" s="10">
        <f xml:space="preserve"> 8586768 * 1000000</f>
        <v>8586768000000</v>
      </c>
      <c r="K66" s="3" t="s">
        <v>2291</v>
      </c>
      <c r="L66" s="3" t="s">
        <v>1026</v>
      </c>
      <c r="M66" s="3" t="s">
        <v>1027</v>
      </c>
      <c r="N66" s="3" t="s">
        <v>1028</v>
      </c>
      <c r="O66" s="3" t="s">
        <v>1015</v>
      </c>
      <c r="P66" s="3" t="s">
        <v>1016</v>
      </c>
      <c r="Q66" s="3"/>
      <c r="R66" s="11" t="s">
        <v>1035</v>
      </c>
      <c r="S66" s="11" t="s">
        <v>1036</v>
      </c>
      <c r="T66" s="11" t="s">
        <v>1037</v>
      </c>
      <c r="U66" s="3" t="s">
        <v>1199</v>
      </c>
      <c r="V66" s="3"/>
      <c r="W66" s="10">
        <f>IF( J66="s.i", "s.i", IF(ISBLANK(J66),"Actualizando información",IFERROR(J66 / VLOOKUP(A66,Deflactor!$G$3:$H$64,2,0),"Revisar error" )))</f>
        <v>7057203601335.0723</v>
      </c>
    </row>
    <row r="67" spans="1:23" x14ac:dyDescent="0.25">
      <c r="A67" s="3">
        <v>2017</v>
      </c>
      <c r="B67" s="3" t="s">
        <v>103</v>
      </c>
      <c r="C67" s="3" t="s">
        <v>7</v>
      </c>
      <c r="D67" s="3" t="s">
        <v>54</v>
      </c>
      <c r="E67" s="3" t="s">
        <v>55</v>
      </c>
      <c r="F67" s="3" t="s">
        <v>95</v>
      </c>
      <c r="G67" s="3" t="s">
        <v>724</v>
      </c>
      <c r="H67" s="13">
        <v>2006</v>
      </c>
      <c r="I67" s="13"/>
      <c r="J67" s="10">
        <f xml:space="preserve"> 8332 * 1000000</f>
        <v>8332000000</v>
      </c>
      <c r="K67" s="3" t="s">
        <v>1672</v>
      </c>
      <c r="L67" s="3" t="s">
        <v>1203</v>
      </c>
      <c r="M67" s="3" t="s">
        <v>1204</v>
      </c>
      <c r="N67" s="3" t="s">
        <v>1206</v>
      </c>
      <c r="O67" s="3" t="s">
        <v>1207</v>
      </c>
      <c r="P67" s="3" t="s">
        <v>1208</v>
      </c>
      <c r="Q67" s="3" t="s">
        <v>1205</v>
      </c>
      <c r="R67" s="11" t="s">
        <v>1200</v>
      </c>
      <c r="S67" s="11" t="s">
        <v>1201</v>
      </c>
      <c r="T67" s="11" t="s">
        <v>1202</v>
      </c>
      <c r="U67" s="3"/>
      <c r="V67" s="3"/>
      <c r="W67" s="10">
        <f>IF( J67="s.i", "s.i", IF(ISBLANK(J67),"Actualizando información",IFERROR(J67 / VLOOKUP(A67,Deflactor!$G$3:$H$64,2,0),"Revisar error" )))</f>
        <v>6847817526.4923687</v>
      </c>
    </row>
    <row r="68" spans="1:23" x14ac:dyDescent="0.25">
      <c r="A68" s="3">
        <v>2017</v>
      </c>
      <c r="B68" s="3" t="s">
        <v>104</v>
      </c>
      <c r="C68" s="3" t="s">
        <v>7</v>
      </c>
      <c r="D68" s="3" t="s">
        <v>12</v>
      </c>
      <c r="E68" s="3" t="s">
        <v>105</v>
      </c>
      <c r="F68" s="3" t="s">
        <v>89</v>
      </c>
      <c r="G68" s="3" t="s">
        <v>724</v>
      </c>
      <c r="H68" s="13">
        <v>2014</v>
      </c>
      <c r="I68" s="13"/>
      <c r="J68" s="10">
        <f xml:space="preserve"> 12792579 * 1000</f>
        <v>12792579000</v>
      </c>
      <c r="K68" s="3" t="s">
        <v>1655</v>
      </c>
      <c r="L68" s="3" t="s">
        <v>1211</v>
      </c>
      <c r="M68" s="3" t="s">
        <v>1212</v>
      </c>
      <c r="N68" s="3" t="s">
        <v>1213</v>
      </c>
      <c r="O68" s="3" t="s">
        <v>1214</v>
      </c>
      <c r="P68" s="3" t="s">
        <v>1216</v>
      </c>
      <c r="Q68" s="3" t="s">
        <v>1215</v>
      </c>
      <c r="R68" s="11" t="s">
        <v>1209</v>
      </c>
      <c r="S68" s="11" t="s">
        <v>1210</v>
      </c>
      <c r="T68" s="3"/>
      <c r="U68" s="3" t="s">
        <v>758</v>
      </c>
      <c r="V68" s="3"/>
      <c r="W68" s="10">
        <f>IF( J68="s.i", "s.i", IF(ISBLANK(J68),"Actualizando información",IFERROR(J68 / VLOOKUP(A68,Deflactor!$G$3:$H$64,2,0),"Revisar error" )))</f>
        <v>10513831815.319036</v>
      </c>
    </row>
    <row r="69" spans="1:23" x14ac:dyDescent="0.25">
      <c r="A69" s="3">
        <v>2017</v>
      </c>
      <c r="B69" s="3" t="s">
        <v>106</v>
      </c>
      <c r="C69" s="3" t="s">
        <v>7</v>
      </c>
      <c r="D69" s="3" t="s">
        <v>107</v>
      </c>
      <c r="E69" s="3" t="s">
        <v>108</v>
      </c>
      <c r="F69" s="3" t="s">
        <v>95</v>
      </c>
      <c r="G69" s="3" t="s">
        <v>724</v>
      </c>
      <c r="H69" s="13">
        <v>2013</v>
      </c>
      <c r="I69" s="13"/>
      <c r="J69" s="10">
        <f xml:space="preserve"> 12814 * 1000000</f>
        <v>12814000000</v>
      </c>
      <c r="K69" s="3" t="s">
        <v>1673</v>
      </c>
      <c r="L69" s="3" t="s">
        <v>1224</v>
      </c>
      <c r="M69" s="3" t="s">
        <v>1225</v>
      </c>
      <c r="N69" s="3" t="s">
        <v>1226</v>
      </c>
      <c r="O69" s="3" t="s">
        <v>1227</v>
      </c>
      <c r="P69" s="3" t="s">
        <v>1228</v>
      </c>
      <c r="Q69" s="3" t="s">
        <v>1223</v>
      </c>
      <c r="R69" s="11" t="s">
        <v>1220</v>
      </c>
      <c r="S69" s="11" t="s">
        <v>1221</v>
      </c>
      <c r="T69" s="11" t="s">
        <v>1222</v>
      </c>
      <c r="U69" s="3"/>
      <c r="V69" s="3"/>
      <c r="W69" s="10">
        <f>IF( J69="s.i", "s.i", IF(ISBLANK(J69),"Actualizando información",IFERROR(J69 / VLOOKUP(A69,Deflactor!$G$3:$H$64,2,0),"Revisar error" )))</f>
        <v>10531437084.070236</v>
      </c>
    </row>
    <row r="70" spans="1:23" x14ac:dyDescent="0.25">
      <c r="A70" s="3">
        <v>2017</v>
      </c>
      <c r="B70" s="3" t="s">
        <v>109</v>
      </c>
      <c r="C70" s="3" t="s">
        <v>7</v>
      </c>
      <c r="D70" s="3" t="s">
        <v>87</v>
      </c>
      <c r="E70" s="3" t="s">
        <v>88</v>
      </c>
      <c r="F70" s="3" t="s">
        <v>89</v>
      </c>
      <c r="G70" s="3" t="s">
        <v>724</v>
      </c>
      <c r="H70" s="13">
        <v>2002</v>
      </c>
      <c r="I70" s="13"/>
      <c r="J70" s="10">
        <f xml:space="preserve"> 6577906 * 1000000</f>
        <v>6577906000000</v>
      </c>
      <c r="K70" s="3" t="s">
        <v>2290</v>
      </c>
      <c r="L70" s="3" t="s">
        <v>1023</v>
      </c>
      <c r="M70" s="3" t="s">
        <v>1024</v>
      </c>
      <c r="N70" s="3" t="s">
        <v>1025</v>
      </c>
      <c r="O70" s="3" t="s">
        <v>1015</v>
      </c>
      <c r="P70" s="3" t="s">
        <v>1016</v>
      </c>
      <c r="Q70" s="3"/>
      <c r="R70" s="11" t="s">
        <v>1038</v>
      </c>
      <c r="S70" s="11" t="s">
        <v>1039</v>
      </c>
      <c r="T70" s="11" t="s">
        <v>1040</v>
      </c>
      <c r="U70" s="3" t="s">
        <v>1199</v>
      </c>
      <c r="V70" s="3"/>
      <c r="W70" s="10">
        <f>IF( J70="s.i", "s.i", IF(ISBLANK(J70),"Actualizando información",IFERROR(J70 / VLOOKUP(A70,Deflactor!$G$3:$H$64,2,0),"Revisar error" )))</f>
        <v>5406180988288.4434</v>
      </c>
    </row>
    <row r="71" spans="1:23" x14ac:dyDescent="0.25">
      <c r="A71" s="3">
        <v>2017</v>
      </c>
      <c r="B71" s="3" t="s">
        <v>110</v>
      </c>
      <c r="C71" s="3" t="s">
        <v>7</v>
      </c>
      <c r="D71" s="3" t="s">
        <v>87</v>
      </c>
      <c r="E71" s="3" t="s">
        <v>88</v>
      </c>
      <c r="F71" s="3" t="s">
        <v>89</v>
      </c>
      <c r="G71" s="3" t="s">
        <v>724</v>
      </c>
      <c r="H71" s="13">
        <v>2015</v>
      </c>
      <c r="I71" s="13"/>
      <c r="J71" s="10">
        <f xml:space="preserve"> 9208672 * 1000000</f>
        <v>9208672000000</v>
      </c>
      <c r="K71" s="3" t="s">
        <v>2290</v>
      </c>
      <c r="L71" s="3" t="s">
        <v>1029</v>
      </c>
      <c r="M71" s="3" t="s">
        <v>1030</v>
      </c>
      <c r="N71" s="3" t="s">
        <v>1031</v>
      </c>
      <c r="O71" s="3" t="s">
        <v>1015</v>
      </c>
      <c r="P71" s="3" t="s">
        <v>1016</v>
      </c>
      <c r="Q71" s="3"/>
      <c r="R71" s="11" t="s">
        <v>1041</v>
      </c>
      <c r="S71" s="11" t="s">
        <v>1042</v>
      </c>
      <c r="T71" s="11" t="s">
        <v>1043</v>
      </c>
      <c r="U71" s="3" t="s">
        <v>1199</v>
      </c>
      <c r="V71" s="3"/>
      <c r="W71" s="10">
        <f>IF( J71="s.i", "s.i", IF(ISBLANK(J71),"Actualizando información",IFERROR(J71 / VLOOKUP(A71,Deflactor!$G$3:$H$64,2,0),"Revisar error" )))</f>
        <v>7568327594493.4629</v>
      </c>
    </row>
    <row r="72" spans="1:23" x14ac:dyDescent="0.25">
      <c r="A72" s="3">
        <v>2017</v>
      </c>
      <c r="B72" s="3" t="s">
        <v>111</v>
      </c>
      <c r="C72" s="3" t="s">
        <v>7</v>
      </c>
      <c r="D72" s="3" t="s">
        <v>36</v>
      </c>
      <c r="E72" s="3" t="s">
        <v>81</v>
      </c>
      <c r="F72" s="3" t="s">
        <v>95</v>
      </c>
      <c r="G72" s="3" t="s">
        <v>724</v>
      </c>
      <c r="H72" s="13">
        <v>1991</v>
      </c>
      <c r="I72" s="13"/>
      <c r="J72" s="10">
        <f xml:space="preserve"> 8240855 * 1000000</f>
        <v>8240855000000</v>
      </c>
      <c r="K72" s="3" t="s">
        <v>1791</v>
      </c>
      <c r="L72" s="3" t="s">
        <v>1239</v>
      </c>
      <c r="M72" s="3" t="s">
        <v>1238</v>
      </c>
      <c r="N72" s="3" t="s">
        <v>1240</v>
      </c>
      <c r="O72" s="3" t="s">
        <v>1241</v>
      </c>
      <c r="P72" s="3" t="s">
        <v>1242</v>
      </c>
      <c r="Q72" s="3" t="s">
        <v>1237</v>
      </c>
      <c r="R72" s="11" t="s">
        <v>1243</v>
      </c>
      <c r="S72" s="11" t="s">
        <v>1244</v>
      </c>
      <c r="T72" s="11" t="s">
        <v>1245</v>
      </c>
      <c r="U72" s="3"/>
      <c r="V72" s="3"/>
      <c r="W72" s="10">
        <f>IF( J72="s.i", "s.i", IF(ISBLANK(J72),"Actualizando información",IFERROR(J72 / VLOOKUP(A72,Deflactor!$G$3:$H$64,2,0),"Revisar error" )))</f>
        <v>6772908221589.3262</v>
      </c>
    </row>
    <row r="73" spans="1:23" x14ac:dyDescent="0.25">
      <c r="A73" s="3">
        <v>2017</v>
      </c>
      <c r="B73" s="3" t="s">
        <v>112</v>
      </c>
      <c r="C73" s="3" t="s">
        <v>7</v>
      </c>
      <c r="D73" s="3" t="s">
        <v>54</v>
      </c>
      <c r="E73" s="3" t="s">
        <v>55</v>
      </c>
      <c r="F73" s="3" t="s">
        <v>30</v>
      </c>
      <c r="G73" s="3" t="s">
        <v>724</v>
      </c>
      <c r="H73" s="13">
        <v>2015</v>
      </c>
      <c r="I73" s="13"/>
      <c r="J73" s="10">
        <f xml:space="preserve"> 3679766 * 1000000</f>
        <v>3679766000000</v>
      </c>
      <c r="K73" s="3" t="s">
        <v>2288</v>
      </c>
      <c r="L73" s="3" t="s">
        <v>1129</v>
      </c>
      <c r="M73" s="3" t="s">
        <v>1130</v>
      </c>
      <c r="N73" s="3" t="s">
        <v>1131</v>
      </c>
      <c r="O73" s="3" t="s">
        <v>1132</v>
      </c>
      <c r="P73" s="3" t="s">
        <v>1133</v>
      </c>
      <c r="Q73" s="3" t="s">
        <v>1128</v>
      </c>
      <c r="R73" s="11" t="s">
        <v>1125</v>
      </c>
      <c r="S73" s="11" t="s">
        <v>1126</v>
      </c>
      <c r="T73" s="11" t="s">
        <v>1127</v>
      </c>
      <c r="U73" s="3"/>
      <c r="V73" s="3"/>
      <c r="W73" s="10">
        <f>IF( J73="s.i", "s.i", IF(ISBLANK(J73),"Actualizando información",IFERROR(J73 / VLOOKUP(A73,Deflactor!$G$3:$H$64,2,0),"Revisar error" )))</f>
        <v>3024287819033.9316</v>
      </c>
    </row>
    <row r="74" spans="1:23" x14ac:dyDescent="0.25">
      <c r="A74" s="3">
        <v>2017</v>
      </c>
      <c r="B74" s="3" t="s">
        <v>113</v>
      </c>
      <c r="C74" s="3" t="s">
        <v>7</v>
      </c>
      <c r="D74" s="3" t="s">
        <v>54</v>
      </c>
      <c r="E74" s="3" t="s">
        <v>55</v>
      </c>
      <c r="F74" s="3" t="s">
        <v>95</v>
      </c>
      <c r="G74" s="3" t="s">
        <v>724</v>
      </c>
      <c r="H74" s="13">
        <v>2014</v>
      </c>
      <c r="I74" s="13"/>
      <c r="J74" s="10">
        <f xml:space="preserve"> 17015612 * 1000000</f>
        <v>17015612000000</v>
      </c>
      <c r="K74" s="3" t="s">
        <v>1677</v>
      </c>
      <c r="L74" s="3" t="s">
        <v>1249</v>
      </c>
      <c r="M74" s="3" t="s">
        <v>1250</v>
      </c>
      <c r="N74" s="3" t="s">
        <v>1251</v>
      </c>
      <c r="O74" s="3" t="s">
        <v>1252</v>
      </c>
      <c r="P74" s="3" t="s">
        <v>1253</v>
      </c>
      <c r="Q74" s="3"/>
      <c r="R74" s="11" t="s">
        <v>1246</v>
      </c>
      <c r="S74" s="11" t="s">
        <v>1247</v>
      </c>
      <c r="T74" s="11" t="s">
        <v>1248</v>
      </c>
      <c r="U74" s="3"/>
      <c r="V74" s="3"/>
      <c r="W74" s="10">
        <f>IF( J74="s.i", "s.i", IF(ISBLANK(J74),"Actualizando información",IFERROR(J74 / VLOOKUP(A74,Deflactor!$G$3:$H$64,2,0),"Revisar error" )))</f>
        <v>13984614267594.078</v>
      </c>
    </row>
    <row r="75" spans="1:23" x14ac:dyDescent="0.25">
      <c r="A75" s="3">
        <v>2017</v>
      </c>
      <c r="B75" s="3" t="s">
        <v>114</v>
      </c>
      <c r="C75" s="3" t="s">
        <v>7</v>
      </c>
      <c r="D75" s="3" t="s">
        <v>54</v>
      </c>
      <c r="E75" s="3" t="s">
        <v>55</v>
      </c>
      <c r="F75" s="3" t="s">
        <v>89</v>
      </c>
      <c r="G75" s="3" t="s">
        <v>724</v>
      </c>
      <c r="H75" s="13">
        <v>2013</v>
      </c>
      <c r="I75" s="13"/>
      <c r="J75" s="10">
        <f xml:space="preserve"> 26622592 * 1000000</f>
        <v>26622592000000</v>
      </c>
      <c r="K75" s="3" t="s">
        <v>1676</v>
      </c>
      <c r="L75" s="3" t="s">
        <v>1257</v>
      </c>
      <c r="M75" s="3" t="s">
        <v>1258</v>
      </c>
      <c r="N75" s="3" t="s">
        <v>1261</v>
      </c>
      <c r="O75" s="3" t="s">
        <v>1259</v>
      </c>
      <c r="P75" s="3" t="s">
        <v>1260</v>
      </c>
      <c r="Q75" s="3"/>
      <c r="R75" s="11" t="s">
        <v>1254</v>
      </c>
      <c r="S75" s="11" t="s">
        <v>1255</v>
      </c>
      <c r="T75" s="11" t="s">
        <v>1256</v>
      </c>
      <c r="U75" s="3"/>
      <c r="V75" s="3"/>
      <c r="W75" s="10">
        <f>IF( J75="s.i", "s.i", IF(ISBLANK(J75),"Actualizando información",IFERROR(J75 / VLOOKUP(A75,Deflactor!$G$3:$H$64,2,0),"Revisar error" )))</f>
        <v>21880299099646.605</v>
      </c>
    </row>
    <row r="76" spans="1:23" x14ac:dyDescent="0.25">
      <c r="A76" s="3">
        <v>2017</v>
      </c>
      <c r="B76" s="3" t="s">
        <v>115</v>
      </c>
      <c r="C76" s="3" t="s">
        <v>7</v>
      </c>
      <c r="D76" s="3" t="s">
        <v>107</v>
      </c>
      <c r="E76" s="3" t="s">
        <v>108</v>
      </c>
      <c r="F76" s="3" t="s">
        <v>89</v>
      </c>
      <c r="G76" s="3" t="s">
        <v>724</v>
      </c>
      <c r="H76" s="13">
        <v>2015</v>
      </c>
      <c r="I76" s="13"/>
      <c r="J76" s="10">
        <f xml:space="preserve"> 1261 * 1000000</f>
        <v>1261000000</v>
      </c>
      <c r="K76" s="3" t="s">
        <v>1673</v>
      </c>
      <c r="L76" s="3" t="s">
        <v>1229</v>
      </c>
      <c r="M76" s="3" t="s">
        <v>1230</v>
      </c>
      <c r="N76" s="3" t="s">
        <v>1231</v>
      </c>
      <c r="O76" s="3" t="s">
        <v>1232</v>
      </c>
      <c r="P76" s="3" t="s">
        <v>1233</v>
      </c>
      <c r="Q76" s="3"/>
      <c r="R76" s="11" t="s">
        <v>1234</v>
      </c>
      <c r="S76" s="11" t="s">
        <v>1235</v>
      </c>
      <c r="T76" s="11" t="s">
        <v>1236</v>
      </c>
      <c r="U76" s="3"/>
      <c r="V76" s="3"/>
      <c r="W76" s="10">
        <f>IF( J76="s.i", "s.i", IF(ISBLANK(J76),"Actualizando información",IFERROR(J76 / VLOOKUP(A76,Deflactor!$G$3:$H$64,2,0),"Revisar error" )))</f>
        <v>1036377568.5197884</v>
      </c>
    </row>
    <row r="77" spans="1:23" x14ac:dyDescent="0.25">
      <c r="A77" s="3">
        <v>2017</v>
      </c>
      <c r="B77" s="3" t="s">
        <v>116</v>
      </c>
      <c r="C77" s="3" t="s">
        <v>7</v>
      </c>
      <c r="D77" s="3" t="s">
        <v>25</v>
      </c>
      <c r="E77" s="3" t="s">
        <v>117</v>
      </c>
      <c r="F77" s="3" t="s">
        <v>30</v>
      </c>
      <c r="G77" s="3" t="s">
        <v>624</v>
      </c>
      <c r="H77" s="13">
        <v>2014</v>
      </c>
      <c r="I77" s="13" t="s">
        <v>624</v>
      </c>
      <c r="J77" s="10">
        <f xml:space="preserve"> 38171814 * 1000000</f>
        <v>38171814000000</v>
      </c>
      <c r="K77" s="3" t="s">
        <v>1664</v>
      </c>
      <c r="L77" s="3" t="s">
        <v>1265</v>
      </c>
      <c r="M77" s="3" t="s">
        <v>1266</v>
      </c>
      <c r="N77" s="3" t="s">
        <v>1267</v>
      </c>
      <c r="O77" s="3" t="s">
        <v>1268</v>
      </c>
      <c r="P77" s="3" t="s">
        <v>1269</v>
      </c>
      <c r="Q77" s="3"/>
      <c r="R77" s="11" t="s">
        <v>1262</v>
      </c>
      <c r="S77" s="11" t="s">
        <v>1263</v>
      </c>
      <c r="T77" s="11" t="s">
        <v>1264</v>
      </c>
      <c r="U77" s="3" t="s">
        <v>1272</v>
      </c>
      <c r="V77" s="3"/>
      <c r="W77" s="10">
        <f>IF( J77="s.i", "s.i", IF(ISBLANK(J77),"Actualizando información",IFERROR(J77 / VLOOKUP(A77,Deflactor!$G$3:$H$64,2,0),"Revisar error" )))</f>
        <v>31372253591839.508</v>
      </c>
    </row>
    <row r="78" spans="1:23" x14ac:dyDescent="0.25">
      <c r="A78" s="3">
        <v>2017</v>
      </c>
      <c r="B78" s="3" t="s">
        <v>118</v>
      </c>
      <c r="C78" s="3" t="s">
        <v>7</v>
      </c>
      <c r="D78" s="3" t="s">
        <v>25</v>
      </c>
      <c r="E78" s="3" t="s">
        <v>117</v>
      </c>
      <c r="F78" s="3" t="s">
        <v>30</v>
      </c>
      <c r="G78" s="3" t="s">
        <v>624</v>
      </c>
      <c r="H78" s="13">
        <v>2014</v>
      </c>
      <c r="I78" s="13" t="s">
        <v>624</v>
      </c>
      <c r="J78" s="10">
        <f xml:space="preserve"> 38171814 * 1000000</f>
        <v>38171814000000</v>
      </c>
      <c r="K78" s="3" t="s">
        <v>1664</v>
      </c>
      <c r="L78" s="3" t="s">
        <v>1265</v>
      </c>
      <c r="M78" s="3" t="s">
        <v>1266</v>
      </c>
      <c r="N78" s="3" t="s">
        <v>1267</v>
      </c>
      <c r="O78" s="3" t="s">
        <v>1268</v>
      </c>
      <c r="P78" s="3" t="s">
        <v>1269</v>
      </c>
      <c r="Q78" s="3"/>
      <c r="R78" s="11" t="s">
        <v>1270</v>
      </c>
      <c r="S78" s="11" t="s">
        <v>1271</v>
      </c>
      <c r="T78" s="3"/>
      <c r="U78" s="3" t="s">
        <v>1272</v>
      </c>
      <c r="V78" s="3"/>
      <c r="W78" s="10">
        <f>IF( J78="s.i", "s.i", IF(ISBLANK(J78),"Actualizando información",IFERROR(J78 / VLOOKUP(A78,Deflactor!$G$3:$H$64,2,0),"Revisar error" )))</f>
        <v>31372253591839.508</v>
      </c>
    </row>
    <row r="79" spans="1:23" x14ac:dyDescent="0.25">
      <c r="A79" s="3">
        <v>2017</v>
      </c>
      <c r="B79" s="3" t="s">
        <v>119</v>
      </c>
      <c r="C79" s="3" t="s">
        <v>7</v>
      </c>
      <c r="D79" s="3" t="s">
        <v>20</v>
      </c>
      <c r="E79" s="3" t="s">
        <v>120</v>
      </c>
      <c r="F79" s="3" t="s">
        <v>95</v>
      </c>
      <c r="G79" s="3" t="s">
        <v>624</v>
      </c>
      <c r="H79" s="13">
        <v>2004</v>
      </c>
      <c r="I79" s="13" t="s">
        <v>624</v>
      </c>
      <c r="J79" s="10">
        <f xml:space="preserve"> 11502842 * 1000000</f>
        <v>11502842000000</v>
      </c>
      <c r="K79" s="3" t="s">
        <v>1675</v>
      </c>
      <c r="L79" s="3" t="s">
        <v>1277</v>
      </c>
      <c r="M79" s="3" t="s">
        <v>1276</v>
      </c>
      <c r="N79" s="3" t="s">
        <v>1278</v>
      </c>
      <c r="O79" s="3" t="s">
        <v>1279</v>
      </c>
      <c r="P79" s="3" t="s">
        <v>1280</v>
      </c>
      <c r="Q79" s="3"/>
      <c r="R79" s="11" t="s">
        <v>1273</v>
      </c>
      <c r="S79" s="11" t="s">
        <v>1274</v>
      </c>
      <c r="T79" s="11" t="s">
        <v>1275</v>
      </c>
      <c r="U79" s="3"/>
      <c r="V79" s="3"/>
      <c r="W79" s="10">
        <f>IF( J79="s.i", "s.i", IF(ISBLANK(J79),"Actualizando información",IFERROR(J79 / VLOOKUP(A79,Deflactor!$G$3:$H$64,2,0),"Revisar error" )))</f>
        <v>9453836180037.5098</v>
      </c>
    </row>
    <row r="80" spans="1:23" x14ac:dyDescent="0.25">
      <c r="A80" s="3">
        <v>2017</v>
      </c>
      <c r="B80" s="3" t="s">
        <v>121</v>
      </c>
      <c r="C80" s="3" t="s">
        <v>7</v>
      </c>
      <c r="D80" s="3" t="s">
        <v>64</v>
      </c>
      <c r="E80" s="3" t="s">
        <v>65</v>
      </c>
      <c r="F80" s="3" t="s">
        <v>95</v>
      </c>
      <c r="G80" s="3" t="s">
        <v>724</v>
      </c>
      <c r="H80" s="13">
        <v>2004</v>
      </c>
      <c r="I80" s="13"/>
      <c r="J80" s="10">
        <f xml:space="preserve"> 18378 * 1000000</f>
        <v>18378000000</v>
      </c>
      <c r="K80" s="3" t="s">
        <v>2292</v>
      </c>
      <c r="L80" s="3" t="s">
        <v>1287</v>
      </c>
      <c r="M80" s="3" t="s">
        <v>1284</v>
      </c>
      <c r="N80" s="3" t="s">
        <v>1285</v>
      </c>
      <c r="O80" s="3" t="s">
        <v>1286</v>
      </c>
      <c r="P80" s="3" t="s">
        <v>1288</v>
      </c>
      <c r="Q80" s="3"/>
      <c r="R80" s="11" t="s">
        <v>1281</v>
      </c>
      <c r="S80" s="11" t="s">
        <v>1282</v>
      </c>
      <c r="T80" s="11" t="s">
        <v>1283</v>
      </c>
      <c r="U80" s="3"/>
      <c r="V80" s="3"/>
      <c r="W80" s="10">
        <f>IF( J80="s.i", "s.i", IF(ISBLANK(J80),"Actualizando información",IFERROR(J80 / VLOOKUP(A80,Deflactor!$G$3:$H$64,2,0),"Revisar error" )))</f>
        <v>15104319551.353426</v>
      </c>
    </row>
    <row r="81" spans="1:23" x14ac:dyDescent="0.25">
      <c r="A81" s="3">
        <v>2017</v>
      </c>
      <c r="B81" s="3" t="s">
        <v>122</v>
      </c>
      <c r="C81" s="3" t="s">
        <v>7</v>
      </c>
      <c r="D81" s="3" t="s">
        <v>32</v>
      </c>
      <c r="E81" s="3" t="s">
        <v>33</v>
      </c>
      <c r="F81" s="3" t="s">
        <v>30</v>
      </c>
      <c r="G81" s="3" t="s">
        <v>724</v>
      </c>
      <c r="H81" s="13">
        <v>2015</v>
      </c>
      <c r="I81" s="13"/>
      <c r="J81" s="10">
        <f xml:space="preserve"> 246302903 * 1000</f>
        <v>246302903000</v>
      </c>
      <c r="K81" s="3" t="s">
        <v>1654</v>
      </c>
      <c r="L81" s="3" t="s">
        <v>1294</v>
      </c>
      <c r="M81" s="3" t="s">
        <v>1292</v>
      </c>
      <c r="N81" s="3" t="s">
        <v>1293</v>
      </c>
      <c r="O81" s="3" t="s">
        <v>1295</v>
      </c>
      <c r="P81" s="3" t="s">
        <v>1296</v>
      </c>
      <c r="Q81" s="3"/>
      <c r="R81" s="11" t="s">
        <v>1289</v>
      </c>
      <c r="S81" s="11" t="s">
        <v>1290</v>
      </c>
      <c r="T81" s="11" t="s">
        <v>1291</v>
      </c>
      <c r="U81" s="3" t="s">
        <v>1198</v>
      </c>
      <c r="V81" s="3"/>
      <c r="W81" s="10">
        <f>IF( J81="s.i", "s.i", IF(ISBLANK(J81),"Actualizando información",IFERROR(J81 / VLOOKUP(A81,Deflactor!$G$3:$H$64,2,0),"Revisar error" )))</f>
        <v>202428868937.75201</v>
      </c>
    </row>
    <row r="82" spans="1:23" x14ac:dyDescent="0.25">
      <c r="A82" s="3">
        <v>2016</v>
      </c>
      <c r="B82" s="3" t="s">
        <v>123</v>
      </c>
      <c r="C82" s="3" t="s">
        <v>7</v>
      </c>
      <c r="D82" s="3" t="s">
        <v>40</v>
      </c>
      <c r="E82" s="3" t="s">
        <v>43</v>
      </c>
      <c r="F82" s="3" t="s">
        <v>89</v>
      </c>
      <c r="G82" s="3" t="s">
        <v>724</v>
      </c>
      <c r="H82" s="13">
        <v>2008</v>
      </c>
      <c r="I82" s="13" t="s">
        <v>624</v>
      </c>
      <c r="J82" s="10">
        <f xml:space="preserve"> 33740927 * 1000</f>
        <v>33740927000</v>
      </c>
      <c r="K82" s="3" t="s">
        <v>2285</v>
      </c>
      <c r="L82" s="3" t="s">
        <v>1337</v>
      </c>
      <c r="M82" s="3" t="s">
        <v>1338</v>
      </c>
      <c r="N82" s="3" t="s">
        <v>1339</v>
      </c>
      <c r="O82" s="3" t="s">
        <v>1340</v>
      </c>
      <c r="P82" s="3"/>
      <c r="Q82" s="3"/>
      <c r="R82" s="3" t="s">
        <v>1341</v>
      </c>
      <c r="S82" s="3" t="s">
        <v>1342</v>
      </c>
      <c r="T82" s="3" t="s">
        <v>1343</v>
      </c>
      <c r="U82" s="3" t="s">
        <v>1612</v>
      </c>
      <c r="V82" s="3"/>
      <c r="W82" s="10">
        <f>IF( J82="s.i", "s.i", IF(ISBLANK(J82),"Actualizando información",IFERROR(J82 / VLOOKUP(A82,Deflactor!$G$3:$H$64,2,0),"Revisar error" )))</f>
        <v>29056725512.718685</v>
      </c>
    </row>
    <row r="83" spans="1:23" x14ac:dyDescent="0.25">
      <c r="A83" s="3">
        <v>2016</v>
      </c>
      <c r="B83" s="3" t="s">
        <v>124</v>
      </c>
      <c r="C83" s="3" t="s">
        <v>7</v>
      </c>
      <c r="D83" s="3" t="s">
        <v>40</v>
      </c>
      <c r="E83" s="3" t="s">
        <v>43</v>
      </c>
      <c r="F83" s="3" t="s">
        <v>89</v>
      </c>
      <c r="G83" s="3" t="s">
        <v>724</v>
      </c>
      <c r="H83" s="13">
        <v>2008</v>
      </c>
      <c r="I83" s="13" t="s">
        <v>624</v>
      </c>
      <c r="J83" s="10">
        <f xml:space="preserve"> 33740927 * 1000</f>
        <v>33740927000</v>
      </c>
      <c r="K83" s="3" t="s">
        <v>2285</v>
      </c>
      <c r="L83" s="3" t="s">
        <v>1337</v>
      </c>
      <c r="M83" s="3" t="s">
        <v>1338</v>
      </c>
      <c r="N83" s="3" t="s">
        <v>1339</v>
      </c>
      <c r="O83" s="3" t="s">
        <v>1340</v>
      </c>
      <c r="P83" s="3"/>
      <c r="Q83" s="3"/>
      <c r="R83" s="3" t="s">
        <v>1341</v>
      </c>
      <c r="S83" s="3" t="s">
        <v>1342</v>
      </c>
      <c r="T83" s="3" t="s">
        <v>1343</v>
      </c>
      <c r="U83" s="3" t="s">
        <v>1612</v>
      </c>
      <c r="V83" s="3"/>
      <c r="W83" s="10">
        <f>IF( J83="s.i", "s.i", IF(ISBLANK(J83),"Actualizando información",IFERROR(J83 / VLOOKUP(A83,Deflactor!$G$3:$H$64,2,0),"Revisar error" )))</f>
        <v>29056725512.718685</v>
      </c>
    </row>
    <row r="84" spans="1:23" x14ac:dyDescent="0.25">
      <c r="A84" s="3">
        <v>2016</v>
      </c>
      <c r="B84" s="3" t="s">
        <v>125</v>
      </c>
      <c r="C84" s="3" t="s">
        <v>7</v>
      </c>
      <c r="D84" s="3" t="s">
        <v>54</v>
      </c>
      <c r="E84" s="3" t="s">
        <v>55</v>
      </c>
      <c r="F84" s="3" t="s">
        <v>89</v>
      </c>
      <c r="G84" s="3" t="s">
        <v>624</v>
      </c>
      <c r="H84" s="13">
        <v>2011</v>
      </c>
      <c r="I84" s="13" t="s">
        <v>624</v>
      </c>
      <c r="J84" s="10">
        <f xml:space="preserve"> 9170.9 * 1000000</f>
        <v>9170900000</v>
      </c>
      <c r="K84" s="3" t="s">
        <v>1659</v>
      </c>
      <c r="L84" s="3" t="s">
        <v>1344</v>
      </c>
      <c r="M84" s="3" t="s">
        <v>1345</v>
      </c>
      <c r="N84" s="3" t="s">
        <v>1346</v>
      </c>
      <c r="O84" s="3"/>
      <c r="P84" s="3"/>
      <c r="Q84" s="3"/>
      <c r="R84" s="3" t="s">
        <v>1347</v>
      </c>
      <c r="S84" s="3" t="s">
        <v>1348</v>
      </c>
      <c r="T84" s="3" t="s">
        <v>1349</v>
      </c>
      <c r="U84" s="3"/>
      <c r="V84" s="3"/>
      <c r="W84" s="10">
        <f>IF( J84="s.i", "s.i", IF(ISBLANK(J84),"Actualizando información",IFERROR(J84 / VLOOKUP(A84,Deflactor!$G$3:$H$64,2,0),"Revisar error" )))</f>
        <v>7897717925.9061785</v>
      </c>
    </row>
    <row r="85" spans="1:23" x14ac:dyDescent="0.25">
      <c r="A85" s="3">
        <v>2016</v>
      </c>
      <c r="B85" s="3" t="s">
        <v>126</v>
      </c>
      <c r="C85" s="3" t="s">
        <v>7</v>
      </c>
      <c r="D85" s="3" t="s">
        <v>64</v>
      </c>
      <c r="E85" s="3" t="s">
        <v>65</v>
      </c>
      <c r="F85" s="3" t="s">
        <v>95</v>
      </c>
      <c r="G85" s="3" t="s">
        <v>724</v>
      </c>
      <c r="H85" s="13">
        <v>2012</v>
      </c>
      <c r="I85" s="13" t="s">
        <v>624</v>
      </c>
      <c r="J85" s="10">
        <f xml:space="preserve"> 57221053 * 1000</f>
        <v>57221053000</v>
      </c>
      <c r="K85" s="3" t="s">
        <v>2294</v>
      </c>
      <c r="L85" s="3" t="s">
        <v>1350</v>
      </c>
      <c r="M85" s="3" t="s">
        <v>1351</v>
      </c>
      <c r="N85" s="3" t="s">
        <v>1352</v>
      </c>
      <c r="O85" s="3" t="s">
        <v>1353</v>
      </c>
      <c r="P85" s="3"/>
      <c r="Q85" s="3"/>
      <c r="R85" s="3" t="s">
        <v>1354</v>
      </c>
      <c r="S85" s="3" t="s">
        <v>1355</v>
      </c>
      <c r="T85" s="3" t="s">
        <v>1356</v>
      </c>
      <c r="U85" s="3"/>
      <c r="V85" s="3"/>
      <c r="W85" s="10">
        <f>IF( J85="s.i", "s.i", IF(ISBLANK(J85),"Actualizando información",IFERROR(J85 / VLOOKUP(A85,Deflactor!$G$3:$H$64,2,0),"Revisar error" )))</f>
        <v>49277141394.773415</v>
      </c>
    </row>
    <row r="86" spans="1:23" x14ac:dyDescent="0.25">
      <c r="A86" s="3">
        <v>2016</v>
      </c>
      <c r="B86" s="3" t="s">
        <v>127</v>
      </c>
      <c r="C86" s="3" t="s">
        <v>7</v>
      </c>
      <c r="D86" s="3" t="s">
        <v>64</v>
      </c>
      <c r="E86" s="3" t="s">
        <v>128</v>
      </c>
      <c r="F86" s="3" t="s">
        <v>89</v>
      </c>
      <c r="G86" s="3" t="s">
        <v>724</v>
      </c>
      <c r="H86" s="13">
        <v>2001</v>
      </c>
      <c r="I86" s="13" t="s">
        <v>624</v>
      </c>
      <c r="J86" s="10">
        <f xml:space="preserve"> 7905 * 1000000</f>
        <v>7905000000</v>
      </c>
      <c r="K86" s="3" t="s">
        <v>2295</v>
      </c>
      <c r="L86" s="3" t="s">
        <v>1357</v>
      </c>
      <c r="M86" s="3" t="s">
        <v>1358</v>
      </c>
      <c r="N86" s="3" t="s">
        <v>1359</v>
      </c>
      <c r="O86" s="3" t="s">
        <v>1360</v>
      </c>
      <c r="P86" s="3"/>
      <c r="Q86" s="3"/>
      <c r="R86" s="3" t="s">
        <v>1361</v>
      </c>
      <c r="S86" s="3" t="s">
        <v>1362</v>
      </c>
      <c r="T86" s="3" t="s">
        <v>1363</v>
      </c>
      <c r="U86" s="3"/>
      <c r="V86" s="3"/>
      <c r="W86" s="10">
        <f>IF( J86="s.i", "s.i", IF(ISBLANK(J86),"Actualizando información",IFERROR(J86 / VLOOKUP(A86,Deflactor!$G$3:$H$64,2,0),"Revisar error" )))</f>
        <v>6807560894.163969</v>
      </c>
    </row>
    <row r="87" spans="1:23" x14ac:dyDescent="0.25">
      <c r="A87" s="3">
        <v>2016</v>
      </c>
      <c r="B87" s="3" t="s">
        <v>129</v>
      </c>
      <c r="C87" s="3" t="s">
        <v>7</v>
      </c>
      <c r="D87" s="3" t="s">
        <v>36</v>
      </c>
      <c r="E87" s="3" t="s">
        <v>130</v>
      </c>
      <c r="F87" s="3" t="s">
        <v>95</v>
      </c>
      <c r="G87" s="3" t="s">
        <v>724</v>
      </c>
      <c r="H87" s="13">
        <v>2002</v>
      </c>
      <c r="I87" s="13" t="s">
        <v>624</v>
      </c>
      <c r="J87" s="10">
        <f xml:space="preserve"> 8615 * 1000000</f>
        <v>8615000000</v>
      </c>
      <c r="K87" s="3" t="s">
        <v>2297</v>
      </c>
      <c r="L87" s="3" t="s">
        <v>1050</v>
      </c>
      <c r="M87" s="3" t="s">
        <v>1051</v>
      </c>
      <c r="N87" s="3" t="s">
        <v>1052</v>
      </c>
      <c r="O87" s="3" t="s">
        <v>1053</v>
      </c>
      <c r="P87" s="3"/>
      <c r="Q87" s="3"/>
      <c r="R87" s="3" t="s">
        <v>1054</v>
      </c>
      <c r="S87" s="3" t="s">
        <v>1055</v>
      </c>
      <c r="T87" s="3" t="s">
        <v>1056</v>
      </c>
      <c r="U87" s="3"/>
      <c r="V87" s="3"/>
      <c r="W87" s="10">
        <f>IF( J87="s.i", "s.i", IF(ISBLANK(J87),"Actualizando información",IFERROR(J87 / VLOOKUP(A87,Deflactor!$G$3:$H$64,2,0),"Revisar error" )))</f>
        <v>7418992675.9294872</v>
      </c>
    </row>
    <row r="88" spans="1:23" x14ac:dyDescent="0.25">
      <c r="A88" s="3">
        <v>2016</v>
      </c>
      <c r="B88" s="3" t="s">
        <v>131</v>
      </c>
      <c r="C88" s="3" t="s">
        <v>7</v>
      </c>
      <c r="D88" s="3" t="s">
        <v>36</v>
      </c>
      <c r="E88" s="3" t="s">
        <v>94</v>
      </c>
      <c r="F88" s="3" t="s">
        <v>95</v>
      </c>
      <c r="G88" s="3" t="s">
        <v>724</v>
      </c>
      <c r="H88" s="13">
        <v>1991</v>
      </c>
      <c r="I88" s="13" t="s">
        <v>624</v>
      </c>
      <c r="J88" s="10">
        <f xml:space="preserve"> 20900 * 1000000</f>
        <v>20900000000</v>
      </c>
      <c r="K88" s="3" t="s">
        <v>1665</v>
      </c>
      <c r="L88" s="3" t="s">
        <v>1057</v>
      </c>
      <c r="M88" s="3" t="s">
        <v>1058</v>
      </c>
      <c r="N88" s="3" t="s">
        <v>1059</v>
      </c>
      <c r="O88" s="3" t="s">
        <v>1060</v>
      </c>
      <c r="P88" s="3"/>
      <c r="Q88" s="3"/>
      <c r="R88" s="3" t="s">
        <v>1061</v>
      </c>
      <c r="S88" s="3" t="s">
        <v>1062</v>
      </c>
      <c r="T88" s="3" t="s">
        <v>1063</v>
      </c>
      <c r="U88" s="3"/>
      <c r="V88" s="3"/>
      <c r="W88" s="10">
        <f>IF( J88="s.i", "s.i", IF(ISBLANK(J88),"Actualizando información",IFERROR(J88 / VLOOKUP(A88,Deflactor!$G$3:$H$64,2,0),"Revisar error" )))</f>
        <v>17998484843.520172</v>
      </c>
    </row>
    <row r="89" spans="1:23" x14ac:dyDescent="0.25">
      <c r="A89" s="3">
        <v>2016</v>
      </c>
      <c r="B89" s="3" t="s">
        <v>132</v>
      </c>
      <c r="C89" s="3" t="s">
        <v>7</v>
      </c>
      <c r="D89" s="3" t="s">
        <v>36</v>
      </c>
      <c r="E89" s="3" t="s">
        <v>37</v>
      </c>
      <c r="F89" s="3" t="s">
        <v>89</v>
      </c>
      <c r="G89" s="3" t="s">
        <v>724</v>
      </c>
      <c r="H89" s="13">
        <v>2004</v>
      </c>
      <c r="I89" s="13" t="s">
        <v>624</v>
      </c>
      <c r="J89" s="10">
        <f xml:space="preserve"> 1667 * 1000000</f>
        <v>1667000000</v>
      </c>
      <c r="K89" s="3" t="s">
        <v>2300</v>
      </c>
      <c r="L89" s="3" t="s">
        <v>1064</v>
      </c>
      <c r="M89" s="3" t="s">
        <v>1065</v>
      </c>
      <c r="N89" s="3" t="s">
        <v>1066</v>
      </c>
      <c r="O89" s="3" t="s">
        <v>1067</v>
      </c>
      <c r="P89" s="3" t="s">
        <v>1068</v>
      </c>
      <c r="Q89" s="3"/>
      <c r="R89" s="3" t="s">
        <v>1069</v>
      </c>
      <c r="S89" s="3" t="s">
        <v>1070</v>
      </c>
      <c r="T89" s="3" t="s">
        <v>1071</v>
      </c>
      <c r="U89" s="3"/>
      <c r="V89" s="3"/>
      <c r="W89" s="10">
        <f>IF( J89="s.i", "s.i", IF(ISBLANK(J89),"Actualizando información",IFERROR(J89 / VLOOKUP(A89,Deflactor!$G$3:$H$64,2,0),"Revisar error" )))</f>
        <v>1435572929.8635466</v>
      </c>
    </row>
    <row r="90" spans="1:23" x14ac:dyDescent="0.25">
      <c r="A90" s="3">
        <v>2016</v>
      </c>
      <c r="B90" s="3" t="s">
        <v>133</v>
      </c>
      <c r="C90" s="3" t="s">
        <v>7</v>
      </c>
      <c r="D90" s="3" t="s">
        <v>36</v>
      </c>
      <c r="E90" s="3" t="s">
        <v>37</v>
      </c>
      <c r="F90" s="3" t="s">
        <v>89</v>
      </c>
      <c r="G90" s="3" t="s">
        <v>724</v>
      </c>
      <c r="H90" s="13">
        <v>2002</v>
      </c>
      <c r="I90" s="13" t="s">
        <v>624</v>
      </c>
      <c r="J90" s="10" t="s">
        <v>624</v>
      </c>
      <c r="K90" s="3" t="s">
        <v>132</v>
      </c>
      <c r="L90" s="3" t="s">
        <v>2298</v>
      </c>
      <c r="M90" s="3" t="s">
        <v>1072</v>
      </c>
      <c r="N90" s="3" t="s">
        <v>1073</v>
      </c>
      <c r="O90" s="3"/>
      <c r="P90" s="3"/>
      <c r="Q90" s="3"/>
      <c r="R90" s="3" t="s">
        <v>1074</v>
      </c>
      <c r="S90" s="3" t="s">
        <v>1075</v>
      </c>
      <c r="T90" s="3" t="s">
        <v>1076</v>
      </c>
      <c r="U90" s="3"/>
      <c r="V90" s="3"/>
      <c r="W90" s="10" t="str">
        <f>IF( J90="s.i", "s.i", IF(ISBLANK(J90),"Actualizando información",IFERROR(J90 / VLOOKUP(A90,Deflactor!$G$3:$H$64,2,0),"Revisar error" )))</f>
        <v>s.i</v>
      </c>
    </row>
    <row r="91" spans="1:23" x14ac:dyDescent="0.25">
      <c r="A91" s="3">
        <v>2016</v>
      </c>
      <c r="B91" s="3" t="s">
        <v>134</v>
      </c>
      <c r="C91" s="3" t="s">
        <v>7</v>
      </c>
      <c r="D91" s="3" t="s">
        <v>20</v>
      </c>
      <c r="E91" s="3" t="s">
        <v>23</v>
      </c>
      <c r="F91" s="3" t="s">
        <v>89</v>
      </c>
      <c r="G91" s="3" t="s">
        <v>624</v>
      </c>
      <c r="H91" s="13">
        <v>2013</v>
      </c>
      <c r="I91" s="13" t="s">
        <v>624</v>
      </c>
      <c r="J91" s="10">
        <f xml:space="preserve"> 220144578 * 1000</f>
        <v>220144578000</v>
      </c>
      <c r="K91" s="3" t="s">
        <v>1657</v>
      </c>
      <c r="L91" s="3" t="s">
        <v>999</v>
      </c>
      <c r="M91" s="3" t="s">
        <v>1000</v>
      </c>
      <c r="N91" s="3" t="s">
        <v>1001</v>
      </c>
      <c r="O91" s="3"/>
      <c r="P91" s="3"/>
      <c r="Q91" s="3"/>
      <c r="R91" s="3" t="s">
        <v>1002</v>
      </c>
      <c r="S91" s="3" t="s">
        <v>1003</v>
      </c>
      <c r="T91" s="3" t="s">
        <v>1004</v>
      </c>
      <c r="U91" s="3"/>
      <c r="V91" s="3"/>
      <c r="W91" s="10">
        <f>IF( J91="s.i", "s.i", IF(ISBLANK(J91),"Actualizando información",IFERROR(J91 / VLOOKUP(A91,Deflactor!$G$3:$H$64,2,0),"Revisar error" )))</f>
        <v>189582241651.49014</v>
      </c>
    </row>
    <row r="92" spans="1:23" x14ac:dyDescent="0.25">
      <c r="A92" s="3">
        <v>2016</v>
      </c>
      <c r="B92" s="3" t="s">
        <v>135</v>
      </c>
      <c r="C92" s="3" t="s">
        <v>7</v>
      </c>
      <c r="D92" s="3" t="s">
        <v>32</v>
      </c>
      <c r="E92" s="3" t="s">
        <v>33</v>
      </c>
      <c r="F92" s="3" t="s">
        <v>89</v>
      </c>
      <c r="G92" s="3" t="s">
        <v>624</v>
      </c>
      <c r="H92" s="13">
        <v>2009</v>
      </c>
      <c r="I92" s="13" t="s">
        <v>624</v>
      </c>
      <c r="J92" s="10">
        <f xml:space="preserve"> 23091 * 1000000</f>
        <v>23091000000</v>
      </c>
      <c r="K92" s="3" t="s">
        <v>1654</v>
      </c>
      <c r="L92" s="3" t="s">
        <v>1077</v>
      </c>
      <c r="M92" s="3" t="s">
        <v>1078</v>
      </c>
      <c r="N92" s="3" t="s">
        <v>1079</v>
      </c>
      <c r="O92" s="3"/>
      <c r="P92" s="3"/>
      <c r="Q92" s="3"/>
      <c r="R92" s="3" t="s">
        <v>1080</v>
      </c>
      <c r="S92" s="3" t="s">
        <v>1081</v>
      </c>
      <c r="T92" s="3" t="s">
        <v>1082</v>
      </c>
      <c r="U92" s="3"/>
      <c r="V92" s="3"/>
      <c r="W92" s="10">
        <f>IF( J92="s.i", "s.i", IF(ISBLANK(J92),"Actualizando información",IFERROR(J92 / VLOOKUP(A92,Deflactor!$G$3:$H$64,2,0),"Revisar error" )))</f>
        <v>19885311651.757141</v>
      </c>
    </row>
    <row r="93" spans="1:23" x14ac:dyDescent="0.25">
      <c r="A93" s="3">
        <v>2016</v>
      </c>
      <c r="B93" s="3" t="s">
        <v>136</v>
      </c>
      <c r="C93" s="3" t="s">
        <v>67</v>
      </c>
      <c r="D93" s="3" t="s">
        <v>20</v>
      </c>
      <c r="E93" s="3" t="s">
        <v>23</v>
      </c>
      <c r="F93" s="3" t="s">
        <v>10</v>
      </c>
      <c r="G93" s="3" t="s">
        <v>724</v>
      </c>
      <c r="H93" s="13">
        <v>2007</v>
      </c>
      <c r="I93" s="13" t="s">
        <v>624</v>
      </c>
      <c r="J93" s="10">
        <f xml:space="preserve"> 6390025 * 1000</f>
        <v>6390025000</v>
      </c>
      <c r="K93" s="3" t="s">
        <v>1763</v>
      </c>
      <c r="L93" s="3" t="s">
        <v>1762</v>
      </c>
      <c r="M93" s="3" t="s">
        <v>1083</v>
      </c>
      <c r="N93" s="3" t="s">
        <v>1084</v>
      </c>
      <c r="O93" s="3" t="s">
        <v>1085</v>
      </c>
      <c r="P93" s="3" t="s">
        <v>1086</v>
      </c>
      <c r="Q93" s="3"/>
      <c r="R93" s="3" t="s">
        <v>1087</v>
      </c>
      <c r="S93" s="3" t="s">
        <v>1088</v>
      </c>
      <c r="T93" s="3" t="s">
        <v>1089</v>
      </c>
      <c r="U93" s="3"/>
      <c r="V93" s="3"/>
      <c r="W93" s="10">
        <f>IF( J93="s.i", "s.i", IF(ISBLANK(J93),"Actualizando información",IFERROR(J93 / VLOOKUP(A93,Deflactor!$G$3:$H$64,2,0),"Revisar error" )))</f>
        <v>5502907565.1777506</v>
      </c>
    </row>
    <row r="94" spans="1:23" x14ac:dyDescent="0.25">
      <c r="A94" s="3">
        <v>2016</v>
      </c>
      <c r="B94" s="3" t="s">
        <v>137</v>
      </c>
      <c r="C94" s="3" t="s">
        <v>67</v>
      </c>
      <c r="D94" s="3" t="s">
        <v>138</v>
      </c>
      <c r="E94" s="3" t="s">
        <v>139</v>
      </c>
      <c r="F94" s="3" t="s">
        <v>14</v>
      </c>
      <c r="G94" s="3" t="s">
        <v>724</v>
      </c>
      <c r="H94" s="13">
        <v>2011</v>
      </c>
      <c r="I94" s="13" t="s">
        <v>624</v>
      </c>
      <c r="J94" s="10" t="s">
        <v>624</v>
      </c>
      <c r="K94" s="3"/>
      <c r="L94" s="3" t="s">
        <v>1364</v>
      </c>
      <c r="M94" s="3" t="s">
        <v>1365</v>
      </c>
      <c r="N94" s="3" t="s">
        <v>1366</v>
      </c>
      <c r="O94" s="3"/>
      <c r="P94" s="3"/>
      <c r="Q94" s="3"/>
      <c r="R94" s="3" t="s">
        <v>1367</v>
      </c>
      <c r="S94" s="3" t="s">
        <v>1368</v>
      </c>
      <c r="T94" s="3" t="s">
        <v>1369</v>
      </c>
      <c r="U94" s="3"/>
      <c r="V94" s="3"/>
      <c r="W94" s="10" t="str">
        <f>IF( J94="s.i", "s.i", IF(ISBLANK(J94),"Actualizando información",IFERROR(J94 / VLOOKUP(A94,Deflactor!$G$3:$H$64,2,0),"Revisar error" )))</f>
        <v>s.i</v>
      </c>
    </row>
    <row r="95" spans="1:23" x14ac:dyDescent="0.25">
      <c r="A95" s="3">
        <v>2016</v>
      </c>
      <c r="B95" s="3" t="s">
        <v>140</v>
      </c>
      <c r="C95" s="3" t="s">
        <v>7</v>
      </c>
      <c r="D95" s="3" t="s">
        <v>32</v>
      </c>
      <c r="E95" s="3" t="s">
        <v>33</v>
      </c>
      <c r="F95" s="3" t="s">
        <v>89</v>
      </c>
      <c r="G95" s="3" t="s">
        <v>624</v>
      </c>
      <c r="H95" s="13">
        <v>2009</v>
      </c>
      <c r="I95" s="13" t="s">
        <v>624</v>
      </c>
      <c r="J95" s="10">
        <f xml:space="preserve"> 23091 * 1000000</f>
        <v>23091000000</v>
      </c>
      <c r="K95" s="3" t="s">
        <v>1654</v>
      </c>
      <c r="L95" s="3" t="s">
        <v>1077</v>
      </c>
      <c r="M95" s="3" t="s">
        <v>1078</v>
      </c>
      <c r="N95" s="3" t="s">
        <v>1079</v>
      </c>
      <c r="O95" s="3"/>
      <c r="P95" s="3"/>
      <c r="Q95" s="3"/>
      <c r="R95" s="3" t="s">
        <v>1080</v>
      </c>
      <c r="S95" s="3" t="s">
        <v>1081</v>
      </c>
      <c r="T95" s="3" t="s">
        <v>1082</v>
      </c>
      <c r="U95" s="3"/>
      <c r="V95" s="3"/>
      <c r="W95" s="10">
        <f>IF( J95="s.i", "s.i", IF(ISBLANK(J95),"Actualizando información",IFERROR(J95 / VLOOKUP(A95,Deflactor!$G$3:$H$64,2,0),"Revisar error" )))</f>
        <v>19885311651.757141</v>
      </c>
    </row>
    <row r="96" spans="1:23" x14ac:dyDescent="0.25">
      <c r="A96" s="3">
        <v>2016</v>
      </c>
      <c r="B96" s="3" t="s">
        <v>141</v>
      </c>
      <c r="C96" s="3" t="s">
        <v>7</v>
      </c>
      <c r="D96" s="3" t="s">
        <v>32</v>
      </c>
      <c r="E96" s="3" t="s">
        <v>33</v>
      </c>
      <c r="F96" s="3" t="s">
        <v>95</v>
      </c>
      <c r="G96" s="3" t="s">
        <v>624</v>
      </c>
      <c r="H96" s="13">
        <v>2011</v>
      </c>
      <c r="I96" s="13" t="s">
        <v>624</v>
      </c>
      <c r="J96" s="10">
        <f xml:space="preserve"> 75570 * 1000000</f>
        <v>75570000000</v>
      </c>
      <c r="K96" s="3" t="s">
        <v>2301</v>
      </c>
      <c r="L96" s="3" t="s">
        <v>1090</v>
      </c>
      <c r="M96" s="3" t="s">
        <v>1091</v>
      </c>
      <c r="N96" s="3" t="s">
        <v>1092</v>
      </c>
      <c r="O96" s="3" t="s">
        <v>1093</v>
      </c>
      <c r="P96" s="3" t="s">
        <v>1094</v>
      </c>
      <c r="Q96" s="3"/>
      <c r="R96" s="3" t="s">
        <v>1095</v>
      </c>
      <c r="S96" s="3" t="s">
        <v>1096</v>
      </c>
      <c r="T96" s="3" t="s">
        <v>1097</v>
      </c>
      <c r="U96" s="3"/>
      <c r="V96" s="3"/>
      <c r="W96" s="10">
        <f>IF( J96="s.i", "s.i", IF(ISBLANK(J96),"Actualizando información",IFERROR(J96 / VLOOKUP(A96,Deflactor!$G$3:$H$64,2,0),"Revisar error" )))</f>
        <v>65078732039.465042</v>
      </c>
    </row>
    <row r="97" spans="1:23" x14ac:dyDescent="0.25">
      <c r="A97" s="3">
        <v>2016</v>
      </c>
      <c r="B97" s="3" t="s">
        <v>142</v>
      </c>
      <c r="C97" s="3" t="s">
        <v>7</v>
      </c>
      <c r="D97" s="3" t="s">
        <v>32</v>
      </c>
      <c r="E97" s="3" t="s">
        <v>33</v>
      </c>
      <c r="F97" s="3" t="s">
        <v>89</v>
      </c>
      <c r="G97" s="3" t="s">
        <v>624</v>
      </c>
      <c r="H97" s="13">
        <v>2011</v>
      </c>
      <c r="I97" s="13" t="s">
        <v>624</v>
      </c>
      <c r="J97" s="10">
        <f xml:space="preserve"> 75570 * 1000000</f>
        <v>75570000000</v>
      </c>
      <c r="K97" s="3" t="s">
        <v>2301</v>
      </c>
      <c r="L97" s="3" t="s">
        <v>1090</v>
      </c>
      <c r="M97" s="3" t="s">
        <v>1091</v>
      </c>
      <c r="N97" s="3" t="s">
        <v>1092</v>
      </c>
      <c r="O97" s="3" t="s">
        <v>1093</v>
      </c>
      <c r="P97" s="3" t="s">
        <v>1094</v>
      </c>
      <c r="Q97" s="3"/>
      <c r="R97" s="3" t="s">
        <v>1095</v>
      </c>
      <c r="S97" s="3" t="s">
        <v>1096</v>
      </c>
      <c r="T97" s="3" t="s">
        <v>1097</v>
      </c>
      <c r="U97" s="3"/>
      <c r="V97" s="3"/>
      <c r="W97" s="10">
        <f>IF( J97="s.i", "s.i", IF(ISBLANK(J97),"Actualizando información",IFERROR(J97 / VLOOKUP(A97,Deflactor!$G$3:$H$64,2,0),"Revisar error" )))</f>
        <v>65078732039.465042</v>
      </c>
    </row>
    <row r="98" spans="1:23" x14ac:dyDescent="0.25">
      <c r="A98" s="3">
        <v>2016</v>
      </c>
      <c r="B98" s="3" t="s">
        <v>143</v>
      </c>
      <c r="C98" s="3" t="s">
        <v>7</v>
      </c>
      <c r="D98" s="3" t="s">
        <v>12</v>
      </c>
      <c r="E98" s="3" t="s">
        <v>105</v>
      </c>
      <c r="F98" s="3" t="s">
        <v>89</v>
      </c>
      <c r="G98" s="3" t="s">
        <v>1005</v>
      </c>
      <c r="H98" s="13">
        <v>2010</v>
      </c>
      <c r="I98" s="13" t="s">
        <v>624</v>
      </c>
      <c r="J98" s="10">
        <f xml:space="preserve"> 4899869 * 1000000000</f>
        <v>4899869000000000</v>
      </c>
      <c r="K98" s="3" t="s">
        <v>1655</v>
      </c>
      <c r="L98" s="3" t="s">
        <v>1006</v>
      </c>
      <c r="M98" s="3" t="s">
        <v>1007</v>
      </c>
      <c r="N98" s="3" t="s">
        <v>758</v>
      </c>
      <c r="O98" s="3" t="s">
        <v>1008</v>
      </c>
      <c r="P98" s="3" t="s">
        <v>1009</v>
      </c>
      <c r="Q98" s="3"/>
      <c r="R98" s="3" t="s">
        <v>1010</v>
      </c>
      <c r="S98" s="3" t="s">
        <v>1011</v>
      </c>
      <c r="T98" s="3" t="s">
        <v>1012</v>
      </c>
      <c r="U98" s="3" t="s">
        <v>758</v>
      </c>
      <c r="V98" s="3"/>
      <c r="W98" s="10">
        <f>IF( J98="s.i", "s.i", IF(ISBLANK(J98),"Actualizando información",IFERROR(J98 / VLOOKUP(A98,Deflactor!$G$3:$H$64,2,0),"Revisar error" )))</f>
        <v>4219627652236092.5</v>
      </c>
    </row>
    <row r="99" spans="1:23" x14ac:dyDescent="0.25">
      <c r="A99" s="3">
        <v>2016</v>
      </c>
      <c r="B99" s="3" t="s">
        <v>144</v>
      </c>
      <c r="C99" s="3" t="s">
        <v>7</v>
      </c>
      <c r="D99" s="3" t="s">
        <v>25</v>
      </c>
      <c r="E99" s="3" t="s">
        <v>26</v>
      </c>
      <c r="F99" s="3" t="s">
        <v>89</v>
      </c>
      <c r="G99" s="3" t="s">
        <v>624</v>
      </c>
      <c r="H99" s="3">
        <v>1995</v>
      </c>
      <c r="I99" s="13" t="s">
        <v>624</v>
      </c>
      <c r="J99" s="10">
        <f xml:space="preserve"> 4905439 * 1000</f>
        <v>4905439000</v>
      </c>
      <c r="K99" s="3" t="s">
        <v>2302</v>
      </c>
      <c r="L99" s="3" t="s">
        <v>1098</v>
      </c>
      <c r="M99" s="3" t="s">
        <v>1099</v>
      </c>
      <c r="N99" s="3" t="s">
        <v>1100</v>
      </c>
      <c r="O99" s="3"/>
      <c r="P99" s="3"/>
      <c r="Q99" s="3"/>
      <c r="R99" s="3" t="s">
        <v>1101</v>
      </c>
      <c r="S99" s="3" t="s">
        <v>1102</v>
      </c>
      <c r="T99" s="3" t="s">
        <v>1103</v>
      </c>
      <c r="U99" s="3"/>
      <c r="V99" s="3"/>
      <c r="W99" s="10">
        <f>IF( J99="s.i", "s.i", IF(ISBLANK(J99),"Actualizando información",IFERROR(J99 / VLOOKUP(A99,Deflactor!$G$3:$H$64,2,0),"Revisar error" )))</f>
        <v>4224424377.6226192</v>
      </c>
    </row>
    <row r="100" spans="1:23" x14ac:dyDescent="0.25">
      <c r="A100" s="3">
        <v>2016</v>
      </c>
      <c r="B100" s="3" t="s">
        <v>145</v>
      </c>
      <c r="C100" s="3" t="s">
        <v>7</v>
      </c>
      <c r="D100" s="3" t="s">
        <v>40</v>
      </c>
      <c r="E100" s="3" t="s">
        <v>43</v>
      </c>
      <c r="F100" s="3" t="s">
        <v>89</v>
      </c>
      <c r="G100" s="3" t="s">
        <v>724</v>
      </c>
      <c r="H100" s="13">
        <v>2008</v>
      </c>
      <c r="I100" s="13" t="s">
        <v>624</v>
      </c>
      <c r="J100" s="10">
        <f xml:space="preserve"> 33740927 * 1000</f>
        <v>33740927000</v>
      </c>
      <c r="K100" s="3" t="s">
        <v>2285</v>
      </c>
      <c r="L100" s="3" t="s">
        <v>1337</v>
      </c>
      <c r="M100" s="3" t="s">
        <v>1338</v>
      </c>
      <c r="N100" s="3" t="s">
        <v>1339</v>
      </c>
      <c r="O100" s="3" t="s">
        <v>1340</v>
      </c>
      <c r="P100" s="3"/>
      <c r="Q100" s="3"/>
      <c r="R100" s="3" t="s">
        <v>1341</v>
      </c>
      <c r="S100" s="3" t="s">
        <v>1342</v>
      </c>
      <c r="T100" s="3" t="s">
        <v>1343</v>
      </c>
      <c r="U100" s="3"/>
      <c r="V100" s="3"/>
      <c r="W100" s="10">
        <f>IF( J100="s.i", "s.i", IF(ISBLANK(J100),"Actualizando información",IFERROR(J100 / VLOOKUP(A100,Deflactor!$G$3:$H$64,2,0),"Revisar error" )))</f>
        <v>29056725512.718685</v>
      </c>
    </row>
    <row r="101" spans="1:23" x14ac:dyDescent="0.25">
      <c r="A101" s="3">
        <v>2016</v>
      </c>
      <c r="B101" s="3" t="s">
        <v>146</v>
      </c>
      <c r="C101" s="3" t="s">
        <v>7</v>
      </c>
      <c r="D101" s="3" t="s">
        <v>40</v>
      </c>
      <c r="E101" s="3" t="s">
        <v>43</v>
      </c>
      <c r="F101" s="3" t="s">
        <v>89</v>
      </c>
      <c r="G101" s="3" t="s">
        <v>724</v>
      </c>
      <c r="H101" s="13">
        <v>2008</v>
      </c>
      <c r="I101" s="13" t="s">
        <v>624</v>
      </c>
      <c r="J101" s="10">
        <f t="shared" ref="J101:J103" si="0" xml:space="preserve"> 33740927 * 1000</f>
        <v>33740927000</v>
      </c>
      <c r="K101" s="3" t="s">
        <v>2285</v>
      </c>
      <c r="L101" s="3" t="s">
        <v>1337</v>
      </c>
      <c r="M101" s="3" t="s">
        <v>1338</v>
      </c>
      <c r="N101" s="3" t="s">
        <v>1339</v>
      </c>
      <c r="O101" s="3" t="s">
        <v>1340</v>
      </c>
      <c r="P101" s="3"/>
      <c r="Q101" s="3"/>
      <c r="R101" s="3" t="s">
        <v>1341</v>
      </c>
      <c r="S101" s="3" t="s">
        <v>1342</v>
      </c>
      <c r="T101" s="3" t="s">
        <v>1343</v>
      </c>
      <c r="U101" s="3"/>
      <c r="V101" s="3"/>
      <c r="W101" s="10">
        <f>IF( J101="s.i", "s.i", IF(ISBLANK(J101),"Actualizando información",IFERROR(J101 / VLOOKUP(A101,Deflactor!$G$3:$H$64,2,0),"Revisar error" )))</f>
        <v>29056725512.718685</v>
      </c>
    </row>
    <row r="102" spans="1:23" x14ac:dyDescent="0.25">
      <c r="A102" s="3">
        <v>2016</v>
      </c>
      <c r="B102" s="3" t="s">
        <v>147</v>
      </c>
      <c r="C102" s="3" t="s">
        <v>7</v>
      </c>
      <c r="D102" s="3" t="s">
        <v>40</v>
      </c>
      <c r="E102" s="3" t="s">
        <v>43</v>
      </c>
      <c r="F102" s="3" t="s">
        <v>89</v>
      </c>
      <c r="G102" s="3" t="s">
        <v>724</v>
      </c>
      <c r="H102" s="13">
        <v>2008</v>
      </c>
      <c r="I102" s="13" t="s">
        <v>624</v>
      </c>
      <c r="J102" s="10">
        <f t="shared" si="0"/>
        <v>33740927000</v>
      </c>
      <c r="K102" s="3" t="s">
        <v>2285</v>
      </c>
      <c r="L102" s="3" t="s">
        <v>1337</v>
      </c>
      <c r="M102" s="3" t="s">
        <v>1338</v>
      </c>
      <c r="N102" s="3" t="s">
        <v>1339</v>
      </c>
      <c r="O102" s="3" t="s">
        <v>1340</v>
      </c>
      <c r="P102" s="3"/>
      <c r="Q102" s="3"/>
      <c r="R102" s="3" t="s">
        <v>1341</v>
      </c>
      <c r="S102" s="3" t="s">
        <v>1342</v>
      </c>
      <c r="T102" s="3" t="s">
        <v>1343</v>
      </c>
      <c r="U102" s="3"/>
      <c r="V102" s="3"/>
      <c r="W102" s="10">
        <f>IF( J102="s.i", "s.i", IF(ISBLANK(J102),"Actualizando información",IFERROR(J102 / VLOOKUP(A102,Deflactor!$G$3:$H$64,2,0),"Revisar error" )))</f>
        <v>29056725512.718685</v>
      </c>
    </row>
    <row r="103" spans="1:23" x14ac:dyDescent="0.25">
      <c r="A103" s="3">
        <v>2016</v>
      </c>
      <c r="B103" s="3" t="s">
        <v>148</v>
      </c>
      <c r="C103" s="3" t="s">
        <v>7</v>
      </c>
      <c r="D103" s="3" t="s">
        <v>40</v>
      </c>
      <c r="E103" s="3" t="s">
        <v>43</v>
      </c>
      <c r="F103" s="3" t="s">
        <v>89</v>
      </c>
      <c r="G103" s="3" t="s">
        <v>724</v>
      </c>
      <c r="H103" s="13">
        <v>2008</v>
      </c>
      <c r="I103" s="13" t="s">
        <v>624</v>
      </c>
      <c r="J103" s="10">
        <f t="shared" si="0"/>
        <v>33740927000</v>
      </c>
      <c r="K103" s="3" t="s">
        <v>2285</v>
      </c>
      <c r="L103" s="3" t="s">
        <v>1337</v>
      </c>
      <c r="M103" s="3" t="s">
        <v>1338</v>
      </c>
      <c r="N103" s="3" t="s">
        <v>1339</v>
      </c>
      <c r="O103" s="3" t="s">
        <v>1340</v>
      </c>
      <c r="P103" s="3"/>
      <c r="Q103" s="3"/>
      <c r="R103" s="3" t="s">
        <v>1341</v>
      </c>
      <c r="S103" s="3" t="s">
        <v>1342</v>
      </c>
      <c r="T103" s="3" t="s">
        <v>1343</v>
      </c>
      <c r="U103" s="3"/>
      <c r="V103" s="3"/>
      <c r="W103" s="10">
        <f>IF( J103="s.i", "s.i", IF(ISBLANK(J103),"Actualizando información",IFERROR(J103 / VLOOKUP(A103,Deflactor!$G$3:$H$64,2,0),"Revisar error" )))</f>
        <v>29056725512.718685</v>
      </c>
    </row>
    <row r="104" spans="1:23" x14ac:dyDescent="0.25">
      <c r="A104" s="3">
        <v>2016</v>
      </c>
      <c r="B104" s="3" t="s">
        <v>149</v>
      </c>
      <c r="C104" s="3" t="s">
        <v>67</v>
      </c>
      <c r="D104" s="3" t="s">
        <v>25</v>
      </c>
      <c r="E104" s="3" t="s">
        <v>26</v>
      </c>
      <c r="F104" s="3" t="s">
        <v>10</v>
      </c>
      <c r="G104" s="3" t="s">
        <v>624</v>
      </c>
      <c r="H104" s="13">
        <v>2013</v>
      </c>
      <c r="I104" s="13" t="s">
        <v>624</v>
      </c>
      <c r="J104" s="10" t="s">
        <v>624</v>
      </c>
      <c r="K104" s="3" t="s">
        <v>2304</v>
      </c>
      <c r="L104" s="3" t="s">
        <v>1104</v>
      </c>
      <c r="M104" s="3" t="s">
        <v>1105</v>
      </c>
      <c r="N104" s="3" t="s">
        <v>1106</v>
      </c>
      <c r="O104" s="3" t="s">
        <v>1107</v>
      </c>
      <c r="P104" s="3"/>
      <c r="Q104" s="3"/>
      <c r="R104" s="3" t="s">
        <v>1108</v>
      </c>
      <c r="S104" s="3" t="s">
        <v>1109</v>
      </c>
      <c r="T104" s="3"/>
      <c r="U104" s="3"/>
      <c r="V104" s="3"/>
      <c r="W104" s="10" t="str">
        <f>IF( J104="s.i", "s.i", IF(ISBLANK(J104),"Actualizando información",IFERROR(J104 / VLOOKUP(A104,Deflactor!$G$3:$H$64,2,0),"Revisar error" )))</f>
        <v>s.i</v>
      </c>
    </row>
    <row r="105" spans="1:23" x14ac:dyDescent="0.25">
      <c r="A105" s="3">
        <v>2016</v>
      </c>
      <c r="B105" s="3" t="s">
        <v>150</v>
      </c>
      <c r="C105" s="3" t="s">
        <v>7</v>
      </c>
      <c r="D105" s="3" t="s">
        <v>25</v>
      </c>
      <c r="E105" s="3" t="s">
        <v>151</v>
      </c>
      <c r="F105" s="3" t="s">
        <v>89</v>
      </c>
      <c r="G105" s="3" t="s">
        <v>624</v>
      </c>
      <c r="H105" s="13">
        <v>2012</v>
      </c>
      <c r="I105" s="13" t="s">
        <v>624</v>
      </c>
      <c r="J105" s="10">
        <f xml:space="preserve"> 11052526 * 1000000</f>
        <v>11052526000000</v>
      </c>
      <c r="K105" s="3" t="s">
        <v>2305</v>
      </c>
      <c r="L105" s="3" t="s">
        <v>1110</v>
      </c>
      <c r="M105" s="3" t="s">
        <v>1111</v>
      </c>
      <c r="N105" s="3" t="s">
        <v>1112</v>
      </c>
      <c r="O105" s="3" t="s">
        <v>1113</v>
      </c>
      <c r="P105" s="3"/>
      <c r="Q105" s="3"/>
      <c r="R105" s="3" t="s">
        <v>1114</v>
      </c>
      <c r="S105" s="3" t="s">
        <v>1115</v>
      </c>
      <c r="T105" s="3" t="s">
        <v>1116</v>
      </c>
      <c r="U105" s="3"/>
      <c r="V105" s="3"/>
      <c r="W105" s="10">
        <f>IF( J105="s.i", "s.i", IF(ISBLANK(J105),"Actualizando información",IFERROR(J105 / VLOOKUP(A105,Deflactor!$G$3:$H$64,2,0),"Revisar error" )))</f>
        <v>9518120655196.7754</v>
      </c>
    </row>
    <row r="106" spans="1:23" x14ac:dyDescent="0.25">
      <c r="A106" s="3">
        <v>2016</v>
      </c>
      <c r="B106" s="3" t="s">
        <v>152</v>
      </c>
      <c r="C106" s="3" t="s">
        <v>7</v>
      </c>
      <c r="D106" s="3" t="s">
        <v>25</v>
      </c>
      <c r="E106" s="3" t="s">
        <v>153</v>
      </c>
      <c r="F106" s="3" t="s">
        <v>95</v>
      </c>
      <c r="G106" s="3" t="s">
        <v>624</v>
      </c>
      <c r="H106" s="13">
        <v>1993</v>
      </c>
      <c r="I106" s="13" t="s">
        <v>624</v>
      </c>
      <c r="J106" s="10">
        <f xml:space="preserve"> 7301 * 1000000</f>
        <v>7301000000</v>
      </c>
      <c r="K106" s="3" t="s">
        <v>2168</v>
      </c>
      <c r="L106" s="3" t="s">
        <v>1117</v>
      </c>
      <c r="M106" s="3" t="s">
        <v>1118</v>
      </c>
      <c r="N106" s="3" t="s">
        <v>1119</v>
      </c>
      <c r="O106" s="3" t="s">
        <v>1120</v>
      </c>
      <c r="P106" s="3" t="s">
        <v>1121</v>
      </c>
      <c r="Q106" s="3"/>
      <c r="R106" s="3" t="s">
        <v>1122</v>
      </c>
      <c r="S106" s="3" t="s">
        <v>1123</v>
      </c>
      <c r="T106" s="3" t="s">
        <v>1124</v>
      </c>
      <c r="U106" s="3" t="s">
        <v>1151</v>
      </c>
      <c r="V106" s="3"/>
      <c r="W106" s="10">
        <f>IF( J106="s.i", "s.i", IF(ISBLANK(J106),"Actualizando información",IFERROR(J106 / VLOOKUP(A106,Deflactor!$G$3:$H$64,2,0),"Revisar error" )))</f>
        <v>6287413293.9014721</v>
      </c>
    </row>
    <row r="107" spans="1:23" x14ac:dyDescent="0.25">
      <c r="A107" s="3">
        <v>2015</v>
      </c>
      <c r="B107" s="3" t="s">
        <v>154</v>
      </c>
      <c r="C107" s="3" t="s">
        <v>155</v>
      </c>
      <c r="D107" s="3" t="s">
        <v>8</v>
      </c>
      <c r="E107" s="3" t="s">
        <v>156</v>
      </c>
      <c r="F107" s="3" t="s">
        <v>157</v>
      </c>
      <c r="G107" s="3" t="s">
        <v>724</v>
      </c>
      <c r="H107" s="13">
        <v>1967</v>
      </c>
      <c r="I107" s="13"/>
      <c r="J107" s="10">
        <f xml:space="preserve"> 127596471 * 1000</f>
        <v>127596471000</v>
      </c>
      <c r="K107" s="3" t="s">
        <v>2306</v>
      </c>
      <c r="L107" s="3" t="s">
        <v>2045</v>
      </c>
      <c r="M107" s="3" t="s">
        <v>2046</v>
      </c>
      <c r="N107" s="3" t="s">
        <v>2047</v>
      </c>
      <c r="O107" s="3" t="s">
        <v>2048</v>
      </c>
      <c r="P107" s="3" t="s">
        <v>2049</v>
      </c>
      <c r="Q107" s="3" t="s">
        <v>736</v>
      </c>
      <c r="R107" s="11" t="s">
        <v>2043</v>
      </c>
      <c r="S107" s="11" t="s">
        <v>2044</v>
      </c>
      <c r="T107" s="3"/>
      <c r="U107" s="3"/>
      <c r="V107" s="3"/>
      <c r="W107" s="10">
        <f>IF( J107="s.i", "s.i", IF(ISBLANK(J107),"Actualizando información",IFERROR(J107 / VLOOKUP(A107,Deflactor!$G$3:$H$64,2,0),"Revisar error" )))</f>
        <v>114794104040.638</v>
      </c>
    </row>
    <row r="108" spans="1:23" x14ac:dyDescent="0.25">
      <c r="A108" s="3">
        <v>2015</v>
      </c>
      <c r="B108" s="3" t="s">
        <v>158</v>
      </c>
      <c r="C108" s="3" t="s">
        <v>67</v>
      </c>
      <c r="D108" s="3" t="s">
        <v>159</v>
      </c>
      <c r="E108" s="3" t="s">
        <v>160</v>
      </c>
      <c r="F108" s="3" t="s">
        <v>89</v>
      </c>
      <c r="G108" s="3" t="s">
        <v>624</v>
      </c>
      <c r="H108" s="3" t="s">
        <v>624</v>
      </c>
      <c r="I108" s="3" t="s">
        <v>624</v>
      </c>
      <c r="J108" s="3" t="s">
        <v>624</v>
      </c>
      <c r="K108" s="3" t="s">
        <v>1649</v>
      </c>
      <c r="L108" s="3" t="s">
        <v>2054</v>
      </c>
      <c r="M108" s="3" t="s">
        <v>2055</v>
      </c>
      <c r="N108" s="3" t="s">
        <v>2056</v>
      </c>
      <c r="O108" s="3" t="s">
        <v>2057</v>
      </c>
      <c r="P108" s="3" t="s">
        <v>2057</v>
      </c>
      <c r="Q108" s="3"/>
      <c r="R108" s="29" t="s">
        <v>2050</v>
      </c>
      <c r="S108" s="11" t="s">
        <v>2051</v>
      </c>
      <c r="T108" s="11" t="s">
        <v>2052</v>
      </c>
      <c r="U108" s="3"/>
      <c r="V108" s="3" t="s">
        <v>2053</v>
      </c>
      <c r="W108" s="10" t="str">
        <f>IF( J108="s.i", "s.i", IF(ISBLANK(J108),"Actualizando información",IFERROR(J108 / VLOOKUP(A108,Deflactor!$G$3:$H$64,2,0),"Revisar error" )))</f>
        <v>s.i</v>
      </c>
    </row>
    <row r="109" spans="1:23" x14ac:dyDescent="0.25">
      <c r="A109" s="3">
        <v>2015</v>
      </c>
      <c r="B109" s="3" t="s">
        <v>161</v>
      </c>
      <c r="C109" s="3" t="s">
        <v>67</v>
      </c>
      <c r="D109" s="3" t="s">
        <v>40</v>
      </c>
      <c r="E109" s="3" t="s">
        <v>162</v>
      </c>
      <c r="F109" s="3" t="s">
        <v>95</v>
      </c>
      <c r="G109" s="3" t="s">
        <v>624</v>
      </c>
      <c r="H109" s="3" t="s">
        <v>624</v>
      </c>
      <c r="I109" s="3" t="s">
        <v>624</v>
      </c>
      <c r="J109" s="10">
        <v>16815766000</v>
      </c>
      <c r="K109" s="3"/>
      <c r="L109" s="3" t="s">
        <v>2060</v>
      </c>
      <c r="M109" s="3" t="s">
        <v>2064</v>
      </c>
      <c r="N109" s="3" t="s">
        <v>2061</v>
      </c>
      <c r="O109" s="3" t="s">
        <v>2062</v>
      </c>
      <c r="P109" s="3" t="s">
        <v>2063</v>
      </c>
      <c r="Q109" s="3"/>
      <c r="R109" s="29" t="s">
        <v>2058</v>
      </c>
      <c r="S109" s="29" t="s">
        <v>2059</v>
      </c>
      <c r="T109" s="3"/>
      <c r="U109" s="3"/>
      <c r="V109" s="3"/>
      <c r="W109" s="10">
        <f>IF( J109="s.i", "s.i", IF(ISBLANK(J109),"Actualizando información",IFERROR(J109 / VLOOKUP(A109,Deflactor!$G$3:$H$64,2,0),"Revisar error" )))</f>
        <v>15128559407.626745</v>
      </c>
    </row>
    <row r="110" spans="1:23" x14ac:dyDescent="0.25">
      <c r="A110" s="3">
        <v>2015</v>
      </c>
      <c r="B110" s="3" t="s">
        <v>163</v>
      </c>
      <c r="C110" s="3" t="s">
        <v>7</v>
      </c>
      <c r="D110" s="3" t="s">
        <v>164</v>
      </c>
      <c r="E110" s="3" t="s">
        <v>165</v>
      </c>
      <c r="F110" s="3" t="s">
        <v>95</v>
      </c>
      <c r="G110" s="3" t="s">
        <v>724</v>
      </c>
      <c r="H110" s="13">
        <v>1979</v>
      </c>
      <c r="I110" s="13"/>
      <c r="J110" s="10">
        <f xml:space="preserve"> 3998919 * 1000</f>
        <v>3998919000</v>
      </c>
      <c r="K110" s="3"/>
      <c r="L110" s="3" t="s">
        <v>2068</v>
      </c>
      <c r="M110" s="3" t="s">
        <v>2069</v>
      </c>
      <c r="N110" s="3" t="s">
        <v>2070</v>
      </c>
      <c r="O110" s="3" t="s">
        <v>2071</v>
      </c>
      <c r="P110" s="3" t="s">
        <v>2072</v>
      </c>
      <c r="Q110" s="3"/>
      <c r="R110" s="11" t="s">
        <v>2065</v>
      </c>
      <c r="S110" s="11" t="s">
        <v>2066</v>
      </c>
      <c r="T110" s="11" t="s">
        <v>2067</v>
      </c>
      <c r="U110" s="3"/>
      <c r="V110" s="3"/>
      <c r="W110" s="10">
        <f>IF( J110="s.i", "s.i", IF(ISBLANK(J110),"Actualizando información",IFERROR(J110 / VLOOKUP(A110,Deflactor!$G$3:$H$64,2,0),"Revisar error" )))</f>
        <v>3597688244.3408961</v>
      </c>
    </row>
    <row r="111" spans="1:23" x14ac:dyDescent="0.25">
      <c r="A111" s="3">
        <v>2015</v>
      </c>
      <c r="B111" s="3" t="s">
        <v>166</v>
      </c>
      <c r="C111" s="3" t="s">
        <v>7</v>
      </c>
      <c r="D111" s="3" t="s">
        <v>71</v>
      </c>
      <c r="E111" s="3" t="s">
        <v>167</v>
      </c>
      <c r="F111" s="3" t="s">
        <v>95</v>
      </c>
      <c r="G111" s="3" t="s">
        <v>724</v>
      </c>
      <c r="H111" s="13">
        <v>1964</v>
      </c>
      <c r="I111" s="13"/>
      <c r="J111" s="10">
        <f xml:space="preserve"> 70756 * 1000000</f>
        <v>70756000000</v>
      </c>
      <c r="K111" s="3" t="s">
        <v>2312</v>
      </c>
      <c r="L111" s="3" t="s">
        <v>2076</v>
      </c>
      <c r="M111" s="3" t="s">
        <v>2077</v>
      </c>
      <c r="N111" s="3" t="s">
        <v>2078</v>
      </c>
      <c r="O111" s="3" t="s">
        <v>2079</v>
      </c>
      <c r="P111" s="3" t="s">
        <v>2080</v>
      </c>
      <c r="Q111" s="3"/>
      <c r="R111" s="11" t="s">
        <v>2073</v>
      </c>
      <c r="S111" s="11" t="s">
        <v>2074</v>
      </c>
      <c r="T111" s="29" t="s">
        <v>2075</v>
      </c>
      <c r="U111" s="3"/>
      <c r="V111" s="3"/>
      <c r="W111" s="10">
        <f>IF( J111="s.i", "s.i", IF(ISBLANK(J111),"Actualizando información",IFERROR(J111 / VLOOKUP(A111,Deflactor!$G$3:$H$64,2,0),"Revisar error" )))</f>
        <v>63656710580.180405</v>
      </c>
    </row>
    <row r="112" spans="1:23" x14ac:dyDescent="0.25">
      <c r="A112" s="3">
        <v>2015</v>
      </c>
      <c r="B112" s="3" t="s">
        <v>168</v>
      </c>
      <c r="C112" s="3" t="s">
        <v>7</v>
      </c>
      <c r="D112" s="3" t="s">
        <v>36</v>
      </c>
      <c r="E112" s="3" t="s">
        <v>81</v>
      </c>
      <c r="F112" s="3" t="s">
        <v>89</v>
      </c>
      <c r="G112" s="3" t="s">
        <v>724</v>
      </c>
      <c r="H112" s="13">
        <v>2000</v>
      </c>
      <c r="I112" s="13"/>
      <c r="J112" s="10">
        <f xml:space="preserve"> 4475936  * 1000</f>
        <v>4475936000</v>
      </c>
      <c r="K112" s="3" t="s">
        <v>2089</v>
      </c>
      <c r="L112" s="3" t="s">
        <v>2084</v>
      </c>
      <c r="M112" s="3" t="s">
        <v>2088</v>
      </c>
      <c r="N112" s="3" t="s">
        <v>2085</v>
      </c>
      <c r="O112" s="3" t="s">
        <v>2086</v>
      </c>
      <c r="P112" s="3" t="s">
        <v>2087</v>
      </c>
      <c r="Q112" s="3"/>
      <c r="R112" s="11" t="s">
        <v>2081</v>
      </c>
      <c r="S112" s="11" t="s">
        <v>2082</v>
      </c>
      <c r="T112" s="11" t="s">
        <v>2083</v>
      </c>
      <c r="U112" s="3" t="s">
        <v>168</v>
      </c>
      <c r="V112" s="3"/>
      <c r="W112" s="10">
        <f>IF( J112="s.i", "s.i", IF(ISBLANK(J112),"Actualizando información",IFERROR(J112 / VLOOKUP(A112,Deflactor!$G$3:$H$64,2,0),"Revisar error" )))</f>
        <v>4026843836.9524899</v>
      </c>
    </row>
    <row r="113" spans="1:23" x14ac:dyDescent="0.25">
      <c r="A113" s="3">
        <v>2015</v>
      </c>
      <c r="B113" s="3" t="s">
        <v>169</v>
      </c>
      <c r="C113" s="3" t="s">
        <v>7</v>
      </c>
      <c r="D113" s="3" t="s">
        <v>36</v>
      </c>
      <c r="E113" s="3" t="s">
        <v>37</v>
      </c>
      <c r="F113" s="3" t="s">
        <v>89</v>
      </c>
      <c r="G113" s="3" t="s">
        <v>724</v>
      </c>
      <c r="H113" s="13">
        <v>2009</v>
      </c>
      <c r="I113" s="13"/>
      <c r="J113" s="10">
        <f xml:space="preserve"> (13851853 + 17879975) * 1000</f>
        <v>31731828000</v>
      </c>
      <c r="K113" s="3" t="s">
        <v>764</v>
      </c>
      <c r="L113" s="3" t="s">
        <v>2094</v>
      </c>
      <c r="M113" s="3" t="s">
        <v>2097</v>
      </c>
      <c r="N113" s="3" t="s">
        <v>2095</v>
      </c>
      <c r="O113" s="3" t="s">
        <v>2096</v>
      </c>
      <c r="P113" s="3" t="s">
        <v>2098</v>
      </c>
      <c r="Q113" s="3" t="s">
        <v>2093</v>
      </c>
      <c r="R113" s="11" t="s">
        <v>2090</v>
      </c>
      <c r="S113" s="11" t="s">
        <v>2091</v>
      </c>
      <c r="T113" s="11" t="s">
        <v>2092</v>
      </c>
      <c r="U113" s="3" t="s">
        <v>2109</v>
      </c>
      <c r="V113" s="3"/>
      <c r="W113" s="10">
        <f>IF( J113="s.i", "s.i", IF(ISBLANK(J113),"Actualizando información",IFERROR(J113 / VLOOKUP(A113,Deflactor!$G$3:$H$64,2,0),"Revisar error" )))</f>
        <v>28548021244.503151</v>
      </c>
    </row>
    <row r="114" spans="1:23" x14ac:dyDescent="0.25">
      <c r="A114" s="3">
        <v>2015</v>
      </c>
      <c r="B114" s="3" t="s">
        <v>170</v>
      </c>
      <c r="C114" s="3" t="s">
        <v>7</v>
      </c>
      <c r="D114" s="3" t="s">
        <v>36</v>
      </c>
      <c r="E114" s="3" t="s">
        <v>37</v>
      </c>
      <c r="F114" s="3" t="s">
        <v>89</v>
      </c>
      <c r="G114" s="3" t="s">
        <v>724</v>
      </c>
      <c r="H114" s="13">
        <v>2009</v>
      </c>
      <c r="I114" s="13"/>
      <c r="J114" s="10">
        <f xml:space="preserve"> (13851853 ) * 1000</f>
        <v>13851853000</v>
      </c>
      <c r="K114" s="3" t="s">
        <v>764</v>
      </c>
      <c r="L114" s="3" t="s">
        <v>2102</v>
      </c>
      <c r="M114" s="3" t="s">
        <v>2103</v>
      </c>
      <c r="N114" s="3" t="s">
        <v>2096</v>
      </c>
      <c r="O114" s="3" t="s">
        <v>2104</v>
      </c>
      <c r="P114" s="3" t="s">
        <v>2105</v>
      </c>
      <c r="Q114" s="3" t="s">
        <v>2093</v>
      </c>
      <c r="R114" s="11" t="s">
        <v>2099</v>
      </c>
      <c r="S114" s="11" t="s">
        <v>2100</v>
      </c>
      <c r="T114" s="11" t="s">
        <v>2101</v>
      </c>
      <c r="U114" s="3" t="s">
        <v>2109</v>
      </c>
      <c r="V114" s="3"/>
      <c r="W114" s="10">
        <f>IF( J114="s.i", "s.i", IF(ISBLANK(J114),"Actualizando información",IFERROR(J114 / VLOOKUP(A114,Deflactor!$G$3:$H$64,2,0),"Revisar error" )))</f>
        <v>12462030038.72751</v>
      </c>
    </row>
    <row r="115" spans="1:23" x14ac:dyDescent="0.25">
      <c r="A115" s="3">
        <v>2015</v>
      </c>
      <c r="B115" s="3" t="s">
        <v>171</v>
      </c>
      <c r="C115" s="3" t="s">
        <v>7</v>
      </c>
      <c r="D115" s="3" t="s">
        <v>36</v>
      </c>
      <c r="E115" s="3" t="s">
        <v>68</v>
      </c>
      <c r="F115" s="3" t="s">
        <v>89</v>
      </c>
      <c r="G115" s="3" t="s">
        <v>724</v>
      </c>
      <c r="H115" s="13">
        <v>2014</v>
      </c>
      <c r="I115" s="13"/>
      <c r="J115" s="10">
        <f xml:space="preserve"> 4093 * 1000000</f>
        <v>4093000000</v>
      </c>
      <c r="K115" s="3" t="s">
        <v>2281</v>
      </c>
      <c r="L115" s="3" t="s">
        <v>2110</v>
      </c>
      <c r="M115" s="3" t="s">
        <v>2111</v>
      </c>
      <c r="N115" s="3" t="s">
        <v>2112</v>
      </c>
      <c r="O115" s="3" t="s">
        <v>2113</v>
      </c>
      <c r="P115" s="3" t="s">
        <v>2114</v>
      </c>
      <c r="Q115" s="3"/>
      <c r="R115" s="11" t="s">
        <v>2106</v>
      </c>
      <c r="S115" s="11" t="s">
        <v>2107</v>
      </c>
      <c r="T115" s="11" t="s">
        <v>2108</v>
      </c>
      <c r="U115" s="3"/>
      <c r="V115" s="3"/>
      <c r="W115" s="10">
        <f>IF( J115="s.i", "s.i", IF(ISBLANK(J115),"Actualizando información",IFERROR(J115 / VLOOKUP(A115,Deflactor!$G$3:$H$64,2,0),"Revisar error" )))</f>
        <v>3682329645.6085477</v>
      </c>
    </row>
    <row r="116" spans="1:23" x14ac:dyDescent="0.25">
      <c r="A116" s="3">
        <v>2015</v>
      </c>
      <c r="B116" s="3" t="s">
        <v>172</v>
      </c>
      <c r="C116" s="3" t="s">
        <v>7</v>
      </c>
      <c r="D116" s="3" t="s">
        <v>64</v>
      </c>
      <c r="E116" s="3" t="s">
        <v>65</v>
      </c>
      <c r="F116" s="3" t="s">
        <v>89</v>
      </c>
      <c r="G116" s="3" t="s">
        <v>724</v>
      </c>
      <c r="H116" s="13">
        <v>2014</v>
      </c>
      <c r="I116" s="13"/>
      <c r="J116" s="10">
        <f xml:space="preserve"> 99252 * 1000000</f>
        <v>99252000000</v>
      </c>
      <c r="K116" s="3" t="s">
        <v>2293</v>
      </c>
      <c r="L116" s="3" t="s">
        <v>2118</v>
      </c>
      <c r="M116" s="3" t="s">
        <v>2119</v>
      </c>
      <c r="N116" s="3" t="s">
        <v>2120</v>
      </c>
      <c r="O116" s="3" t="s">
        <v>2121</v>
      </c>
      <c r="P116" s="3" t="s">
        <v>2122</v>
      </c>
      <c r="Q116" s="3"/>
      <c r="R116" s="11" t="s">
        <v>2115</v>
      </c>
      <c r="S116" s="11" t="s">
        <v>2116</v>
      </c>
      <c r="T116" s="11" t="s">
        <v>2117</v>
      </c>
      <c r="U116" s="3"/>
      <c r="V116" s="3"/>
      <c r="W116" s="10">
        <f>IF( J116="s.i", "s.i", IF(ISBLANK(J116),"Actualizando información",IFERROR(J116 / VLOOKUP(A116,Deflactor!$G$3:$H$64,2,0),"Revisar error" )))</f>
        <v>89293569994.121567</v>
      </c>
    </row>
    <row r="117" spans="1:23" x14ac:dyDescent="0.25">
      <c r="A117" s="3">
        <v>2015</v>
      </c>
      <c r="B117" s="3" t="s">
        <v>173</v>
      </c>
      <c r="C117" s="3" t="s">
        <v>7</v>
      </c>
      <c r="D117" s="3" t="s">
        <v>36</v>
      </c>
      <c r="E117" s="3" t="s">
        <v>37</v>
      </c>
      <c r="F117" s="3" t="s">
        <v>89</v>
      </c>
      <c r="G117" s="3" t="s">
        <v>724</v>
      </c>
      <c r="H117" s="13">
        <v>2010</v>
      </c>
      <c r="I117" s="13"/>
      <c r="J117" s="10">
        <f xml:space="preserve"> ( 17879975) * 1000</f>
        <v>17879975000</v>
      </c>
      <c r="K117" s="3" t="s">
        <v>764</v>
      </c>
      <c r="L117" s="3" t="s">
        <v>2102</v>
      </c>
      <c r="M117" s="3" t="s">
        <v>2126</v>
      </c>
      <c r="N117" s="3" t="s">
        <v>2098</v>
      </c>
      <c r="O117" s="3" t="s">
        <v>2127</v>
      </c>
      <c r="P117" s="3" t="s">
        <v>2128</v>
      </c>
      <c r="Q117" s="3"/>
      <c r="R117" s="11" t="s">
        <v>2123</v>
      </c>
      <c r="S117" s="11" t="s">
        <v>2124</v>
      </c>
      <c r="T117" s="11" t="s">
        <v>2125</v>
      </c>
      <c r="U117" s="3" t="s">
        <v>2109</v>
      </c>
      <c r="V117" s="3"/>
      <c r="W117" s="10">
        <f>IF( J117="s.i", "s.i", IF(ISBLANK(J117),"Actualizando información",IFERROR(J117 / VLOOKUP(A117,Deflactor!$G$3:$H$64,2,0),"Revisar error" )))</f>
        <v>16085991205.77564</v>
      </c>
    </row>
    <row r="118" spans="1:23" x14ac:dyDescent="0.25">
      <c r="A118" s="3">
        <v>2015</v>
      </c>
      <c r="B118" s="3" t="s">
        <v>174</v>
      </c>
      <c r="C118" s="3" t="s">
        <v>7</v>
      </c>
      <c r="D118" s="3" t="s">
        <v>20</v>
      </c>
      <c r="E118" s="3" t="s">
        <v>23</v>
      </c>
      <c r="F118" s="3" t="s">
        <v>89</v>
      </c>
      <c r="G118" s="3" t="s">
        <v>724</v>
      </c>
      <c r="H118" s="13">
        <v>2012</v>
      </c>
      <c r="I118" s="13"/>
      <c r="J118" s="10">
        <f xml:space="preserve"> 6208 * 1000000</f>
        <v>6208000000</v>
      </c>
      <c r="K118" s="3"/>
      <c r="L118" s="3" t="s">
        <v>2132</v>
      </c>
      <c r="M118" s="3" t="s">
        <v>2133</v>
      </c>
      <c r="N118" s="3" t="s">
        <v>2134</v>
      </c>
      <c r="O118" s="3" t="s">
        <v>2135</v>
      </c>
      <c r="P118" s="3" t="s">
        <v>2136</v>
      </c>
      <c r="Q118" s="3"/>
      <c r="R118" s="11" t="s">
        <v>2129</v>
      </c>
      <c r="S118" s="11" t="s">
        <v>2130</v>
      </c>
      <c r="T118" s="11" t="s">
        <v>2131</v>
      </c>
      <c r="U118" s="3"/>
      <c r="V118" s="3"/>
      <c r="W118" s="10">
        <f>IF( J118="s.i", "s.i", IF(ISBLANK(J118),"Actualizando información",IFERROR(J118 / VLOOKUP(A118,Deflactor!$G$3:$H$64,2,0),"Revisar error" )))</f>
        <v>5585121534.3117189</v>
      </c>
    </row>
    <row r="119" spans="1:23" x14ac:dyDescent="0.25">
      <c r="A119" s="3">
        <v>2015</v>
      </c>
      <c r="B119" s="3" t="s">
        <v>175</v>
      </c>
      <c r="C119" s="3" t="s">
        <v>7</v>
      </c>
      <c r="D119" s="3" t="s">
        <v>20</v>
      </c>
      <c r="E119" s="3" t="s">
        <v>176</v>
      </c>
      <c r="F119" s="3" t="s">
        <v>89</v>
      </c>
      <c r="G119" s="3" t="s">
        <v>724</v>
      </c>
      <c r="H119" s="13">
        <v>2011</v>
      </c>
      <c r="I119" s="13"/>
      <c r="J119" s="10">
        <f xml:space="preserve"> 3793702 * 1000</f>
        <v>3793702000</v>
      </c>
      <c r="K119" s="3" t="s">
        <v>1788</v>
      </c>
      <c r="L119" s="3" t="s">
        <v>2140</v>
      </c>
      <c r="M119" s="3" t="s">
        <v>2141</v>
      </c>
      <c r="N119" s="3" t="s">
        <v>2142</v>
      </c>
      <c r="O119" s="3" t="s">
        <v>2143</v>
      </c>
      <c r="P119" s="3" t="s">
        <v>2144</v>
      </c>
      <c r="Q119" s="3"/>
      <c r="R119" s="11" t="s">
        <v>2137</v>
      </c>
      <c r="S119" s="11" t="s">
        <v>2138</v>
      </c>
      <c r="T119" s="11" t="s">
        <v>2139</v>
      </c>
      <c r="U119" s="3"/>
      <c r="V119" s="3"/>
      <c r="W119" s="10">
        <f>IF( J119="s.i", "s.i", IF(ISBLANK(J119),"Actualizando información",IFERROR(J119 / VLOOKUP(A119,Deflactor!$G$3:$H$64,2,0),"Revisar error" )))</f>
        <v>3413061651.8945613</v>
      </c>
    </row>
    <row r="120" spans="1:23" x14ac:dyDescent="0.25">
      <c r="A120" s="3">
        <v>2015</v>
      </c>
      <c r="B120" s="3" t="s">
        <v>177</v>
      </c>
      <c r="C120" s="3" t="s">
        <v>7</v>
      </c>
      <c r="D120" s="3" t="s">
        <v>20</v>
      </c>
      <c r="E120" s="3" t="s">
        <v>178</v>
      </c>
      <c r="F120" s="3" t="s">
        <v>89</v>
      </c>
      <c r="G120" s="3" t="s">
        <v>724</v>
      </c>
      <c r="H120" s="13">
        <v>2007</v>
      </c>
      <c r="I120" s="13"/>
      <c r="J120" s="10">
        <f xml:space="preserve"> 4936 * 1000000</f>
        <v>4936000000</v>
      </c>
      <c r="K120" s="3" t="s">
        <v>2149</v>
      </c>
      <c r="L120" s="3" t="s">
        <v>2150</v>
      </c>
      <c r="M120" s="3" t="s">
        <v>2148</v>
      </c>
      <c r="N120" s="3" t="s">
        <v>2151</v>
      </c>
      <c r="O120" s="3" t="s">
        <v>2153</v>
      </c>
      <c r="P120" s="3" t="s">
        <v>2154</v>
      </c>
      <c r="Q120" s="3" t="s">
        <v>2152</v>
      </c>
      <c r="R120" s="11" t="s">
        <v>2145</v>
      </c>
      <c r="S120" s="11" t="s">
        <v>2146</v>
      </c>
      <c r="T120" s="11" t="s">
        <v>2147</v>
      </c>
      <c r="U120" s="3"/>
      <c r="V120" s="3"/>
      <c r="W120" s="10">
        <f>IF( J120="s.i", "s.i", IF(ISBLANK(J120),"Actualizando información",IFERROR(J120 / VLOOKUP(A120,Deflactor!$G$3:$H$64,2,0),"Revisar error" )))</f>
        <v>4440747405.5030031</v>
      </c>
    </row>
    <row r="121" spans="1:23" x14ac:dyDescent="0.25">
      <c r="A121" s="3">
        <v>2015</v>
      </c>
      <c r="B121" s="3" t="s">
        <v>179</v>
      </c>
      <c r="C121" s="3" t="s">
        <v>7</v>
      </c>
      <c r="D121" s="3" t="s">
        <v>36</v>
      </c>
      <c r="E121" s="3" t="s">
        <v>37</v>
      </c>
      <c r="F121" s="3" t="s">
        <v>89</v>
      </c>
      <c r="G121" s="3" t="s">
        <v>724</v>
      </c>
      <c r="H121" s="13">
        <v>2009</v>
      </c>
      <c r="I121" s="13"/>
      <c r="J121" s="10">
        <f xml:space="preserve"> 4120000 * 1000</f>
        <v>4120000000</v>
      </c>
      <c r="K121" s="3" t="s">
        <v>2163</v>
      </c>
      <c r="L121" s="3" t="s">
        <v>2158</v>
      </c>
      <c r="M121" s="3" t="s">
        <v>2159</v>
      </c>
      <c r="N121" s="3" t="s">
        <v>2160</v>
      </c>
      <c r="O121" s="3" t="s">
        <v>2161</v>
      </c>
      <c r="P121" s="3" t="s">
        <v>2162</v>
      </c>
      <c r="Q121" s="3"/>
      <c r="R121" s="11" t="s">
        <v>2155</v>
      </c>
      <c r="S121" s="11" t="s">
        <v>2156</v>
      </c>
      <c r="T121" s="11" t="s">
        <v>2157</v>
      </c>
      <c r="U121" s="3"/>
      <c r="V121" s="3"/>
      <c r="W121" s="10">
        <f>IF( J121="s.i", "s.i", IF(ISBLANK(J121),"Actualizando información",IFERROR(J121 / VLOOKUP(A121,Deflactor!$G$3:$H$64,2,0),"Revisar error" )))</f>
        <v>3706620605.8898649</v>
      </c>
    </row>
    <row r="122" spans="1:23" x14ac:dyDescent="0.25">
      <c r="A122" s="3">
        <v>2015</v>
      </c>
      <c r="B122" s="3" t="s">
        <v>180</v>
      </c>
      <c r="C122" s="3" t="s">
        <v>7</v>
      </c>
      <c r="D122" s="3" t="s">
        <v>25</v>
      </c>
      <c r="E122" s="3" t="s">
        <v>181</v>
      </c>
      <c r="F122" s="3" t="s">
        <v>95</v>
      </c>
      <c r="G122" s="3" t="s">
        <v>724</v>
      </c>
      <c r="H122" s="13">
        <v>1964</v>
      </c>
      <c r="I122" s="13"/>
      <c r="J122" s="10">
        <f xml:space="preserve"> 17169605 * 1000000</f>
        <v>17169605000000</v>
      </c>
      <c r="K122" s="3" t="s">
        <v>2168</v>
      </c>
      <c r="L122" s="3" t="s">
        <v>2169</v>
      </c>
      <c r="M122" s="3" t="s">
        <v>2170</v>
      </c>
      <c r="N122" s="3" t="s">
        <v>2171</v>
      </c>
      <c r="O122" s="3" t="s">
        <v>2172</v>
      </c>
      <c r="P122" s="3" t="s">
        <v>2173</v>
      </c>
      <c r="Q122" s="3"/>
      <c r="R122" s="11" t="s">
        <v>2165</v>
      </c>
      <c r="S122" s="11" t="s">
        <v>2166</v>
      </c>
      <c r="T122" s="11" t="s">
        <v>2167</v>
      </c>
      <c r="U122" s="3"/>
      <c r="V122" s="3"/>
      <c r="W122" s="10">
        <f>IF( J122="s.i", "s.i", IF(ISBLANK(J122),"Actualizando información",IFERROR(J122 / VLOOKUP(A122,Deflactor!$G$3:$H$64,2,0),"Revisar error" )))</f>
        <v>15446896040774.188</v>
      </c>
    </row>
    <row r="123" spans="1:23" x14ac:dyDescent="0.25">
      <c r="A123" s="3">
        <v>2015</v>
      </c>
      <c r="B123" s="3" t="s">
        <v>182</v>
      </c>
      <c r="C123" s="3" t="s">
        <v>7</v>
      </c>
      <c r="D123" s="3" t="s">
        <v>12</v>
      </c>
      <c r="E123" s="3" t="s">
        <v>105</v>
      </c>
      <c r="F123" s="3" t="s">
        <v>95</v>
      </c>
      <c r="G123" s="3" t="s">
        <v>724</v>
      </c>
      <c r="H123" s="13">
        <v>2007</v>
      </c>
      <c r="I123" s="13"/>
      <c r="J123" s="10">
        <f xml:space="preserve"> 5861 * 1000000</f>
        <v>5861000000</v>
      </c>
      <c r="K123" s="3" t="s">
        <v>2182</v>
      </c>
      <c r="L123" s="3" t="s">
        <v>2177</v>
      </c>
      <c r="M123" s="3" t="s">
        <v>2178</v>
      </c>
      <c r="N123" s="3" t="s">
        <v>2181</v>
      </c>
      <c r="O123" s="3" t="s">
        <v>2180</v>
      </c>
      <c r="P123" s="3" t="s">
        <v>2179</v>
      </c>
      <c r="Q123" s="3"/>
      <c r="R123" s="11" t="s">
        <v>2174</v>
      </c>
      <c r="S123" s="11" t="s">
        <v>2175</v>
      </c>
      <c r="T123" s="11" t="s">
        <v>2176</v>
      </c>
      <c r="U123" s="3"/>
      <c r="V123" s="3"/>
      <c r="W123" s="10">
        <f>IF( J123="s.i", "s.i", IF(ISBLANK(J123),"Actualizando información",IFERROR(J123 / VLOOKUP(A123,Deflactor!$G$3:$H$64,2,0),"Revisar error" )))</f>
        <v>5272937711.4370136</v>
      </c>
    </row>
    <row r="124" spans="1:23" x14ac:dyDescent="0.25">
      <c r="A124" s="3">
        <v>2015</v>
      </c>
      <c r="B124" s="3" t="s">
        <v>183</v>
      </c>
      <c r="C124" s="3" t="s">
        <v>7</v>
      </c>
      <c r="D124" s="3" t="s">
        <v>45</v>
      </c>
      <c r="E124" s="3" t="s">
        <v>184</v>
      </c>
      <c r="F124" s="3" t="s">
        <v>95</v>
      </c>
      <c r="G124" s="3" t="s">
        <v>724</v>
      </c>
      <c r="H124" s="13">
        <v>1987</v>
      </c>
      <c r="I124" s="13"/>
      <c r="J124" s="10">
        <v>34616336</v>
      </c>
      <c r="K124" s="3" t="s">
        <v>2193</v>
      </c>
      <c r="L124" s="3" t="s">
        <v>2186</v>
      </c>
      <c r="M124" s="3" t="s">
        <v>2187</v>
      </c>
      <c r="N124" s="3" t="s">
        <v>2188</v>
      </c>
      <c r="O124" s="3" t="s">
        <v>2189</v>
      </c>
      <c r="P124" s="3" t="s">
        <v>2190</v>
      </c>
      <c r="Q124" s="3"/>
      <c r="R124" s="11" t="s">
        <v>2183</v>
      </c>
      <c r="S124" s="11" t="s">
        <v>2184</v>
      </c>
      <c r="T124" s="11" t="s">
        <v>2185</v>
      </c>
      <c r="U124" s="3" t="s">
        <v>183</v>
      </c>
      <c r="V124" s="3"/>
      <c r="W124" s="10">
        <f>IF( J124="s.i", "s.i", IF(ISBLANK(J124),"Actualizando información",IFERROR(J124 / VLOOKUP(A124,Deflactor!$G$3:$H$64,2,0),"Revisar error" )))</f>
        <v>31143112.698545422</v>
      </c>
    </row>
    <row r="125" spans="1:23" x14ac:dyDescent="0.25">
      <c r="A125" s="3">
        <v>2015</v>
      </c>
      <c r="B125" s="3" t="s">
        <v>185</v>
      </c>
      <c r="C125" s="3" t="s">
        <v>7</v>
      </c>
      <c r="D125" s="3" t="s">
        <v>36</v>
      </c>
      <c r="E125" s="3" t="s">
        <v>98</v>
      </c>
      <c r="F125" s="3" t="s">
        <v>89</v>
      </c>
      <c r="G125" s="3" t="s">
        <v>724</v>
      </c>
      <c r="H125" s="13">
        <v>1970</v>
      </c>
      <c r="I125" s="13"/>
      <c r="J125" s="10">
        <f xml:space="preserve"> 293866943 * 1000000</f>
        <v>293866943000000</v>
      </c>
      <c r="K125" s="3"/>
      <c r="L125" s="3" t="s">
        <v>2198</v>
      </c>
      <c r="M125" s="3" t="s">
        <v>2199</v>
      </c>
      <c r="N125" s="3" t="s">
        <v>2200</v>
      </c>
      <c r="O125" s="3" t="s">
        <v>2201</v>
      </c>
      <c r="P125" s="3" t="s">
        <v>2202</v>
      </c>
      <c r="Q125" s="3"/>
      <c r="R125" s="11" t="s">
        <v>2195</v>
      </c>
      <c r="S125" s="11" t="s">
        <v>2196</v>
      </c>
      <c r="T125" s="11" t="s">
        <v>2197</v>
      </c>
      <c r="U125" s="3"/>
      <c r="V125" s="3"/>
      <c r="W125" s="10">
        <f>IF( J125="s.i", "s.i", IF(ISBLANK(J125),"Actualizando información",IFERROR(J125 / VLOOKUP(A125,Deflactor!$G$3:$H$64,2,0),"Revisar error" )))</f>
        <v>264381860755743.28</v>
      </c>
    </row>
    <row r="126" spans="1:23" x14ac:dyDescent="0.25">
      <c r="A126" s="3">
        <v>2014</v>
      </c>
      <c r="B126" s="3" t="s">
        <v>201</v>
      </c>
      <c r="C126" s="3" t="s">
        <v>92</v>
      </c>
      <c r="D126" s="3" t="s">
        <v>20</v>
      </c>
      <c r="E126" s="3" t="s">
        <v>23</v>
      </c>
      <c r="F126" s="3" t="s">
        <v>95</v>
      </c>
      <c r="G126" s="3" t="s">
        <v>724</v>
      </c>
      <c r="H126" s="13">
        <v>1990</v>
      </c>
      <c r="I126" s="13" t="s">
        <v>624</v>
      </c>
      <c r="J126" s="10">
        <f xml:space="preserve"> 66147145 * 1000</f>
        <v>66147145000</v>
      </c>
      <c r="K126" s="3" t="s">
        <v>2312</v>
      </c>
      <c r="L126" s="3" t="s">
        <v>1370</v>
      </c>
      <c r="M126" s="3" t="s">
        <v>1371</v>
      </c>
      <c r="N126" s="3" t="s">
        <v>1372</v>
      </c>
      <c r="O126" s="3"/>
      <c r="P126" s="3"/>
      <c r="Q126" s="3"/>
      <c r="R126" s="3" t="s">
        <v>1373</v>
      </c>
      <c r="S126" s="3" t="s">
        <v>1374</v>
      </c>
      <c r="T126" s="3"/>
      <c r="U126" s="3"/>
      <c r="V126" s="3"/>
      <c r="W126" s="10">
        <f>IF( J126="s.i", "s.i", IF(ISBLANK(J126),"Actualizando información",IFERROR(J126 / VLOOKUP(A126,Deflactor!$G$3:$H$64,2,0),"Revisar error" )))</f>
        <v>62458148721.964233</v>
      </c>
    </row>
    <row r="127" spans="1:23" x14ac:dyDescent="0.25">
      <c r="A127" s="3">
        <v>2014</v>
      </c>
      <c r="B127" s="3" t="s">
        <v>186</v>
      </c>
      <c r="C127" s="3" t="s">
        <v>92</v>
      </c>
      <c r="D127" s="3" t="s">
        <v>25</v>
      </c>
      <c r="E127" s="3" t="s">
        <v>29</v>
      </c>
      <c r="F127" s="3" t="s">
        <v>89</v>
      </c>
      <c r="G127" s="3" t="s">
        <v>724</v>
      </c>
      <c r="H127" s="12">
        <v>2005</v>
      </c>
      <c r="I127" s="13" t="s">
        <v>624</v>
      </c>
      <c r="J127" s="10">
        <f xml:space="preserve"> 19217.4 * 1000000</f>
        <v>19217400000</v>
      </c>
      <c r="K127" s="3" t="s">
        <v>2194</v>
      </c>
      <c r="L127" s="3" t="s">
        <v>899</v>
      </c>
      <c r="M127" s="3" t="s">
        <v>900</v>
      </c>
      <c r="N127" s="3" t="s">
        <v>901</v>
      </c>
      <c r="O127" s="3" t="s">
        <v>878</v>
      </c>
      <c r="P127" s="3" t="s">
        <v>889</v>
      </c>
      <c r="Q127" s="3"/>
      <c r="R127" s="11" t="s">
        <v>902</v>
      </c>
      <c r="S127" s="11" t="s">
        <v>903</v>
      </c>
      <c r="T127" s="3"/>
      <c r="U127" s="3"/>
      <c r="V127" s="3"/>
      <c r="W127" s="10">
        <f>IF( J127="s.i", "s.i", IF(ISBLANK(J127),"Actualizando información",IFERROR(J127 / VLOOKUP(A127,Deflactor!$G$3:$H$64,2,0),"Revisar error" )))</f>
        <v>18145654317.347717</v>
      </c>
    </row>
    <row r="128" spans="1:23" x14ac:dyDescent="0.25">
      <c r="A128" s="3">
        <v>2014</v>
      </c>
      <c r="B128" s="3" t="s">
        <v>187</v>
      </c>
      <c r="C128" s="3" t="s">
        <v>92</v>
      </c>
      <c r="D128" s="3" t="s">
        <v>25</v>
      </c>
      <c r="E128" s="3" t="s">
        <v>29</v>
      </c>
      <c r="F128" s="3" t="s">
        <v>89</v>
      </c>
      <c r="G128" s="3" t="s">
        <v>724</v>
      </c>
      <c r="H128" s="12">
        <v>2005</v>
      </c>
      <c r="I128" s="13" t="s">
        <v>624</v>
      </c>
      <c r="J128" s="10">
        <f xml:space="preserve"> 19217.4 * 1000000</f>
        <v>19217400000</v>
      </c>
      <c r="K128" s="3" t="s">
        <v>2194</v>
      </c>
      <c r="L128" s="3" t="s">
        <v>899</v>
      </c>
      <c r="M128" s="3" t="s">
        <v>900</v>
      </c>
      <c r="N128" s="3" t="s">
        <v>901</v>
      </c>
      <c r="O128" s="3" t="s">
        <v>878</v>
      </c>
      <c r="P128" s="3" t="s">
        <v>889</v>
      </c>
      <c r="Q128" s="3"/>
      <c r="R128" s="11" t="s">
        <v>902</v>
      </c>
      <c r="S128" s="11" t="s">
        <v>903</v>
      </c>
      <c r="T128" s="3"/>
      <c r="U128" s="3"/>
      <c r="V128" s="3"/>
      <c r="W128" s="10">
        <f>IF( J128="s.i", "s.i", IF(ISBLANK(J128),"Actualizando información",IFERROR(J128 / VLOOKUP(A128,Deflactor!$G$3:$H$64,2,0),"Revisar error" )))</f>
        <v>18145654317.347717</v>
      </c>
    </row>
    <row r="129" spans="1:23" x14ac:dyDescent="0.25">
      <c r="A129" s="3">
        <v>2014</v>
      </c>
      <c r="B129" s="3" t="s">
        <v>188</v>
      </c>
      <c r="C129" s="3" t="s">
        <v>92</v>
      </c>
      <c r="D129" s="3" t="s">
        <v>25</v>
      </c>
      <c r="E129" s="3" t="s">
        <v>29</v>
      </c>
      <c r="F129" s="3" t="s">
        <v>89</v>
      </c>
      <c r="G129" s="3" t="s">
        <v>724</v>
      </c>
      <c r="H129" s="12">
        <v>2005</v>
      </c>
      <c r="I129" s="13" t="s">
        <v>624</v>
      </c>
      <c r="J129" s="10">
        <f xml:space="preserve"> 19217.4 * 1000000</f>
        <v>19217400000</v>
      </c>
      <c r="K129" s="3" t="s">
        <v>2194</v>
      </c>
      <c r="L129" s="3" t="s">
        <v>899</v>
      </c>
      <c r="M129" s="3" t="s">
        <v>900</v>
      </c>
      <c r="N129" s="3" t="s">
        <v>901</v>
      </c>
      <c r="O129" s="3" t="s">
        <v>878</v>
      </c>
      <c r="P129" s="3" t="s">
        <v>889</v>
      </c>
      <c r="Q129" s="3"/>
      <c r="R129" s="11" t="s">
        <v>902</v>
      </c>
      <c r="S129" s="11" t="s">
        <v>903</v>
      </c>
      <c r="T129" s="3"/>
      <c r="U129" s="3" t="s">
        <v>878</v>
      </c>
      <c r="V129" s="3"/>
      <c r="W129" s="10">
        <f>IF( J129="s.i", "s.i", IF(ISBLANK(J129),"Actualizando información",IFERROR(J129 / VLOOKUP(A129,Deflactor!$G$3:$H$64,2,0),"Revisar error" )))</f>
        <v>18145654317.347717</v>
      </c>
    </row>
    <row r="130" spans="1:23" x14ac:dyDescent="0.25">
      <c r="A130" s="3">
        <v>2014</v>
      </c>
      <c r="B130" s="3" t="s">
        <v>189</v>
      </c>
      <c r="C130" s="3" t="s">
        <v>92</v>
      </c>
      <c r="D130" s="3" t="s">
        <v>25</v>
      </c>
      <c r="E130" s="3" t="s">
        <v>29</v>
      </c>
      <c r="F130" s="3" t="s">
        <v>89</v>
      </c>
      <c r="G130" s="3" t="s">
        <v>724</v>
      </c>
      <c r="H130" s="12">
        <v>2005</v>
      </c>
      <c r="I130" s="13" t="s">
        <v>624</v>
      </c>
      <c r="J130" s="10">
        <f xml:space="preserve"> 19217.4 * 1000000</f>
        <v>19217400000</v>
      </c>
      <c r="K130" s="3" t="s">
        <v>2194</v>
      </c>
      <c r="L130" s="3" t="s">
        <v>899</v>
      </c>
      <c r="M130" s="3" t="s">
        <v>900</v>
      </c>
      <c r="N130" s="3" t="s">
        <v>901</v>
      </c>
      <c r="O130" s="3" t="s">
        <v>878</v>
      </c>
      <c r="P130" s="3" t="s">
        <v>889</v>
      </c>
      <c r="Q130" s="3"/>
      <c r="R130" s="11" t="s">
        <v>902</v>
      </c>
      <c r="S130" s="11" t="s">
        <v>903</v>
      </c>
      <c r="T130" s="3"/>
      <c r="U130" s="3"/>
      <c r="V130" s="3"/>
      <c r="W130" s="10">
        <f>IF( J130="s.i", "s.i", IF(ISBLANK(J130),"Actualizando información",IFERROR(J130 / VLOOKUP(A130,Deflactor!$G$3:$H$64,2,0),"Revisar error" )))</f>
        <v>18145654317.347717</v>
      </c>
    </row>
    <row r="131" spans="1:23" x14ac:dyDescent="0.25">
      <c r="A131" s="3">
        <v>2014</v>
      </c>
      <c r="B131" s="3" t="s">
        <v>190</v>
      </c>
      <c r="C131" s="3" t="s">
        <v>7</v>
      </c>
      <c r="D131" s="3" t="s">
        <v>25</v>
      </c>
      <c r="E131" s="3" t="s">
        <v>181</v>
      </c>
      <c r="F131" s="3" t="s">
        <v>95</v>
      </c>
      <c r="G131" s="3"/>
      <c r="H131" s="13">
        <v>1999</v>
      </c>
      <c r="I131" s="13" t="s">
        <v>624</v>
      </c>
      <c r="J131" s="10">
        <f xml:space="preserve"> 10836562 * 1000000</f>
        <v>10836562000000</v>
      </c>
      <c r="K131" s="3"/>
      <c r="L131" s="3" t="s">
        <v>1375</v>
      </c>
      <c r="M131" s="3" t="s">
        <v>1376</v>
      </c>
      <c r="N131" s="3" t="s">
        <v>1377</v>
      </c>
      <c r="O131" s="3" t="s">
        <v>1378</v>
      </c>
      <c r="P131" s="3" t="s">
        <v>1379</v>
      </c>
      <c r="Q131" s="3"/>
      <c r="R131" s="3" t="s">
        <v>1380</v>
      </c>
      <c r="S131" s="3" t="s">
        <v>1381</v>
      </c>
      <c r="T131" s="3" t="s">
        <v>1382</v>
      </c>
      <c r="U131" s="3"/>
      <c r="V131" s="3"/>
      <c r="W131" s="10">
        <f>IF( J131="s.i", "s.i", IF(ISBLANK(J131),"Actualizando información",IFERROR(J131 / VLOOKUP(A131,Deflactor!$G$3:$H$64,2,0),"Revisar error" )))</f>
        <v>10232211851785.686</v>
      </c>
    </row>
    <row r="132" spans="1:23" x14ac:dyDescent="0.25">
      <c r="A132" s="3">
        <v>2014</v>
      </c>
      <c r="B132" s="3" t="s">
        <v>211</v>
      </c>
      <c r="C132" s="3" t="s">
        <v>92</v>
      </c>
      <c r="D132" s="3" t="s">
        <v>25</v>
      </c>
      <c r="E132" s="3" t="s">
        <v>29</v>
      </c>
      <c r="F132" s="3" t="s">
        <v>89</v>
      </c>
      <c r="G132" s="3" t="s">
        <v>724</v>
      </c>
      <c r="H132" s="12">
        <v>2005</v>
      </c>
      <c r="I132" s="13" t="s">
        <v>624</v>
      </c>
      <c r="J132" s="10">
        <f xml:space="preserve"> 19217.4 * 1000000</f>
        <v>19217400000</v>
      </c>
      <c r="K132" s="3" t="s">
        <v>2194</v>
      </c>
      <c r="L132" s="3" t="s">
        <v>899</v>
      </c>
      <c r="M132" s="3" t="s">
        <v>900</v>
      </c>
      <c r="N132" s="3" t="s">
        <v>901</v>
      </c>
      <c r="O132" s="3" t="s">
        <v>878</v>
      </c>
      <c r="P132" s="3" t="s">
        <v>889</v>
      </c>
      <c r="Q132" s="3"/>
      <c r="R132" s="11" t="s">
        <v>902</v>
      </c>
      <c r="S132" s="11" t="s">
        <v>903</v>
      </c>
      <c r="T132" s="3"/>
      <c r="U132" s="3" t="s">
        <v>1145</v>
      </c>
      <c r="V132" s="3"/>
      <c r="W132" s="10">
        <f>IF( J132="s.i", "s.i", IF(ISBLANK(J132),"Actualizando información",IFERROR(J132 / VLOOKUP(A132,Deflactor!$G$3:$H$64,2,0),"Revisar error" )))</f>
        <v>18145654317.347717</v>
      </c>
    </row>
    <row r="133" spans="1:23" x14ac:dyDescent="0.25">
      <c r="A133" s="3">
        <v>2014</v>
      </c>
      <c r="B133" s="3" t="s">
        <v>212</v>
      </c>
      <c r="C133" s="3" t="s">
        <v>92</v>
      </c>
      <c r="D133" s="3" t="s">
        <v>25</v>
      </c>
      <c r="E133" s="3" t="s">
        <v>29</v>
      </c>
      <c r="F133" s="3" t="s">
        <v>89</v>
      </c>
      <c r="G133" s="3" t="s">
        <v>724</v>
      </c>
      <c r="H133" s="12">
        <v>2005</v>
      </c>
      <c r="I133" s="13" t="s">
        <v>624</v>
      </c>
      <c r="J133" s="10">
        <f xml:space="preserve"> 19217.4 * 1000000</f>
        <v>19217400000</v>
      </c>
      <c r="K133" s="3" t="s">
        <v>2194</v>
      </c>
      <c r="L133" s="3" t="s">
        <v>899</v>
      </c>
      <c r="M133" s="3" t="s">
        <v>900</v>
      </c>
      <c r="N133" s="3" t="s">
        <v>901</v>
      </c>
      <c r="O133" s="3" t="s">
        <v>878</v>
      </c>
      <c r="P133" s="3" t="s">
        <v>889</v>
      </c>
      <c r="Q133" s="3"/>
      <c r="R133" s="11" t="s">
        <v>902</v>
      </c>
      <c r="S133" s="11" t="s">
        <v>903</v>
      </c>
      <c r="T133" s="3"/>
      <c r="U133" s="3"/>
      <c r="V133" s="3"/>
      <c r="W133" s="10">
        <f>IF( J133="s.i", "s.i", IF(ISBLANK(J133),"Actualizando información",IFERROR(J133 / VLOOKUP(A133,Deflactor!$G$3:$H$64,2,0),"Revisar error" )))</f>
        <v>18145654317.347717</v>
      </c>
    </row>
    <row r="134" spans="1:23" x14ac:dyDescent="0.25">
      <c r="A134" s="3">
        <v>2014</v>
      </c>
      <c r="B134" s="3" t="s">
        <v>191</v>
      </c>
      <c r="C134" s="3" t="s">
        <v>7</v>
      </c>
      <c r="D134" s="3" t="s">
        <v>36</v>
      </c>
      <c r="E134" s="3" t="s">
        <v>37</v>
      </c>
      <c r="F134" s="3" t="s">
        <v>89</v>
      </c>
      <c r="G134" s="3" t="s">
        <v>724</v>
      </c>
      <c r="H134" s="13">
        <v>2010</v>
      </c>
      <c r="I134" s="13" t="s">
        <v>624</v>
      </c>
      <c r="J134" s="10">
        <f xml:space="preserve"> 21566 * 1000000</f>
        <v>21566000000</v>
      </c>
      <c r="K134" s="3" t="s">
        <v>803</v>
      </c>
      <c r="L134" s="3" t="s">
        <v>1383</v>
      </c>
      <c r="M134" s="3" t="s">
        <v>1384</v>
      </c>
      <c r="N134" s="3" t="s">
        <v>1385</v>
      </c>
      <c r="O134" s="3" t="s">
        <v>1386</v>
      </c>
      <c r="P134" s="3"/>
      <c r="Q134" s="3"/>
      <c r="R134" s="3" t="s">
        <v>1387</v>
      </c>
      <c r="S134" s="3" t="s">
        <v>1388</v>
      </c>
      <c r="T134" s="3"/>
      <c r="U134" s="3"/>
      <c r="V134" s="3"/>
      <c r="W134" s="10">
        <f>IF( J134="s.i", "s.i", IF(ISBLANK(J134),"Actualizando información",IFERROR(J134 / VLOOKUP(A134,Deflactor!$G$3:$H$64,2,0),"Revisar error" )))</f>
        <v>20363273960.469204</v>
      </c>
    </row>
    <row r="135" spans="1:23" x14ac:dyDescent="0.25">
      <c r="A135" s="3">
        <v>2014</v>
      </c>
      <c r="B135" s="3" t="s">
        <v>192</v>
      </c>
      <c r="C135" s="3" t="s">
        <v>7</v>
      </c>
      <c r="D135" s="3" t="s">
        <v>36</v>
      </c>
      <c r="E135" s="3" t="s">
        <v>37</v>
      </c>
      <c r="F135" s="3" t="s">
        <v>89</v>
      </c>
      <c r="G135" s="3" t="s">
        <v>724</v>
      </c>
      <c r="H135" s="13">
        <v>2009</v>
      </c>
      <c r="I135" s="13" t="s">
        <v>624</v>
      </c>
      <c r="J135" s="10">
        <f xml:space="preserve"> 27310036 * 1000000</f>
        <v>27310036000000</v>
      </c>
      <c r="K135" s="3"/>
      <c r="L135" s="3" t="s">
        <v>1389</v>
      </c>
      <c r="M135" s="3" t="s">
        <v>1390</v>
      </c>
      <c r="N135" s="3" t="s">
        <v>1391</v>
      </c>
      <c r="O135" s="3"/>
      <c r="P135" s="3"/>
      <c r="Q135" s="3"/>
      <c r="R135" s="3" t="s">
        <v>1392</v>
      </c>
      <c r="S135" s="3" t="s">
        <v>1393</v>
      </c>
      <c r="T135" s="3"/>
      <c r="U135" s="3"/>
      <c r="V135" s="3"/>
      <c r="W135" s="10">
        <f>IF( J135="s.i", "s.i", IF(ISBLANK(J135),"Actualizando información",IFERROR(J135 / VLOOKUP(A135,Deflactor!$G$3:$H$64,2,0),"Revisar error" )))</f>
        <v>25786967677746.293</v>
      </c>
    </row>
    <row r="136" spans="1:23" x14ac:dyDescent="0.25">
      <c r="A136" s="3">
        <v>2014</v>
      </c>
      <c r="B136" s="3" t="s">
        <v>193</v>
      </c>
      <c r="C136" s="3" t="s">
        <v>7</v>
      </c>
      <c r="D136" s="3" t="s">
        <v>36</v>
      </c>
      <c r="E136" s="3" t="s">
        <v>81</v>
      </c>
      <c r="F136" s="3" t="s">
        <v>194</v>
      </c>
      <c r="G136" s="3" t="s">
        <v>624</v>
      </c>
      <c r="H136" s="13">
        <v>1964</v>
      </c>
      <c r="I136" s="13" t="s">
        <v>624</v>
      </c>
      <c r="J136" s="10">
        <f xml:space="preserve"> 11549 * 1000000</f>
        <v>11549000000</v>
      </c>
      <c r="K136" s="3"/>
      <c r="L136" s="3" t="s">
        <v>1394</v>
      </c>
      <c r="M136" s="3" t="s">
        <v>1395</v>
      </c>
      <c r="N136" s="3" t="s">
        <v>1396</v>
      </c>
      <c r="O136" s="3"/>
      <c r="P136" s="3"/>
      <c r="Q136" s="3"/>
      <c r="R136" s="3" t="s">
        <v>1397</v>
      </c>
      <c r="S136" s="3" t="s">
        <v>1398</v>
      </c>
      <c r="T136" s="3" t="s">
        <v>1399</v>
      </c>
      <c r="U136" s="3"/>
      <c r="V136" s="3"/>
      <c r="W136" s="10">
        <f>IF( J136="s.i", "s.i", IF(ISBLANK(J136),"Actualizando información",IFERROR(J136 / VLOOKUP(A136,Deflactor!$G$3:$H$64,2,0),"Revisar error" )))</f>
        <v>10904917507.625839</v>
      </c>
    </row>
    <row r="137" spans="1:23" x14ac:dyDescent="0.25">
      <c r="A137" s="3">
        <v>2014</v>
      </c>
      <c r="B137" s="3" t="s">
        <v>195</v>
      </c>
      <c r="C137" s="3" t="s">
        <v>7</v>
      </c>
      <c r="D137" s="3" t="s">
        <v>36</v>
      </c>
      <c r="E137" s="3" t="s">
        <v>81</v>
      </c>
      <c r="F137" s="3" t="s">
        <v>194</v>
      </c>
      <c r="G137" s="3" t="s">
        <v>624</v>
      </c>
      <c r="H137" s="13">
        <v>1964</v>
      </c>
      <c r="I137" s="13" t="s">
        <v>624</v>
      </c>
      <c r="J137" s="10">
        <f t="shared" ref="J137:J141" si="1" xml:space="preserve"> 11549 * 1000000</f>
        <v>11549000000</v>
      </c>
      <c r="K137" s="3"/>
      <c r="L137" s="3" t="s">
        <v>1394</v>
      </c>
      <c r="M137" s="3" t="s">
        <v>1395</v>
      </c>
      <c r="N137" s="3" t="s">
        <v>1396</v>
      </c>
      <c r="O137" s="3"/>
      <c r="P137" s="3"/>
      <c r="Q137" s="3"/>
      <c r="R137" s="3" t="s">
        <v>1397</v>
      </c>
      <c r="S137" s="3" t="s">
        <v>1398</v>
      </c>
      <c r="T137" s="3" t="s">
        <v>1399</v>
      </c>
      <c r="U137" s="3"/>
      <c r="V137" s="3"/>
      <c r="W137" s="10">
        <f>IF( J137="s.i", "s.i", IF(ISBLANK(J137),"Actualizando información",IFERROR(J137 / VLOOKUP(A137,Deflactor!$G$3:$H$64,2,0),"Revisar error" )))</f>
        <v>10904917507.625839</v>
      </c>
    </row>
    <row r="138" spans="1:23" x14ac:dyDescent="0.25">
      <c r="A138" s="3">
        <v>2014</v>
      </c>
      <c r="B138" s="3" t="s">
        <v>196</v>
      </c>
      <c r="C138" s="3" t="s">
        <v>7</v>
      </c>
      <c r="D138" s="3" t="s">
        <v>36</v>
      </c>
      <c r="E138" s="3" t="s">
        <v>81</v>
      </c>
      <c r="F138" s="3" t="s">
        <v>194</v>
      </c>
      <c r="G138" s="3" t="s">
        <v>624</v>
      </c>
      <c r="H138" s="13">
        <v>1964</v>
      </c>
      <c r="I138" s="13" t="s">
        <v>624</v>
      </c>
      <c r="J138" s="10">
        <f t="shared" si="1"/>
        <v>11549000000</v>
      </c>
      <c r="K138" s="3"/>
      <c r="L138" s="3" t="s">
        <v>1394</v>
      </c>
      <c r="M138" s="3" t="s">
        <v>1395</v>
      </c>
      <c r="N138" s="3" t="s">
        <v>1396</v>
      </c>
      <c r="O138" s="3"/>
      <c r="P138" s="3"/>
      <c r="Q138" s="3"/>
      <c r="R138" s="3" t="s">
        <v>1397</v>
      </c>
      <c r="S138" s="3" t="s">
        <v>1398</v>
      </c>
      <c r="T138" s="3" t="s">
        <v>1399</v>
      </c>
      <c r="U138" s="3"/>
      <c r="V138" s="3"/>
      <c r="W138" s="10">
        <f>IF( J138="s.i", "s.i", IF(ISBLANK(J138),"Actualizando información",IFERROR(J138 / VLOOKUP(A138,Deflactor!$G$3:$H$64,2,0),"Revisar error" )))</f>
        <v>10904917507.625839</v>
      </c>
    </row>
    <row r="139" spans="1:23" x14ac:dyDescent="0.25">
      <c r="A139" s="3">
        <v>2014</v>
      </c>
      <c r="B139" s="3" t="s">
        <v>197</v>
      </c>
      <c r="C139" s="3" t="s">
        <v>7</v>
      </c>
      <c r="D139" s="3" t="s">
        <v>36</v>
      </c>
      <c r="E139" s="3" t="s">
        <v>81</v>
      </c>
      <c r="F139" s="3" t="s">
        <v>95</v>
      </c>
      <c r="G139" s="3" t="s">
        <v>624</v>
      </c>
      <c r="H139" s="13">
        <v>1964</v>
      </c>
      <c r="I139" s="13" t="s">
        <v>624</v>
      </c>
      <c r="J139" s="10">
        <f t="shared" si="1"/>
        <v>11549000000</v>
      </c>
      <c r="K139" s="3"/>
      <c r="L139" s="3" t="s">
        <v>1394</v>
      </c>
      <c r="M139" s="3" t="s">
        <v>1395</v>
      </c>
      <c r="N139" s="3" t="s">
        <v>1396</v>
      </c>
      <c r="O139" s="3"/>
      <c r="P139" s="3"/>
      <c r="Q139" s="3"/>
      <c r="R139" s="3" t="s">
        <v>1397</v>
      </c>
      <c r="S139" s="3" t="s">
        <v>1398</v>
      </c>
      <c r="T139" s="3" t="s">
        <v>1399</v>
      </c>
      <c r="U139" s="3"/>
      <c r="V139" s="3" t="s">
        <v>1217</v>
      </c>
      <c r="W139" s="10">
        <f>IF( J139="s.i", "s.i", IF(ISBLANK(J139),"Actualizando información",IFERROR(J139 / VLOOKUP(A139,Deflactor!$G$3:$H$64,2,0),"Revisar error" )))</f>
        <v>10904917507.625839</v>
      </c>
    </row>
    <row r="140" spans="1:23" x14ac:dyDescent="0.25">
      <c r="A140" s="3">
        <v>2014</v>
      </c>
      <c r="B140" s="3" t="s">
        <v>205</v>
      </c>
      <c r="C140" s="3" t="s">
        <v>7</v>
      </c>
      <c r="D140" s="3" t="s">
        <v>36</v>
      </c>
      <c r="E140" s="3" t="s">
        <v>81</v>
      </c>
      <c r="F140" s="3" t="s">
        <v>89</v>
      </c>
      <c r="G140" s="3" t="s">
        <v>624</v>
      </c>
      <c r="H140" s="13">
        <v>1964</v>
      </c>
      <c r="I140" s="13" t="s">
        <v>624</v>
      </c>
      <c r="J140" s="10">
        <f t="shared" si="1"/>
        <v>11549000000</v>
      </c>
      <c r="K140" s="3" t="s">
        <v>1788</v>
      </c>
      <c r="L140" s="3" t="s">
        <v>1394</v>
      </c>
      <c r="M140" s="3" t="s">
        <v>1395</v>
      </c>
      <c r="N140" s="3" t="s">
        <v>1396</v>
      </c>
      <c r="O140" s="3"/>
      <c r="P140" s="3"/>
      <c r="Q140" s="3"/>
      <c r="R140" s="3" t="s">
        <v>1397</v>
      </c>
      <c r="S140" s="3" t="s">
        <v>1398</v>
      </c>
      <c r="T140" s="3" t="s">
        <v>1399</v>
      </c>
      <c r="U140" s="3"/>
      <c r="V140" s="3"/>
      <c r="W140" s="10">
        <f>IF( J140="s.i", "s.i", IF(ISBLANK(J140),"Actualizando información",IFERROR(J140 / VLOOKUP(A140,Deflactor!$G$3:$H$64,2,0),"Revisar error" )))</f>
        <v>10904917507.625839</v>
      </c>
    </row>
    <row r="141" spans="1:23" x14ac:dyDescent="0.25">
      <c r="A141" s="3">
        <v>2014</v>
      </c>
      <c r="B141" s="3" t="s">
        <v>206</v>
      </c>
      <c r="C141" s="3" t="s">
        <v>7</v>
      </c>
      <c r="D141" s="3" t="s">
        <v>36</v>
      </c>
      <c r="E141" s="3" t="s">
        <v>81</v>
      </c>
      <c r="F141" s="3" t="s">
        <v>95</v>
      </c>
      <c r="G141" s="3" t="s">
        <v>624</v>
      </c>
      <c r="H141" s="13">
        <v>1964</v>
      </c>
      <c r="I141" s="13" t="s">
        <v>624</v>
      </c>
      <c r="J141" s="10">
        <f t="shared" si="1"/>
        <v>11549000000</v>
      </c>
      <c r="K141" s="3"/>
      <c r="L141" s="3" t="s">
        <v>1394</v>
      </c>
      <c r="M141" s="3" t="s">
        <v>1395</v>
      </c>
      <c r="N141" s="3" t="s">
        <v>1396</v>
      </c>
      <c r="O141" s="3"/>
      <c r="P141" s="3"/>
      <c r="Q141" s="3"/>
      <c r="R141" s="3" t="s">
        <v>1397</v>
      </c>
      <c r="S141" s="3" t="s">
        <v>1398</v>
      </c>
      <c r="T141" s="3" t="s">
        <v>1399</v>
      </c>
      <c r="U141" s="3"/>
      <c r="V141" s="3"/>
      <c r="W141" s="10">
        <f>IF( J141="s.i", "s.i", IF(ISBLANK(J141),"Actualizando información",IFERROR(J141 / VLOOKUP(A141,Deflactor!$G$3:$H$64,2,0),"Revisar error" )))</f>
        <v>10904917507.625839</v>
      </c>
    </row>
    <row r="142" spans="1:23" x14ac:dyDescent="0.25">
      <c r="A142" s="3">
        <v>2014</v>
      </c>
      <c r="B142" s="3" t="s">
        <v>207</v>
      </c>
      <c r="C142" s="3" t="s">
        <v>7</v>
      </c>
      <c r="D142" s="3" t="s">
        <v>36</v>
      </c>
      <c r="E142" s="3" t="s">
        <v>68</v>
      </c>
      <c r="F142" s="3" t="s">
        <v>95</v>
      </c>
      <c r="G142" s="3" t="s">
        <v>724</v>
      </c>
      <c r="H142" s="12">
        <v>2005</v>
      </c>
      <c r="I142" s="13" t="s">
        <v>624</v>
      </c>
      <c r="J142" s="10">
        <f xml:space="preserve"> 6237.7 * 1000000</f>
        <v>6237700000</v>
      </c>
      <c r="K142" s="3" t="s">
        <v>1651</v>
      </c>
      <c r="L142" s="3" t="s">
        <v>892</v>
      </c>
      <c r="M142" s="3" t="s">
        <v>854</v>
      </c>
      <c r="N142" s="3" t="s">
        <v>855</v>
      </c>
      <c r="O142" s="3" t="s">
        <v>893</v>
      </c>
      <c r="P142" s="3" t="s">
        <v>894</v>
      </c>
      <c r="Q142" s="3" t="s">
        <v>895</v>
      </c>
      <c r="R142" s="11" t="s">
        <v>896</v>
      </c>
      <c r="S142" s="11" t="s">
        <v>897</v>
      </c>
      <c r="T142" s="11" t="s">
        <v>898</v>
      </c>
      <c r="U142" s="3" t="s">
        <v>1142</v>
      </c>
      <c r="V142" s="3"/>
      <c r="W142" s="10">
        <f>IF( J142="s.i", "s.i", IF(ISBLANK(J142),"Actualizando información",IFERROR(J142 / VLOOKUP(A142,Deflactor!$G$3:$H$64,2,0),"Revisar error" )))</f>
        <v>5889826299.8803101</v>
      </c>
    </row>
    <row r="143" spans="1:23" x14ac:dyDescent="0.25">
      <c r="A143" s="3">
        <v>2014</v>
      </c>
      <c r="B143" s="3" t="s">
        <v>208</v>
      </c>
      <c r="C143" s="3" t="s">
        <v>7</v>
      </c>
      <c r="D143" s="3" t="s">
        <v>40</v>
      </c>
      <c r="E143" s="3" t="s">
        <v>160</v>
      </c>
      <c r="F143" s="3" t="s">
        <v>95</v>
      </c>
      <c r="G143" s="3" t="s">
        <v>724</v>
      </c>
      <c r="H143" s="12">
        <v>1981</v>
      </c>
      <c r="I143" s="13" t="s">
        <v>624</v>
      </c>
      <c r="J143" s="10">
        <f xml:space="preserve"> 34285 * 1000000</f>
        <v>34285000000</v>
      </c>
      <c r="K143" s="3" t="s">
        <v>1832</v>
      </c>
      <c r="L143" s="3" t="s">
        <v>1400</v>
      </c>
      <c r="M143" s="3" t="s">
        <v>1401</v>
      </c>
      <c r="N143" s="3" t="s">
        <v>1402</v>
      </c>
      <c r="O143" s="3" t="s">
        <v>1403</v>
      </c>
      <c r="P143" s="3"/>
      <c r="Q143" s="3"/>
      <c r="R143" s="3" t="s">
        <v>1404</v>
      </c>
      <c r="S143" s="3" t="s">
        <v>1405</v>
      </c>
      <c r="T143" s="3" t="s">
        <v>1406</v>
      </c>
      <c r="U143" s="3"/>
      <c r="V143" s="3"/>
      <c r="W143" s="10">
        <f>IF( J143="s.i", "s.i", IF(ISBLANK(J143),"Actualizando información",IFERROR(J143 / VLOOKUP(A143,Deflactor!$G$3:$H$64,2,0),"Revisar error" )))</f>
        <v>32372941098.705681</v>
      </c>
    </row>
    <row r="144" spans="1:23" x14ac:dyDescent="0.25">
      <c r="A144" s="3">
        <v>2014</v>
      </c>
      <c r="B144" s="3" t="s">
        <v>198</v>
      </c>
      <c r="C144" s="3" t="s">
        <v>7</v>
      </c>
      <c r="D144" s="3" t="s">
        <v>54</v>
      </c>
      <c r="E144" s="3" t="s">
        <v>55</v>
      </c>
      <c r="F144" s="3" t="s">
        <v>89</v>
      </c>
      <c r="G144" s="3" t="s">
        <v>724</v>
      </c>
      <c r="H144" s="13">
        <v>2008</v>
      </c>
      <c r="I144" s="13" t="s">
        <v>624</v>
      </c>
      <c r="J144" s="10">
        <f xml:space="preserve"> 46130757 * 1000000</f>
        <v>46130757000000</v>
      </c>
      <c r="K144" s="3" t="s">
        <v>1660</v>
      </c>
      <c r="L144" s="3" t="s">
        <v>1407</v>
      </c>
      <c r="M144" s="3" t="s">
        <v>1408</v>
      </c>
      <c r="N144" s="3"/>
      <c r="O144" s="3"/>
      <c r="P144" s="3"/>
      <c r="Q144" s="3"/>
      <c r="R144" s="3" t="s">
        <v>1409</v>
      </c>
      <c r="S144" s="3" t="s">
        <v>1410</v>
      </c>
      <c r="T144" s="3"/>
      <c r="U144" s="3"/>
      <c r="V144" s="3"/>
      <c r="W144" s="10">
        <f>IF( J144="s.i", "s.i", IF(ISBLANK(J144),"Actualizando información",IFERROR(J144 / VLOOKUP(A144,Deflactor!$G$3:$H$64,2,0),"Revisar error" )))</f>
        <v>43558065603024.781</v>
      </c>
    </row>
    <row r="145" spans="1:23" x14ac:dyDescent="0.25">
      <c r="A145" s="3">
        <v>2014</v>
      </c>
      <c r="B145" s="3" t="s">
        <v>199</v>
      </c>
      <c r="C145" s="3" t="s">
        <v>7</v>
      </c>
      <c r="D145" s="3" t="s">
        <v>32</v>
      </c>
      <c r="E145" s="3" t="s">
        <v>33</v>
      </c>
      <c r="F145" s="3" t="s">
        <v>89</v>
      </c>
      <c r="G145" s="3" t="s">
        <v>724</v>
      </c>
      <c r="H145" s="13">
        <v>2011</v>
      </c>
      <c r="I145" s="13" t="s">
        <v>624</v>
      </c>
      <c r="J145" s="10">
        <f xml:space="preserve"> 215848343 * 1000000</f>
        <v>215848343000000</v>
      </c>
      <c r="K145" s="3" t="s">
        <v>1654</v>
      </c>
      <c r="L145" s="3" t="s">
        <v>1411</v>
      </c>
      <c r="M145" s="3" t="s">
        <v>1412</v>
      </c>
      <c r="N145" s="3" t="s">
        <v>1413</v>
      </c>
      <c r="O145" s="3"/>
      <c r="P145" s="3"/>
      <c r="Q145" s="3"/>
      <c r="R145" s="3" t="s">
        <v>1414</v>
      </c>
      <c r="S145" s="3" t="s">
        <v>1415</v>
      </c>
      <c r="T145" s="3"/>
      <c r="U145" s="3" t="s">
        <v>1198</v>
      </c>
      <c r="V145" s="3"/>
      <c r="W145" s="10">
        <f>IF( J145="s.i", "s.i", IF(ISBLANK(J145),"Actualizando información",IFERROR(J145 / VLOOKUP(A145,Deflactor!$G$3:$H$64,2,0),"Revisar error" )))</f>
        <v>203810578800998.13</v>
      </c>
    </row>
    <row r="146" spans="1:23" x14ac:dyDescent="0.25">
      <c r="A146" s="3">
        <v>2014</v>
      </c>
      <c r="B146" s="3" t="s">
        <v>200</v>
      </c>
      <c r="C146" s="3" t="s">
        <v>7</v>
      </c>
      <c r="D146" s="3" t="s">
        <v>32</v>
      </c>
      <c r="E146" s="3" t="s">
        <v>33</v>
      </c>
      <c r="F146" s="3" t="s">
        <v>89</v>
      </c>
      <c r="G146" s="3" t="s">
        <v>624</v>
      </c>
      <c r="H146" s="13">
        <v>2002</v>
      </c>
      <c r="I146" s="13" t="s">
        <v>624</v>
      </c>
      <c r="J146" s="10">
        <f xml:space="preserve"> 3040838 * 1000000</f>
        <v>3040838000000</v>
      </c>
      <c r="K146" s="3"/>
      <c r="L146" s="3" t="s">
        <v>1416</v>
      </c>
      <c r="M146" s="3" t="s">
        <v>1417</v>
      </c>
      <c r="N146" s="3"/>
      <c r="O146" s="3"/>
      <c r="P146" s="3"/>
      <c r="Q146" s="3"/>
      <c r="R146" s="3" t="s">
        <v>1414</v>
      </c>
      <c r="S146" s="3" t="s">
        <v>1415</v>
      </c>
      <c r="T146" s="3"/>
      <c r="U146" s="3"/>
      <c r="V146" s="3"/>
      <c r="W146" s="10">
        <f>IF( J146="s.i", "s.i", IF(ISBLANK(J146),"Actualizando información",IFERROR(J146 / VLOOKUP(A146,Deflactor!$G$3:$H$64,2,0),"Revisar error" )))</f>
        <v>2871251843800.6704</v>
      </c>
    </row>
    <row r="147" spans="1:23" x14ac:dyDescent="0.25">
      <c r="A147" s="3">
        <v>2014</v>
      </c>
      <c r="B147" s="3" t="s">
        <v>204</v>
      </c>
      <c r="C147" s="3" t="s">
        <v>7</v>
      </c>
      <c r="D147" s="3" t="s">
        <v>12</v>
      </c>
      <c r="E147" s="3" t="s">
        <v>105</v>
      </c>
      <c r="F147" s="3" t="s">
        <v>95</v>
      </c>
      <c r="G147" s="3" t="s">
        <v>724</v>
      </c>
      <c r="H147" s="13">
        <v>2010</v>
      </c>
      <c r="I147" s="13" t="s">
        <v>624</v>
      </c>
      <c r="J147" s="10" t="s">
        <v>624</v>
      </c>
      <c r="K147" s="3"/>
      <c r="L147" s="3" t="s">
        <v>1418</v>
      </c>
      <c r="M147" s="3" t="s">
        <v>1419</v>
      </c>
      <c r="N147" s="3" t="s">
        <v>1420</v>
      </c>
      <c r="O147" s="3" t="s">
        <v>1421</v>
      </c>
      <c r="P147" s="3" t="s">
        <v>1422</v>
      </c>
      <c r="Q147" s="3"/>
      <c r="R147" s="3" t="s">
        <v>1423</v>
      </c>
      <c r="S147" s="3" t="s">
        <v>1424</v>
      </c>
      <c r="T147" s="3" t="s">
        <v>1425</v>
      </c>
      <c r="U147" s="3"/>
      <c r="V147" s="3"/>
      <c r="W147" s="10" t="str">
        <f>IF( J147="s.i", "s.i", IF(ISBLANK(J147),"Actualizando información",IFERROR(J147 / VLOOKUP(A147,Deflactor!$G$3:$H$64,2,0),"Revisar error" )))</f>
        <v>s.i</v>
      </c>
    </row>
    <row r="148" spans="1:23" x14ac:dyDescent="0.25">
      <c r="A148" s="3">
        <v>2014</v>
      </c>
      <c r="B148" s="3" t="s">
        <v>202</v>
      </c>
      <c r="C148" s="3" t="s">
        <v>92</v>
      </c>
      <c r="D148" s="3" t="s">
        <v>64</v>
      </c>
      <c r="E148" s="3" t="s">
        <v>203</v>
      </c>
      <c r="F148" s="3" t="s">
        <v>95</v>
      </c>
      <c r="G148" s="3" t="s">
        <v>724</v>
      </c>
      <c r="H148" s="13">
        <v>1981</v>
      </c>
      <c r="I148" s="13" t="s">
        <v>624</v>
      </c>
      <c r="J148" s="10">
        <f xml:space="preserve"> 275.3 * 1000000000</f>
        <v>275300000000</v>
      </c>
      <c r="K148" s="3"/>
      <c r="L148" s="3" t="s">
        <v>1426</v>
      </c>
      <c r="M148" s="3" t="s">
        <v>1427</v>
      </c>
      <c r="N148" s="3"/>
      <c r="O148" s="3"/>
      <c r="P148" s="3"/>
      <c r="Q148" s="3"/>
      <c r="R148" s="3" t="s">
        <v>1428</v>
      </c>
      <c r="S148" s="3" t="s">
        <v>1429</v>
      </c>
      <c r="T148" s="3"/>
      <c r="U148" s="3"/>
      <c r="V148" s="3"/>
      <c r="W148" s="10">
        <f>IF( J148="s.i", "s.i", IF(ISBLANK(J148),"Actualizando información",IFERROR(J148 / VLOOKUP(A148,Deflactor!$G$3:$H$64,2,0),"Revisar error" )))</f>
        <v>259946643852.22906</v>
      </c>
    </row>
    <row r="149" spans="1:23" x14ac:dyDescent="0.25">
      <c r="A149" s="3">
        <v>2014</v>
      </c>
      <c r="B149" s="3" t="s">
        <v>209</v>
      </c>
      <c r="C149" s="3" t="s">
        <v>7</v>
      </c>
      <c r="D149" s="3" t="s">
        <v>48</v>
      </c>
      <c r="E149" s="3" t="s">
        <v>49</v>
      </c>
      <c r="F149" s="3" t="s">
        <v>89</v>
      </c>
      <c r="G149" s="3" t="s">
        <v>624</v>
      </c>
      <c r="H149" s="12">
        <v>1993</v>
      </c>
      <c r="I149" s="13" t="s">
        <v>624</v>
      </c>
      <c r="J149" s="10">
        <f xml:space="preserve"> 4013 * 1000000</f>
        <v>4013000000</v>
      </c>
      <c r="K149" s="3"/>
      <c r="L149" s="3" t="s">
        <v>1430</v>
      </c>
      <c r="M149" s="3" t="s">
        <v>1431</v>
      </c>
      <c r="N149" s="3" t="s">
        <v>1432</v>
      </c>
      <c r="O149" s="3" t="s">
        <v>1433</v>
      </c>
      <c r="P149" s="3"/>
      <c r="Q149" s="3"/>
      <c r="R149" s="3" t="s">
        <v>1434</v>
      </c>
      <c r="S149" s="3" t="s">
        <v>1435</v>
      </c>
      <c r="T149" s="3"/>
      <c r="U149" s="3"/>
      <c r="V149" s="3"/>
      <c r="W149" s="10">
        <f>IF( J149="s.i", "s.i", IF(ISBLANK(J149),"Actualizando información",IFERROR(J149 / VLOOKUP(A149,Deflactor!$G$3:$H$64,2,0),"Revisar error" )))</f>
        <v>3789196809.9491291</v>
      </c>
    </row>
    <row r="150" spans="1:23" x14ac:dyDescent="0.25">
      <c r="A150" s="3">
        <v>2014</v>
      </c>
      <c r="B150" s="3" t="s">
        <v>210</v>
      </c>
      <c r="C150" s="3" t="s">
        <v>7</v>
      </c>
      <c r="D150" s="3" t="s">
        <v>48</v>
      </c>
      <c r="E150" s="3" t="s">
        <v>88</v>
      </c>
      <c r="F150" s="3" t="s">
        <v>89</v>
      </c>
      <c r="G150" s="3" t="s">
        <v>904</v>
      </c>
      <c r="H150" s="13">
        <v>2001</v>
      </c>
      <c r="I150" s="13" t="s">
        <v>624</v>
      </c>
      <c r="J150" s="10">
        <f xml:space="preserve"> 13838 * 1000000</f>
        <v>13838000000</v>
      </c>
      <c r="K150" s="3" t="s">
        <v>1668</v>
      </c>
      <c r="L150" s="3" t="s">
        <v>1436</v>
      </c>
      <c r="M150" s="3" t="s">
        <v>1437</v>
      </c>
      <c r="N150" s="3" t="s">
        <v>1438</v>
      </c>
      <c r="O150" s="3" t="s">
        <v>1439</v>
      </c>
      <c r="P150" s="3" t="s">
        <v>1440</v>
      </c>
      <c r="Q150" s="3"/>
      <c r="R150" s="3" t="s">
        <v>1441</v>
      </c>
      <c r="S150" s="3" t="s">
        <v>1442</v>
      </c>
      <c r="T150" s="3"/>
      <c r="U150" s="3"/>
      <c r="V150" s="3"/>
      <c r="W150" s="10">
        <f>IF( J150="s.i", "s.i", IF(ISBLANK(J150),"Actualizando información",IFERROR(J150 / VLOOKUP(A150,Deflactor!$G$3:$H$64,2,0),"Revisar error" )))</f>
        <v>13066261015.717928</v>
      </c>
    </row>
    <row r="151" spans="1:23" x14ac:dyDescent="0.25">
      <c r="A151" s="3">
        <v>2013</v>
      </c>
      <c r="B151" s="3" t="s">
        <v>213</v>
      </c>
      <c r="C151" s="3" t="s">
        <v>7</v>
      </c>
      <c r="D151" s="3" t="s">
        <v>8</v>
      </c>
      <c r="E151" s="3" t="s">
        <v>214</v>
      </c>
      <c r="F151" s="3" t="s">
        <v>95</v>
      </c>
      <c r="G151" s="3" t="s">
        <v>724</v>
      </c>
      <c r="H151" s="12">
        <v>2008</v>
      </c>
      <c r="I151" s="13"/>
      <c r="J151" s="10">
        <f xml:space="preserve"> 5539 * 1000000</f>
        <v>5539000000</v>
      </c>
      <c r="K151" s="3"/>
      <c r="L151" s="3" t="s">
        <v>2206</v>
      </c>
      <c r="M151" s="3" t="s">
        <v>2207</v>
      </c>
      <c r="N151" s="3" t="s">
        <v>2208</v>
      </c>
      <c r="O151" s="3" t="s">
        <v>2209</v>
      </c>
      <c r="P151" s="3" t="s">
        <v>2210</v>
      </c>
      <c r="Q151" s="3"/>
      <c r="R151" s="11" t="s">
        <v>2203</v>
      </c>
      <c r="S151" s="11" t="s">
        <v>2204</v>
      </c>
      <c r="T151" s="11" t="s">
        <v>2205</v>
      </c>
      <c r="U151" s="3"/>
      <c r="V151" s="3"/>
      <c r="W151" s="10">
        <f>IF( J151="s.i", "s.i", IF(ISBLANK(J151),"Actualizando información",IFERROR(J151 / VLOOKUP(A151,Deflactor!$G$3:$H$64,2,0),"Revisar error" )))</f>
        <v>5539000000</v>
      </c>
    </row>
    <row r="152" spans="1:23" x14ac:dyDescent="0.25">
      <c r="A152" s="3">
        <v>2013</v>
      </c>
      <c r="B152" s="3" t="s">
        <v>215</v>
      </c>
      <c r="C152" s="3" t="s">
        <v>155</v>
      </c>
      <c r="D152" s="3" t="s">
        <v>216</v>
      </c>
      <c r="E152" s="3" t="s">
        <v>217</v>
      </c>
      <c r="F152" s="3" t="s">
        <v>157</v>
      </c>
      <c r="G152" s="3" t="s">
        <v>724</v>
      </c>
      <c r="H152" s="13">
        <v>2003</v>
      </c>
      <c r="I152" s="13"/>
      <c r="J152" s="13" t="s">
        <v>624</v>
      </c>
      <c r="K152" s="3"/>
      <c r="L152" s="3" t="s">
        <v>2214</v>
      </c>
      <c r="M152" s="3" t="s">
        <v>2215</v>
      </c>
      <c r="N152" s="3" t="s">
        <v>2216</v>
      </c>
      <c r="O152" s="3" t="s">
        <v>2217</v>
      </c>
      <c r="P152" s="3" t="s">
        <v>2218</v>
      </c>
      <c r="Q152" s="3"/>
      <c r="R152" s="29" t="s">
        <v>2211</v>
      </c>
      <c r="S152" s="29" t="s">
        <v>2212</v>
      </c>
      <c r="T152" s="11" t="s">
        <v>2213</v>
      </c>
      <c r="U152" s="3" t="s">
        <v>215</v>
      </c>
      <c r="V152" s="3"/>
      <c r="W152" s="10" t="str">
        <f>IF( J152="s.i", "s.i", IF(ISBLANK(J152),"Actualizando información",IFERROR(J152 / VLOOKUP(A152,Deflactor!$G$3:$H$64,2,0),"Revisar error" )))</f>
        <v>s.i</v>
      </c>
    </row>
    <row r="153" spans="1:23" x14ac:dyDescent="0.25">
      <c r="A153" s="3">
        <v>2013</v>
      </c>
      <c r="B153" s="3" t="s">
        <v>218</v>
      </c>
      <c r="C153" s="3" t="s">
        <v>7</v>
      </c>
      <c r="D153" s="3" t="s">
        <v>12</v>
      </c>
      <c r="E153" s="3" t="s">
        <v>13</v>
      </c>
      <c r="F153" s="3" t="s">
        <v>95</v>
      </c>
      <c r="G153" s="3" t="s">
        <v>724</v>
      </c>
      <c r="H153" s="12">
        <v>2008</v>
      </c>
      <c r="I153" s="13"/>
      <c r="J153" s="10">
        <f xml:space="preserve"> 16951 * 1000000</f>
        <v>16951000000</v>
      </c>
      <c r="K153" s="3"/>
      <c r="L153" s="3" t="s">
        <v>2222</v>
      </c>
      <c r="M153" s="3" t="s">
        <v>2223</v>
      </c>
      <c r="N153" s="3" t="s">
        <v>2224</v>
      </c>
      <c r="O153" s="3" t="s">
        <v>2225</v>
      </c>
      <c r="P153" s="3" t="s">
        <v>2226</v>
      </c>
      <c r="Q153" s="3"/>
      <c r="R153" s="29" t="s">
        <v>2219</v>
      </c>
      <c r="S153" s="11" t="s">
        <v>2220</v>
      </c>
      <c r="T153" s="11" t="s">
        <v>2221</v>
      </c>
      <c r="U153" s="3"/>
      <c r="V153" s="3"/>
      <c r="W153" s="10">
        <f>IF( J153="s.i", "s.i", IF(ISBLANK(J153),"Actualizando información",IFERROR(J153 / VLOOKUP(A153,Deflactor!$G$3:$H$64,2,0),"Revisar error" )))</f>
        <v>16951000000</v>
      </c>
    </row>
    <row r="154" spans="1:23" x14ac:dyDescent="0.25">
      <c r="A154" s="3">
        <v>2013</v>
      </c>
      <c r="B154" s="3" t="s">
        <v>219</v>
      </c>
      <c r="C154" s="3" t="s">
        <v>7</v>
      </c>
      <c r="D154" s="3" t="s">
        <v>40</v>
      </c>
      <c r="E154" s="3" t="s">
        <v>160</v>
      </c>
      <c r="F154" s="3" t="s">
        <v>194</v>
      </c>
      <c r="G154" s="13" t="s">
        <v>624</v>
      </c>
      <c r="H154" s="12">
        <v>2010</v>
      </c>
      <c r="I154" s="13" t="s">
        <v>624</v>
      </c>
      <c r="J154" s="10">
        <f xml:space="preserve"> 1065 * 1000000</f>
        <v>1065000000</v>
      </c>
      <c r="K154" s="3"/>
      <c r="L154" s="3" t="s">
        <v>2230</v>
      </c>
      <c r="M154" s="3" t="s">
        <v>2231</v>
      </c>
      <c r="N154" s="3" t="s">
        <v>2232</v>
      </c>
      <c r="O154" s="3" t="s">
        <v>2233</v>
      </c>
      <c r="P154" s="3" t="s">
        <v>2234</v>
      </c>
      <c r="Q154" s="3"/>
      <c r="R154" s="11" t="s">
        <v>2227</v>
      </c>
      <c r="S154" s="11" t="s">
        <v>2228</v>
      </c>
      <c r="T154" s="11" t="s">
        <v>2229</v>
      </c>
      <c r="U154" s="3"/>
      <c r="V154" s="3"/>
      <c r="W154" s="10">
        <f>IF( J154="s.i", "s.i", IF(ISBLANK(J154),"Actualizando información",IFERROR(J154 / VLOOKUP(A154,Deflactor!$G$3:$H$64,2,0),"Revisar error" )))</f>
        <v>1065000000</v>
      </c>
    </row>
    <row r="155" spans="1:23" x14ac:dyDescent="0.25">
      <c r="A155" s="3">
        <v>2013</v>
      </c>
      <c r="B155" s="3" t="s">
        <v>220</v>
      </c>
      <c r="C155" s="3" t="s">
        <v>7</v>
      </c>
      <c r="D155" s="3" t="s">
        <v>36</v>
      </c>
      <c r="E155" s="3" t="s">
        <v>94</v>
      </c>
      <c r="F155" s="3" t="s">
        <v>89</v>
      </c>
      <c r="G155" s="13" t="s">
        <v>624</v>
      </c>
      <c r="H155" s="12">
        <v>2009</v>
      </c>
      <c r="I155" s="13" t="s">
        <v>624</v>
      </c>
      <c r="J155" s="10">
        <f xml:space="preserve"> 4000 * 1000000</f>
        <v>4000000000</v>
      </c>
      <c r="K155" s="3" t="s">
        <v>2302</v>
      </c>
      <c r="L155" s="3" t="s">
        <v>2237</v>
      </c>
      <c r="M155" s="3" t="s">
        <v>2238</v>
      </c>
      <c r="N155" s="3" t="s">
        <v>2239</v>
      </c>
      <c r="O155" s="3" t="s">
        <v>2240</v>
      </c>
      <c r="P155" s="3" t="s">
        <v>2241</v>
      </c>
      <c r="Q155" s="3"/>
      <c r="R155" s="11" t="s">
        <v>2235</v>
      </c>
      <c r="S155" s="11" t="s">
        <v>2236</v>
      </c>
      <c r="T155" s="3"/>
      <c r="U155" s="3"/>
      <c r="V155" s="3"/>
      <c r="W155" s="10">
        <f>IF( J155="s.i", "s.i", IF(ISBLANK(J155),"Actualizando información",IFERROR(J155 / VLOOKUP(A155,Deflactor!$G$3:$H$64,2,0),"Revisar error" )))</f>
        <v>4000000000</v>
      </c>
    </row>
    <row r="156" spans="1:23" x14ac:dyDescent="0.25">
      <c r="A156" s="3">
        <v>2013</v>
      </c>
      <c r="B156" s="3" t="s">
        <v>221</v>
      </c>
      <c r="C156" s="3" t="s">
        <v>7</v>
      </c>
      <c r="D156" s="3" t="s">
        <v>36</v>
      </c>
      <c r="E156" s="3" t="s">
        <v>94</v>
      </c>
      <c r="F156" s="3" t="s">
        <v>95</v>
      </c>
      <c r="G156" s="3" t="s">
        <v>724</v>
      </c>
      <c r="H156" s="12">
        <v>1982</v>
      </c>
      <c r="I156" s="13"/>
      <c r="J156" s="10">
        <f xml:space="preserve"> 87442786 * 1000</f>
        <v>87442786000</v>
      </c>
      <c r="K156" s="3"/>
      <c r="L156" s="3" t="s">
        <v>2245</v>
      </c>
      <c r="M156" s="3" t="s">
        <v>2246</v>
      </c>
      <c r="N156" s="3" t="s">
        <v>2247</v>
      </c>
      <c r="O156" s="3" t="s">
        <v>2248</v>
      </c>
      <c r="P156" s="3" t="s">
        <v>2249</v>
      </c>
      <c r="Q156" s="3"/>
      <c r="R156" s="11" t="s">
        <v>2242</v>
      </c>
      <c r="S156" s="11" t="s">
        <v>2243</v>
      </c>
      <c r="T156" s="11" t="s">
        <v>2244</v>
      </c>
      <c r="U156" s="3" t="s">
        <v>1150</v>
      </c>
      <c r="V156" s="3"/>
      <c r="W156" s="10">
        <f>IF( J156="s.i", "s.i", IF(ISBLANK(J156),"Actualizando información",IFERROR(J156 / VLOOKUP(A156,Deflactor!$G$3:$H$64,2,0),"Revisar error" )))</f>
        <v>87442786000</v>
      </c>
    </row>
    <row r="157" spans="1:23" x14ac:dyDescent="0.25">
      <c r="A157" s="3">
        <v>2013</v>
      </c>
      <c r="B157" s="3" t="s">
        <v>222</v>
      </c>
      <c r="C157" s="3" t="s">
        <v>7</v>
      </c>
      <c r="D157" s="3" t="s">
        <v>36</v>
      </c>
      <c r="E157" s="3" t="s">
        <v>37</v>
      </c>
      <c r="F157" s="3" t="s">
        <v>89</v>
      </c>
      <c r="G157" s="3" t="s">
        <v>724</v>
      </c>
      <c r="H157" s="12">
        <v>2010</v>
      </c>
      <c r="I157" s="13"/>
      <c r="J157" s="10">
        <f xml:space="preserve"> 1964 * 1000000</f>
        <v>1964000000</v>
      </c>
      <c r="K157" s="3"/>
      <c r="L157" s="3" t="s">
        <v>2252</v>
      </c>
      <c r="M157" s="3" t="s">
        <v>2253</v>
      </c>
      <c r="N157" s="3" t="s">
        <v>2254</v>
      </c>
      <c r="O157" s="3" t="s">
        <v>2256</v>
      </c>
      <c r="P157" s="3" t="s">
        <v>2257</v>
      </c>
      <c r="Q157" s="3"/>
      <c r="R157" s="11" t="s">
        <v>2250</v>
      </c>
      <c r="S157" s="11" t="s">
        <v>2251</v>
      </c>
      <c r="T157" s="3"/>
      <c r="U157" s="3"/>
      <c r="V157" s="3" t="s">
        <v>2255</v>
      </c>
      <c r="W157" s="10">
        <f>IF( J157="s.i", "s.i", IF(ISBLANK(J157),"Actualizando información",IFERROR(J157 / VLOOKUP(A157,Deflactor!$G$3:$H$64,2,0),"Revisar error" )))</f>
        <v>1964000000</v>
      </c>
    </row>
    <row r="158" spans="1:23" x14ac:dyDescent="0.25">
      <c r="A158" s="3">
        <v>2013</v>
      </c>
      <c r="B158" s="3" t="s">
        <v>223</v>
      </c>
      <c r="C158" s="3" t="s">
        <v>155</v>
      </c>
      <c r="D158" s="3" t="s">
        <v>54</v>
      </c>
      <c r="E158" s="3" t="s">
        <v>55</v>
      </c>
      <c r="F158" s="3" t="s">
        <v>157</v>
      </c>
      <c r="G158" s="3" t="s">
        <v>724</v>
      </c>
      <c r="H158" s="12">
        <v>1990</v>
      </c>
      <c r="I158" s="13"/>
      <c r="J158" s="13" t="s">
        <v>624</v>
      </c>
      <c r="K158" s="3"/>
      <c r="L158" s="3" t="s">
        <v>2260</v>
      </c>
      <c r="M158" s="3" t="s">
        <v>2261</v>
      </c>
      <c r="N158" s="3" t="s">
        <v>2262</v>
      </c>
      <c r="O158" s="3" t="s">
        <v>2263</v>
      </c>
      <c r="P158" s="3" t="s">
        <v>2264</v>
      </c>
      <c r="Q158" s="3"/>
      <c r="R158" s="11" t="s">
        <v>2258</v>
      </c>
      <c r="S158" s="11" t="s">
        <v>2259</v>
      </c>
      <c r="T158" s="3"/>
      <c r="U158" s="3"/>
      <c r="V158" s="3"/>
      <c r="W158" s="10" t="str">
        <f>IF( J158="s.i", "s.i", IF(ISBLANK(J158),"Actualizando información",IFERROR(J158 / VLOOKUP(A158,Deflactor!$G$3:$H$64,2,0),"Revisar error" )))</f>
        <v>s.i</v>
      </c>
    </row>
    <row r="159" spans="1:23" x14ac:dyDescent="0.25">
      <c r="A159" s="3">
        <v>2013</v>
      </c>
      <c r="B159" s="3" t="s">
        <v>224</v>
      </c>
      <c r="C159" s="3" t="s">
        <v>7</v>
      </c>
      <c r="D159" s="3" t="s">
        <v>12</v>
      </c>
      <c r="E159" s="3" t="s">
        <v>12</v>
      </c>
      <c r="F159" s="3" t="s">
        <v>194</v>
      </c>
      <c r="G159" s="3" t="s">
        <v>724</v>
      </c>
      <c r="H159" s="12">
        <v>2009</v>
      </c>
      <c r="I159" s="13"/>
      <c r="J159" s="10">
        <f xml:space="preserve"> 273418358 * 1000</f>
        <v>273418358000</v>
      </c>
      <c r="K159" s="3" t="s">
        <v>2282</v>
      </c>
      <c r="L159" s="3" t="s">
        <v>2268</v>
      </c>
      <c r="M159" s="3" t="s">
        <v>2269</v>
      </c>
      <c r="N159" s="3" t="s">
        <v>2270</v>
      </c>
      <c r="O159" s="3" t="s">
        <v>2271</v>
      </c>
      <c r="P159" s="3" t="s">
        <v>2272</v>
      </c>
      <c r="Q159" s="3"/>
      <c r="R159" s="11" t="s">
        <v>2265</v>
      </c>
      <c r="S159" s="11" t="s">
        <v>2266</v>
      </c>
      <c r="T159" s="11" t="s">
        <v>2267</v>
      </c>
      <c r="U159" s="3"/>
      <c r="V159" s="3"/>
      <c r="W159" s="10">
        <f>IF( J159="s.i", "s.i", IF(ISBLANK(J159),"Actualizando información",IFERROR(J159 / VLOOKUP(A159,Deflactor!$G$3:$H$64,2,0),"Revisar error" )))</f>
        <v>273418358000</v>
      </c>
    </row>
    <row r="160" spans="1:23" x14ac:dyDescent="0.25">
      <c r="A160" s="3">
        <v>2013</v>
      </c>
      <c r="B160" s="3" t="s">
        <v>225</v>
      </c>
      <c r="C160" s="3" t="s">
        <v>7</v>
      </c>
      <c r="D160" s="3" t="s">
        <v>12</v>
      </c>
      <c r="E160" s="3" t="s">
        <v>61</v>
      </c>
      <c r="F160" s="3" t="s">
        <v>194</v>
      </c>
      <c r="G160" s="3" t="s">
        <v>724</v>
      </c>
      <c r="H160" s="12">
        <v>1953</v>
      </c>
      <c r="I160" s="13"/>
      <c r="J160" s="10">
        <f xml:space="preserve"> 3192335 * 1000</f>
        <v>3192335000</v>
      </c>
      <c r="K160" s="3"/>
      <c r="L160" s="3" t="s">
        <v>2276</v>
      </c>
      <c r="M160" s="3" t="s">
        <v>2277</v>
      </c>
      <c r="N160" s="3" t="s">
        <v>2278</v>
      </c>
      <c r="O160" s="3" t="s">
        <v>2279</v>
      </c>
      <c r="P160" s="3" t="s">
        <v>2280</v>
      </c>
      <c r="Q160" s="3"/>
      <c r="R160" s="11" t="s">
        <v>2273</v>
      </c>
      <c r="S160" s="11" t="s">
        <v>2274</v>
      </c>
      <c r="T160" s="11" t="s">
        <v>2275</v>
      </c>
      <c r="U160" s="3"/>
      <c r="V160" s="3"/>
      <c r="W160" s="10">
        <f>IF( J160="s.i", "s.i", IF(ISBLANK(J160),"Actualizando información",IFERROR(J160 / VLOOKUP(A160,Deflactor!$G$3:$H$64,2,0),"Revisar error" )))</f>
        <v>3192335000</v>
      </c>
    </row>
    <row r="161" spans="1:23"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VLOOKUP(A161,Deflactor!$G$3:$H$64,2,0),"Revisar error" )))</f>
        <v>Actualizando información</v>
      </c>
    </row>
    <row r="162" spans="1:23"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VLOOKUP(A162,Deflactor!$G$3:$H$64,2,0),"Revisar error" )))</f>
        <v>Actualizando información</v>
      </c>
    </row>
    <row r="163" spans="1:23"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VLOOKUP(A163,Deflactor!$G$3:$H$64,2,0),"Revisar error" )))</f>
        <v>Actualizando información</v>
      </c>
    </row>
    <row r="164" spans="1:23"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VLOOKUP(A164,Deflactor!$G$3:$H$64,2,0),"Revisar error" )))</f>
        <v>Actualizando información</v>
      </c>
    </row>
    <row r="165" spans="1:23" x14ac:dyDescent="0.25">
      <c r="A165" s="3">
        <v>2013</v>
      </c>
      <c r="B165" s="3" t="s">
        <v>230</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VLOOKUP(A165,Deflactor!$G$3:$H$64,2,0),"Revisar error" )))</f>
        <v>Actualizando información</v>
      </c>
    </row>
    <row r="166" spans="1:23" x14ac:dyDescent="0.25">
      <c r="A166" s="3">
        <v>2013</v>
      </c>
      <c r="B166" s="3" t="s">
        <v>231</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VLOOKUP(A166,Deflactor!$G$3:$H$64,2,0),"Revisar error" )))</f>
        <v>Actualizando información</v>
      </c>
    </row>
    <row r="167" spans="1:23" x14ac:dyDescent="0.25">
      <c r="A167" s="3">
        <v>2013</v>
      </c>
      <c r="B167" s="3" t="s">
        <v>232</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VLOOKUP(A167,Deflactor!$G$3:$H$64,2,0),"Revisar error" )))</f>
        <v>Actualizando información</v>
      </c>
    </row>
    <row r="168" spans="1:23" x14ac:dyDescent="0.25">
      <c r="A168" s="3">
        <v>2013</v>
      </c>
      <c r="B168" s="3" t="s">
        <v>233</v>
      </c>
      <c r="C168" s="3" t="s">
        <v>7</v>
      </c>
      <c r="D168" s="3" t="s">
        <v>234</v>
      </c>
      <c r="E168" s="3" t="s">
        <v>235</v>
      </c>
      <c r="F168" s="3" t="s">
        <v>194</v>
      </c>
      <c r="G168" s="3"/>
      <c r="H168" s="12"/>
      <c r="I168" s="13"/>
      <c r="J168" s="10"/>
      <c r="K168" s="3"/>
      <c r="L168" s="3"/>
      <c r="M168" s="3"/>
      <c r="N168" s="3"/>
      <c r="O168" s="3"/>
      <c r="P168" s="3"/>
      <c r="Q168" s="3"/>
      <c r="R168" s="3"/>
      <c r="S168" s="3"/>
      <c r="T168" s="3"/>
      <c r="U168" s="3" t="s">
        <v>1327</v>
      </c>
      <c r="V168" s="3"/>
      <c r="W168" s="10" t="str">
        <f>IF( J168="s.i", "s.i", IF(ISBLANK(J168),"Actualizando información",IFERROR(J168 / VLOOKUP(A168,Deflactor!$G$3:$H$64,2,0),"Revisar error" )))</f>
        <v>Actualizando información</v>
      </c>
    </row>
    <row r="169" spans="1:23" x14ac:dyDescent="0.25">
      <c r="A169" s="3">
        <v>2013</v>
      </c>
      <c r="B169" s="3" t="s">
        <v>236</v>
      </c>
      <c r="C169" s="3" t="s">
        <v>7</v>
      </c>
      <c r="D169" s="3" t="s">
        <v>54</v>
      </c>
      <c r="E169" s="3" t="s">
        <v>237</v>
      </c>
      <c r="F169" s="3" t="s">
        <v>89</v>
      </c>
      <c r="G169" s="3"/>
      <c r="H169" s="12"/>
      <c r="I169" s="13"/>
      <c r="J169" s="10"/>
      <c r="K169" s="3"/>
      <c r="L169" s="3"/>
      <c r="M169" s="3"/>
      <c r="N169" s="3"/>
      <c r="O169" s="3"/>
      <c r="P169" s="3"/>
      <c r="Q169" s="3"/>
      <c r="R169" s="3"/>
      <c r="S169" s="3"/>
      <c r="T169" s="3"/>
      <c r="U169" s="3" t="s">
        <v>1326</v>
      </c>
      <c r="V169" s="3"/>
      <c r="W169" s="10" t="str">
        <f>IF( J169="s.i", "s.i", IF(ISBLANK(J169),"Actualizando información",IFERROR(J169 / VLOOKUP(A169,Deflactor!$G$3:$H$64,2,0),"Revisar error" )))</f>
        <v>Actualizando información</v>
      </c>
    </row>
    <row r="170" spans="1:23" x14ac:dyDescent="0.25">
      <c r="A170" s="3">
        <v>2013</v>
      </c>
      <c r="B170" s="3" t="s">
        <v>238</v>
      </c>
      <c r="C170" s="3" t="s">
        <v>155</v>
      </c>
      <c r="D170" s="3" t="s">
        <v>64</v>
      </c>
      <c r="E170" s="3" t="s">
        <v>239</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VLOOKUP(A170,Deflactor!$G$3:$H$64,2,0),"Revisar error" )))</f>
        <v>Actualizando información</v>
      </c>
    </row>
    <row r="171" spans="1:23" x14ac:dyDescent="0.25">
      <c r="A171" s="3">
        <v>2013</v>
      </c>
      <c r="B171" s="3" t="s">
        <v>240</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VLOOKUP(A171,Deflactor!$G$3:$H$64,2,0),"Revisar error" )))</f>
        <v>Actualizando información</v>
      </c>
    </row>
    <row r="172" spans="1:23" x14ac:dyDescent="0.25">
      <c r="A172" s="3">
        <v>2013</v>
      </c>
      <c r="B172" s="3" t="s">
        <v>241</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VLOOKUP(A172,Deflactor!$G$3:$H$64,2,0),"Revisar error" )))</f>
        <v>Actualizando información</v>
      </c>
    </row>
    <row r="173" spans="1:23" x14ac:dyDescent="0.25">
      <c r="A173" s="3">
        <v>2013</v>
      </c>
      <c r="B173" s="3" t="s">
        <v>242</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VLOOKUP(A173,Deflactor!$G$3:$H$64,2,0),"Revisar error" )))</f>
        <v>Actualizando información</v>
      </c>
    </row>
    <row r="174" spans="1:23" x14ac:dyDescent="0.25">
      <c r="A174" s="3">
        <v>2013</v>
      </c>
      <c r="B174" s="3" t="s">
        <v>243</v>
      </c>
      <c r="C174" s="3" t="s">
        <v>7</v>
      </c>
      <c r="D174" s="3" t="s">
        <v>54</v>
      </c>
      <c r="E174" s="3" t="s">
        <v>244</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VLOOKUP(A174,Deflactor!$G$3:$H$64,2,0),"Revisar error" )))</f>
        <v>Actualizando información</v>
      </c>
    </row>
    <row r="175" spans="1:23" x14ac:dyDescent="0.25">
      <c r="A175" s="3">
        <v>2012</v>
      </c>
      <c r="B175" s="3" t="s">
        <v>245</v>
      </c>
      <c r="C175" s="3" t="s">
        <v>92</v>
      </c>
      <c r="D175" s="3" t="s">
        <v>8</v>
      </c>
      <c r="E175" s="3" t="s">
        <v>51</v>
      </c>
      <c r="F175" s="3" t="s">
        <v>157</v>
      </c>
      <c r="G175" s="3" t="s">
        <v>624</v>
      </c>
      <c r="H175" s="12">
        <v>2004</v>
      </c>
      <c r="I175" s="13" t="s">
        <v>624</v>
      </c>
      <c r="J175" s="10" t="s">
        <v>624</v>
      </c>
      <c r="K175" s="3" t="s">
        <v>2307</v>
      </c>
      <c r="L175" s="3" t="s">
        <v>1443</v>
      </c>
      <c r="M175" s="3" t="s">
        <v>1444</v>
      </c>
      <c r="N175" s="3" t="s">
        <v>1445</v>
      </c>
      <c r="O175" s="3"/>
      <c r="P175" s="3"/>
      <c r="Q175" s="3"/>
      <c r="R175" s="3" t="s">
        <v>1446</v>
      </c>
      <c r="S175" s="3"/>
      <c r="T175" s="3"/>
      <c r="U175" s="3" t="s">
        <v>1447</v>
      </c>
      <c r="V175" s="3"/>
      <c r="W175" s="10" t="str">
        <f>IF( J175="s.i", "s.i", IF(ISBLANK(J175),"Actualizando información",IFERROR(J175 / VLOOKUP(A175,Deflactor!$G$3:$H$64,2,0),"Revisar error" )))</f>
        <v>s.i</v>
      </c>
    </row>
    <row r="176" spans="1:23" x14ac:dyDescent="0.25">
      <c r="A176" s="3">
        <v>2012</v>
      </c>
      <c r="B176" s="3" t="s">
        <v>246</v>
      </c>
      <c r="C176" s="3" t="s">
        <v>7</v>
      </c>
      <c r="D176" s="3" t="s">
        <v>12</v>
      </c>
      <c r="E176" s="3" t="s">
        <v>13</v>
      </c>
      <c r="F176" s="3" t="s">
        <v>89</v>
      </c>
      <c r="G176" s="3" t="s">
        <v>724</v>
      </c>
      <c r="H176" s="3">
        <v>1982</v>
      </c>
      <c r="I176" s="13" t="s">
        <v>624</v>
      </c>
      <c r="J176" s="10">
        <f xml:space="preserve"> 14262 * 1000000</f>
        <v>14262000000</v>
      </c>
      <c r="K176" s="3" t="s">
        <v>1674</v>
      </c>
      <c r="L176" s="3" t="s">
        <v>1448</v>
      </c>
      <c r="M176" s="3" t="s">
        <v>1449</v>
      </c>
      <c r="N176" s="3" t="s">
        <v>1450</v>
      </c>
      <c r="O176" s="3" t="s">
        <v>1451</v>
      </c>
      <c r="P176" s="3"/>
      <c r="Q176" s="3"/>
      <c r="R176" s="3" t="s">
        <v>1452</v>
      </c>
      <c r="S176" s="3" t="s">
        <v>1453</v>
      </c>
      <c r="T176" s="3"/>
      <c r="U176" s="30" t="s">
        <v>1325</v>
      </c>
      <c r="V176" s="3"/>
      <c r="W176" s="10">
        <f>IF( J176="s.i", "s.i", IF(ISBLANK(J176),"Actualizando información",IFERROR(J176 / VLOOKUP(A176,Deflactor!$G$3:$H$64,2,0),"Revisar error" )))</f>
        <v>14543909147.932167</v>
      </c>
    </row>
    <row r="177" spans="1:23" x14ac:dyDescent="0.25">
      <c r="A177" s="3">
        <v>2012</v>
      </c>
      <c r="B177" s="3" t="s">
        <v>247</v>
      </c>
      <c r="C177" s="3" t="s">
        <v>7</v>
      </c>
      <c r="D177" s="3" t="s">
        <v>25</v>
      </c>
      <c r="E177" s="3" t="s">
        <v>29</v>
      </c>
      <c r="F177" s="3" t="s">
        <v>95</v>
      </c>
      <c r="G177" s="3" t="s">
        <v>724</v>
      </c>
      <c r="H177" s="12">
        <v>2008</v>
      </c>
      <c r="I177" s="13" t="s">
        <v>624</v>
      </c>
      <c r="J177" s="10">
        <f xml:space="preserve"> 6790 * 1000000</f>
        <v>6790000000</v>
      </c>
      <c r="K177" s="3" t="s">
        <v>2194</v>
      </c>
      <c r="L177" s="3" t="s">
        <v>1454</v>
      </c>
      <c r="M177" s="3" t="s">
        <v>1455</v>
      </c>
      <c r="N177" s="3" t="s">
        <v>1456</v>
      </c>
      <c r="O177" s="3" t="s">
        <v>1457</v>
      </c>
      <c r="P177" s="3"/>
      <c r="Q177" s="3"/>
      <c r="R177" s="3" t="s">
        <v>1458</v>
      </c>
      <c r="S177" s="3" t="s">
        <v>1459</v>
      </c>
      <c r="T177" s="3" t="s">
        <v>1460</v>
      </c>
      <c r="U177" s="3" t="s">
        <v>878</v>
      </c>
      <c r="V177" s="3"/>
      <c r="W177" s="10">
        <f>IF( J177="s.i", "s.i", IF(ISBLANK(J177),"Actualizando información",IFERROR(J177 / VLOOKUP(A177,Deflactor!$G$3:$H$64,2,0),"Revisar error" )))</f>
        <v>6924214213.6067457</v>
      </c>
    </row>
    <row r="178" spans="1:23" x14ac:dyDescent="0.25">
      <c r="A178" s="3">
        <v>2012</v>
      </c>
      <c r="B178" s="3" t="s">
        <v>248</v>
      </c>
      <c r="C178" s="3" t="s">
        <v>7</v>
      </c>
      <c r="D178" s="3" t="s">
        <v>40</v>
      </c>
      <c r="E178" s="3" t="s">
        <v>43</v>
      </c>
      <c r="F178" s="3" t="s">
        <v>194</v>
      </c>
      <c r="G178" s="3" t="s">
        <v>624</v>
      </c>
      <c r="H178" s="12">
        <v>2010</v>
      </c>
      <c r="I178" s="13" t="s">
        <v>624</v>
      </c>
      <c r="J178" s="10">
        <f xml:space="preserve"> 4992810 * 1000000</f>
        <v>4992810000000</v>
      </c>
      <c r="K178" s="3"/>
      <c r="L178" s="3" t="s">
        <v>1461</v>
      </c>
      <c r="M178" s="3" t="s">
        <v>1462</v>
      </c>
      <c r="N178" s="3" t="s">
        <v>1463</v>
      </c>
      <c r="O178" s="3" t="s">
        <v>1464</v>
      </c>
      <c r="P178" s="3" t="s">
        <v>1465</v>
      </c>
      <c r="Q178" s="3"/>
      <c r="R178" s="3" t="s">
        <v>1466</v>
      </c>
      <c r="S178" s="3" t="s">
        <v>1467</v>
      </c>
      <c r="T178" s="3" t="s">
        <v>1468</v>
      </c>
      <c r="U178" s="3"/>
      <c r="V178" s="3"/>
      <c r="W178" s="10">
        <f>IF( J178="s.i", "s.i", IF(ISBLANK(J178),"Actualizando información",IFERROR(J178 / VLOOKUP(A178,Deflactor!$G$3:$H$64,2,0),"Revisar error" )))</f>
        <v>5091500142538.7188</v>
      </c>
    </row>
    <row r="179" spans="1:23" x14ac:dyDescent="0.25">
      <c r="A179" s="3">
        <v>2012</v>
      </c>
      <c r="B179" s="3" t="s">
        <v>249</v>
      </c>
      <c r="C179" s="3" t="s">
        <v>7</v>
      </c>
      <c r="D179" s="3" t="s">
        <v>54</v>
      </c>
      <c r="E179" s="3" t="s">
        <v>237</v>
      </c>
      <c r="F179" s="3" t="s">
        <v>95</v>
      </c>
      <c r="G179" s="3" t="s">
        <v>724</v>
      </c>
      <c r="H179" s="12">
        <v>1979</v>
      </c>
      <c r="I179" s="13" t="s">
        <v>624</v>
      </c>
      <c r="J179" s="10">
        <f xml:space="preserve"> 25639 * 1000000</f>
        <v>25639000000</v>
      </c>
      <c r="K179" s="3"/>
      <c r="L179" s="3" t="s">
        <v>1469</v>
      </c>
      <c r="M179" s="3" t="s">
        <v>1470</v>
      </c>
      <c r="N179" s="3"/>
      <c r="O179" s="3"/>
      <c r="P179" s="3"/>
      <c r="Q179" s="3"/>
      <c r="R179" s="3" t="s">
        <v>1471</v>
      </c>
      <c r="S179" s="3" t="s">
        <v>1472</v>
      </c>
      <c r="T179" s="3" t="s">
        <v>1473</v>
      </c>
      <c r="U179" s="3"/>
      <c r="V179" s="3"/>
      <c r="W179" s="10">
        <f>IF( J179="s.i", "s.i", IF(ISBLANK(J179),"Actualizando información",IFERROR(J179 / VLOOKUP(A179,Deflactor!$G$3:$H$64,2,0),"Revisar error" )))</f>
        <v>26145792079.920967</v>
      </c>
    </row>
    <row r="180" spans="1:23" x14ac:dyDescent="0.25">
      <c r="A180" s="3">
        <v>2012</v>
      </c>
      <c r="B180" s="3" t="s">
        <v>250</v>
      </c>
      <c r="C180" s="3" t="s">
        <v>7</v>
      </c>
      <c r="D180" s="3" t="s">
        <v>20</v>
      </c>
      <c r="E180" s="3" t="s">
        <v>23</v>
      </c>
      <c r="F180" s="3" t="s">
        <v>89</v>
      </c>
      <c r="G180" s="3" t="s">
        <v>724</v>
      </c>
      <c r="H180" s="3">
        <v>2006</v>
      </c>
      <c r="I180" s="13" t="s">
        <v>624</v>
      </c>
      <c r="J180" s="10">
        <f xml:space="preserve"> 35827751 * 1000000000</f>
        <v>3.5827751E+16</v>
      </c>
      <c r="K180" s="3" t="s">
        <v>1657</v>
      </c>
      <c r="L180" s="3" t="s">
        <v>1474</v>
      </c>
      <c r="M180" s="3" t="s">
        <v>1475</v>
      </c>
      <c r="N180" s="3" t="s">
        <v>1476</v>
      </c>
      <c r="O180" s="3" t="s">
        <v>1477</v>
      </c>
      <c r="P180" s="3" t="s">
        <v>1478</v>
      </c>
      <c r="Q180" s="3"/>
      <c r="R180" s="3" t="s">
        <v>1479</v>
      </c>
      <c r="S180" s="3" t="s">
        <v>1480</v>
      </c>
      <c r="T180" s="3"/>
      <c r="U180" s="3"/>
      <c r="V180" s="3"/>
      <c r="W180" s="10">
        <f>IF( J180="s.i", "s.i", IF(ISBLANK(J180),"Actualizando información",IFERROR(J180 / VLOOKUP(A180,Deflactor!$G$3:$H$64,2,0),"Revisar error" )))</f>
        <v>3.653593854429504E+16</v>
      </c>
    </row>
    <row r="181" spans="1:23" x14ac:dyDescent="0.25">
      <c r="A181" s="3">
        <v>2012</v>
      </c>
      <c r="B181" s="3" t="s">
        <v>251</v>
      </c>
      <c r="C181" s="3" t="s">
        <v>7</v>
      </c>
      <c r="D181" s="3" t="s">
        <v>20</v>
      </c>
      <c r="E181" s="3" t="s">
        <v>178</v>
      </c>
      <c r="F181" s="3" t="s">
        <v>194</v>
      </c>
      <c r="G181" s="3" t="s">
        <v>724</v>
      </c>
      <c r="H181" s="12">
        <v>2003</v>
      </c>
      <c r="I181" s="13" t="s">
        <v>624</v>
      </c>
      <c r="J181" s="10">
        <f xml:space="preserve"> 4047 * 1000000</f>
        <v>4047000000</v>
      </c>
      <c r="K181" s="3" t="s">
        <v>2149</v>
      </c>
      <c r="L181" s="3" t="s">
        <v>1481</v>
      </c>
      <c r="M181" s="3" t="s">
        <v>1482</v>
      </c>
      <c r="N181" s="3" t="s">
        <v>1483</v>
      </c>
      <c r="O181" s="3" t="s">
        <v>1484</v>
      </c>
      <c r="P181" s="3"/>
      <c r="Q181" s="3"/>
      <c r="R181" s="3" t="s">
        <v>1485</v>
      </c>
      <c r="S181" s="3" t="s">
        <v>1486</v>
      </c>
      <c r="T181" s="3" t="s">
        <v>1487</v>
      </c>
      <c r="U181" s="3" t="s">
        <v>251</v>
      </c>
      <c r="V181" s="3"/>
      <c r="W181" s="10">
        <f>IF( J181="s.i", "s.i", IF(ISBLANK(J181),"Actualizando información",IFERROR(J181 / VLOOKUP(A181,Deflactor!$G$3:$H$64,2,0),"Revisar error" )))</f>
        <v>4126994833.9420476</v>
      </c>
    </row>
    <row r="182" spans="1:23" x14ac:dyDescent="0.25">
      <c r="A182" s="3">
        <v>2012</v>
      </c>
      <c r="B182" s="3" t="s">
        <v>252</v>
      </c>
      <c r="C182" s="3" t="s">
        <v>92</v>
      </c>
      <c r="D182" s="3" t="s">
        <v>8</v>
      </c>
      <c r="E182" s="3" t="s">
        <v>51</v>
      </c>
      <c r="F182" s="3" t="s">
        <v>157</v>
      </c>
      <c r="G182" s="3" t="s">
        <v>624</v>
      </c>
      <c r="H182" s="12">
        <v>2009</v>
      </c>
      <c r="I182" s="13" t="s">
        <v>624</v>
      </c>
      <c r="J182" s="10" t="s">
        <v>624</v>
      </c>
      <c r="K182" s="3"/>
      <c r="L182" s="3" t="s">
        <v>1488</v>
      </c>
      <c r="M182" s="3" t="s">
        <v>1489</v>
      </c>
      <c r="N182" s="3" t="s">
        <v>1490</v>
      </c>
      <c r="O182" s="3"/>
      <c r="P182" s="3"/>
      <c r="Q182" s="3"/>
      <c r="R182" s="3" t="s">
        <v>1446</v>
      </c>
      <c r="S182" s="3"/>
      <c r="T182" s="3"/>
      <c r="U182" s="3" t="s">
        <v>1447</v>
      </c>
      <c r="V182" s="3"/>
      <c r="W182" s="10" t="str">
        <f>IF( J182="s.i", "s.i", IF(ISBLANK(J182),"Actualizando información",IFERROR(J182 / VLOOKUP(A182,Deflactor!$G$3:$H$64,2,0),"Revisar error" )))</f>
        <v>s.i</v>
      </c>
    </row>
    <row r="183" spans="1:23" x14ac:dyDescent="0.25">
      <c r="A183" s="3">
        <v>2012</v>
      </c>
      <c r="B183" s="3" t="s">
        <v>253</v>
      </c>
      <c r="C183" s="3" t="s">
        <v>92</v>
      </c>
      <c r="D183" s="3" t="s">
        <v>8</v>
      </c>
      <c r="E183" s="3" t="s">
        <v>51</v>
      </c>
      <c r="F183" s="3" t="s">
        <v>157</v>
      </c>
      <c r="G183" s="3" t="s">
        <v>624</v>
      </c>
      <c r="H183" s="12">
        <v>1991</v>
      </c>
      <c r="I183" s="13" t="s">
        <v>624</v>
      </c>
      <c r="J183" s="10" t="s">
        <v>624</v>
      </c>
      <c r="K183" s="3" t="s">
        <v>2306</v>
      </c>
      <c r="L183" s="3" t="s">
        <v>1491</v>
      </c>
      <c r="M183" s="3" t="s">
        <v>1492</v>
      </c>
      <c r="N183" s="3" t="s">
        <v>1493</v>
      </c>
      <c r="O183" s="3" t="s">
        <v>1494</v>
      </c>
      <c r="P183" s="3"/>
      <c r="Q183" s="3"/>
      <c r="R183" s="3" t="s">
        <v>1446</v>
      </c>
      <c r="S183" s="3"/>
      <c r="T183" s="3"/>
      <c r="U183" s="3" t="s">
        <v>253</v>
      </c>
      <c r="V183" s="3"/>
      <c r="W183" s="10" t="str">
        <f>IF( J183="s.i", "s.i", IF(ISBLANK(J183),"Actualizando información",IFERROR(J183 / VLOOKUP(A183,Deflactor!$G$3:$H$64,2,0),"Revisar error" )))</f>
        <v>s.i</v>
      </c>
    </row>
    <row r="184" spans="1:23" x14ac:dyDescent="0.25">
      <c r="A184" s="3">
        <v>2012</v>
      </c>
      <c r="B184" s="3" t="s">
        <v>254</v>
      </c>
      <c r="C184" s="3" t="s">
        <v>92</v>
      </c>
      <c r="D184" s="3" t="s">
        <v>8</v>
      </c>
      <c r="E184" s="3" t="s">
        <v>51</v>
      </c>
      <c r="F184" s="3" t="s">
        <v>157</v>
      </c>
      <c r="G184" s="3" t="s">
        <v>624</v>
      </c>
      <c r="H184" s="13" t="s">
        <v>624</v>
      </c>
      <c r="I184" s="13" t="s">
        <v>624</v>
      </c>
      <c r="J184" s="10" t="s">
        <v>624</v>
      </c>
      <c r="K184" s="3" t="s">
        <v>2306</v>
      </c>
      <c r="L184" s="3" t="s">
        <v>1495</v>
      </c>
      <c r="M184" s="3" t="s">
        <v>1496</v>
      </c>
      <c r="N184" s="3" t="s">
        <v>1497</v>
      </c>
      <c r="O184" s="3"/>
      <c r="P184" s="3"/>
      <c r="Q184" s="3"/>
      <c r="R184" s="3" t="s">
        <v>1446</v>
      </c>
      <c r="S184" s="3"/>
      <c r="T184" s="3"/>
      <c r="U184" s="3" t="s">
        <v>1447</v>
      </c>
      <c r="V184" s="3"/>
      <c r="W184" s="10" t="str">
        <f>IF( J184="s.i", "s.i", IF(ISBLANK(J184),"Actualizando información",IFERROR(J184 / VLOOKUP(A184,Deflactor!$G$3:$H$64,2,0),"Revisar error" )))</f>
        <v>s.i</v>
      </c>
    </row>
    <row r="185" spans="1:23" x14ac:dyDescent="0.25">
      <c r="A185" s="3">
        <v>2012</v>
      </c>
      <c r="B185" s="3" t="s">
        <v>255</v>
      </c>
      <c r="C185" s="3" t="s">
        <v>92</v>
      </c>
      <c r="D185" s="3" t="s">
        <v>8</v>
      </c>
      <c r="E185" s="3" t="s">
        <v>51</v>
      </c>
      <c r="F185" s="3" t="s">
        <v>157</v>
      </c>
      <c r="G185" s="3" t="s">
        <v>624</v>
      </c>
      <c r="H185" s="12">
        <v>2008</v>
      </c>
      <c r="I185" s="13" t="s">
        <v>624</v>
      </c>
      <c r="J185" s="10" t="s">
        <v>624</v>
      </c>
      <c r="K185" s="3" t="s">
        <v>2308</v>
      </c>
      <c r="L185" s="3" t="s">
        <v>1498</v>
      </c>
      <c r="M185" s="3" t="s">
        <v>1499</v>
      </c>
      <c r="N185" s="3" t="s">
        <v>1500</v>
      </c>
      <c r="O185" s="3" t="s">
        <v>1501</v>
      </c>
      <c r="P185" s="3"/>
      <c r="Q185" s="3"/>
      <c r="R185" s="3" t="s">
        <v>1446</v>
      </c>
      <c r="S185" s="3"/>
      <c r="T185" s="3"/>
      <c r="U185" s="3" t="s">
        <v>1447</v>
      </c>
      <c r="V185" s="3"/>
      <c r="W185" s="10" t="str">
        <f>IF( J185="s.i", "s.i", IF(ISBLANK(J185),"Actualizando información",IFERROR(J185 / VLOOKUP(A185,Deflactor!$G$3:$H$64,2,0),"Revisar error" )))</f>
        <v>s.i</v>
      </c>
    </row>
    <row r="186" spans="1:23" x14ac:dyDescent="0.25">
      <c r="A186" s="3">
        <v>2012</v>
      </c>
      <c r="B186" s="3" t="s">
        <v>256</v>
      </c>
      <c r="C186" s="3" t="s">
        <v>92</v>
      </c>
      <c r="D186" s="3" t="s">
        <v>8</v>
      </c>
      <c r="E186" s="3" t="s">
        <v>51</v>
      </c>
      <c r="F186" s="3" t="s">
        <v>157</v>
      </c>
      <c r="G186" s="3" t="s">
        <v>624</v>
      </c>
      <c r="H186" s="12">
        <v>2009</v>
      </c>
      <c r="I186" s="13" t="s">
        <v>624</v>
      </c>
      <c r="J186" s="10" t="s">
        <v>624</v>
      </c>
      <c r="K186" s="3" t="s">
        <v>2309</v>
      </c>
      <c r="L186" s="3" t="s">
        <v>1502</v>
      </c>
      <c r="M186" s="3" t="s">
        <v>1503</v>
      </c>
      <c r="N186" s="3" t="s">
        <v>1504</v>
      </c>
      <c r="O186" s="3" t="s">
        <v>1505</v>
      </c>
      <c r="P186" s="3" t="s">
        <v>1506</v>
      </c>
      <c r="Q186" s="3"/>
      <c r="R186" s="3" t="s">
        <v>1446</v>
      </c>
      <c r="S186" s="3"/>
      <c r="T186" s="3"/>
      <c r="U186" s="3" t="s">
        <v>1447</v>
      </c>
      <c r="V186" s="3" t="s">
        <v>1507</v>
      </c>
      <c r="W186" s="10" t="str">
        <f>IF( J186="s.i", "s.i", IF(ISBLANK(J186),"Actualizando información",IFERROR(J186 / VLOOKUP(A186,Deflactor!$G$3:$H$64,2,0),"Revisar error" )))</f>
        <v>s.i</v>
      </c>
    </row>
    <row r="187" spans="1:23" x14ac:dyDescent="0.25">
      <c r="A187" s="3">
        <v>2012</v>
      </c>
      <c r="B187" s="3" t="s">
        <v>257</v>
      </c>
      <c r="C187" s="3" t="s">
        <v>92</v>
      </c>
      <c r="D187" s="3" t="s">
        <v>8</v>
      </c>
      <c r="E187" s="3" t="s">
        <v>51</v>
      </c>
      <c r="F187" s="3" t="s">
        <v>157</v>
      </c>
      <c r="G187" s="3" t="s">
        <v>624</v>
      </c>
      <c r="H187" s="12">
        <v>2010</v>
      </c>
      <c r="I187" s="13" t="s">
        <v>624</v>
      </c>
      <c r="J187" s="10" t="s">
        <v>624</v>
      </c>
      <c r="K187" s="3" t="s">
        <v>2310</v>
      </c>
      <c r="L187" s="3" t="s">
        <v>1508</v>
      </c>
      <c r="M187" s="3" t="s">
        <v>1509</v>
      </c>
      <c r="N187" s="3" t="s">
        <v>1510</v>
      </c>
      <c r="O187" s="3" t="s">
        <v>1511</v>
      </c>
      <c r="P187" s="3" t="s">
        <v>1512</v>
      </c>
      <c r="Q187" s="3"/>
      <c r="R187" s="3" t="s">
        <v>1446</v>
      </c>
      <c r="S187" s="3"/>
      <c r="T187" s="3"/>
      <c r="U187" s="3" t="s">
        <v>1447</v>
      </c>
      <c r="V187" s="3"/>
      <c r="W187" s="10" t="str">
        <f>IF( J187="s.i", "s.i", IF(ISBLANK(J187),"Actualizando información",IFERROR(J187 / VLOOKUP(A187,Deflactor!$G$3:$H$64,2,0),"Revisar error" )))</f>
        <v>s.i</v>
      </c>
    </row>
    <row r="188" spans="1:23" x14ac:dyDescent="0.25">
      <c r="A188" s="3">
        <v>2012</v>
      </c>
      <c r="B188" s="3" t="s">
        <v>258</v>
      </c>
      <c r="C188" s="3" t="s">
        <v>92</v>
      </c>
      <c r="D188" s="3" t="s">
        <v>8</v>
      </c>
      <c r="E188" s="3" t="s">
        <v>51</v>
      </c>
      <c r="F188" s="3" t="s">
        <v>157</v>
      </c>
      <c r="G188" s="3" t="s">
        <v>624</v>
      </c>
      <c r="H188" s="12">
        <v>1992</v>
      </c>
      <c r="I188" s="13" t="s">
        <v>624</v>
      </c>
      <c r="J188" s="10" t="s">
        <v>624</v>
      </c>
      <c r="K188" s="3" t="s">
        <v>2311</v>
      </c>
      <c r="L188" s="3" t="s">
        <v>1513</v>
      </c>
      <c r="M188" s="3" t="s">
        <v>1514</v>
      </c>
      <c r="N188" s="3" t="s">
        <v>1515</v>
      </c>
      <c r="O188" s="3" t="s">
        <v>1516</v>
      </c>
      <c r="P188" s="3"/>
      <c r="Q188" s="3"/>
      <c r="R188" s="3" t="s">
        <v>1446</v>
      </c>
      <c r="S188" s="3"/>
      <c r="T188" s="3"/>
      <c r="U188" s="3" t="s">
        <v>1447</v>
      </c>
      <c r="V188" s="3"/>
      <c r="W188" s="10" t="str">
        <f>IF( J188="s.i", "s.i", IF(ISBLANK(J188),"Actualizando información",IFERROR(J188 / VLOOKUP(A188,Deflactor!$G$3:$H$64,2,0),"Revisar error" )))</f>
        <v>s.i</v>
      </c>
    </row>
    <row r="189" spans="1:23" x14ac:dyDescent="0.25">
      <c r="A189" s="3">
        <v>2012</v>
      </c>
      <c r="B189" s="3" t="s">
        <v>259</v>
      </c>
      <c r="C189" s="3" t="s">
        <v>92</v>
      </c>
      <c r="D189" s="3" t="s">
        <v>8</v>
      </c>
      <c r="E189" s="3" t="s">
        <v>51</v>
      </c>
      <c r="F189" s="3" t="s">
        <v>157</v>
      </c>
      <c r="G189" s="3" t="s">
        <v>904</v>
      </c>
      <c r="H189" s="12">
        <v>2002</v>
      </c>
      <c r="I189" s="13" t="s">
        <v>624</v>
      </c>
      <c r="J189" s="10" t="s">
        <v>624</v>
      </c>
      <c r="K189" s="3" t="s">
        <v>2307</v>
      </c>
      <c r="L189" s="3" t="s">
        <v>1517</v>
      </c>
      <c r="M189" s="3" t="s">
        <v>1518</v>
      </c>
      <c r="N189" s="3" t="s">
        <v>1519</v>
      </c>
      <c r="O189" s="3" t="s">
        <v>1520</v>
      </c>
      <c r="P189" s="3" t="s">
        <v>1512</v>
      </c>
      <c r="Q189" s="14" t="s">
        <v>1521</v>
      </c>
      <c r="R189" s="3" t="s">
        <v>1446</v>
      </c>
      <c r="S189" s="3"/>
      <c r="T189" s="3"/>
      <c r="U189" s="3" t="s">
        <v>1147</v>
      </c>
      <c r="V189" s="3"/>
      <c r="W189" s="10" t="str">
        <f>IF( J189="s.i", "s.i", IF(ISBLANK(J189),"Actualizando información",IFERROR(J189 / VLOOKUP(A189,Deflactor!$G$3:$H$64,2,0),"Revisar error" )))</f>
        <v>s.i</v>
      </c>
    </row>
    <row r="190" spans="1:23" x14ac:dyDescent="0.25">
      <c r="A190" s="3">
        <v>2012</v>
      </c>
      <c r="B190" s="3" t="s">
        <v>260</v>
      </c>
      <c r="C190" s="3" t="s">
        <v>92</v>
      </c>
      <c r="D190" s="3" t="s">
        <v>8</v>
      </c>
      <c r="E190" s="3" t="s">
        <v>51</v>
      </c>
      <c r="F190" s="3" t="s">
        <v>157</v>
      </c>
      <c r="G190" s="3" t="s">
        <v>624</v>
      </c>
      <c r="H190" s="12">
        <v>2011</v>
      </c>
      <c r="I190" s="13" t="s">
        <v>624</v>
      </c>
      <c r="J190" s="10" t="s">
        <v>624</v>
      </c>
      <c r="K190" s="3"/>
      <c r="L190" s="3" t="s">
        <v>1522</v>
      </c>
      <c r="M190" s="3" t="s">
        <v>1523</v>
      </c>
      <c r="N190" s="3" t="s">
        <v>1524</v>
      </c>
      <c r="O190" s="3" t="s">
        <v>1525</v>
      </c>
      <c r="P190" s="3" t="s">
        <v>1526</v>
      </c>
      <c r="Q190" s="3"/>
      <c r="R190" s="3"/>
      <c r="S190" s="3"/>
      <c r="T190" s="3"/>
      <c r="U190" s="3" t="s">
        <v>1447</v>
      </c>
      <c r="V190" s="3"/>
      <c r="W190" s="10" t="str">
        <f>IF( J190="s.i", "s.i", IF(ISBLANK(J190),"Actualizando información",IFERROR(J190 / VLOOKUP(A190,Deflactor!$G$3:$H$64,2,0),"Revisar error" )))</f>
        <v>s.i</v>
      </c>
    </row>
    <row r="191" spans="1:23" x14ac:dyDescent="0.25">
      <c r="A191" s="3">
        <v>2012</v>
      </c>
      <c r="B191" s="3" t="s">
        <v>261</v>
      </c>
      <c r="C191" s="3" t="s">
        <v>92</v>
      </c>
      <c r="D191" s="3" t="s">
        <v>8</v>
      </c>
      <c r="E191" s="3" t="s">
        <v>51</v>
      </c>
      <c r="F191" s="3" t="s">
        <v>157</v>
      </c>
      <c r="G191" s="3" t="s">
        <v>624</v>
      </c>
      <c r="H191" s="12">
        <v>2003</v>
      </c>
      <c r="I191" s="13" t="s">
        <v>624</v>
      </c>
      <c r="J191" s="10" t="s">
        <v>624</v>
      </c>
      <c r="K191" s="3" t="s">
        <v>2307</v>
      </c>
      <c r="L191" s="3" t="s">
        <v>1527</v>
      </c>
      <c r="M191" s="15" t="s">
        <v>1528</v>
      </c>
      <c r="N191" s="3" t="s">
        <v>1529</v>
      </c>
      <c r="O191" s="3" t="s">
        <v>1530</v>
      </c>
      <c r="P191" s="3" t="s">
        <v>1531</v>
      </c>
      <c r="Q191" s="3"/>
      <c r="R191" s="3" t="s">
        <v>1446</v>
      </c>
      <c r="S191" s="3"/>
      <c r="T191" s="3"/>
      <c r="U191" s="3" t="s">
        <v>1447</v>
      </c>
      <c r="V191" s="3"/>
      <c r="W191" s="10" t="str">
        <f>IF( J191="s.i", "s.i", IF(ISBLANK(J191),"Actualizando información",IFERROR(J191 / VLOOKUP(A191,Deflactor!$G$3:$H$64,2,0),"Revisar error" )))</f>
        <v>s.i</v>
      </c>
    </row>
    <row r="192" spans="1:23" x14ac:dyDescent="0.25">
      <c r="A192" s="3">
        <v>2012</v>
      </c>
      <c r="B192" s="3" t="s">
        <v>262</v>
      </c>
      <c r="C192" s="3" t="s">
        <v>7</v>
      </c>
      <c r="D192" s="3" t="s">
        <v>64</v>
      </c>
      <c r="E192" s="3" t="s">
        <v>263</v>
      </c>
      <c r="F192" s="3" t="s">
        <v>89</v>
      </c>
      <c r="G192" s="3" t="s">
        <v>724</v>
      </c>
      <c r="H192" s="12">
        <v>2009</v>
      </c>
      <c r="I192" s="13" t="s">
        <v>624</v>
      </c>
      <c r="J192" s="10">
        <f xml:space="preserve"> 1713932000 * 1000000</f>
        <v>1713932000000000</v>
      </c>
      <c r="K192" s="3"/>
      <c r="L192" s="3" t="s">
        <v>1532</v>
      </c>
      <c r="M192" s="3" t="s">
        <v>1533</v>
      </c>
      <c r="N192" s="3" t="s">
        <v>1534</v>
      </c>
      <c r="O192" s="3"/>
      <c r="P192" s="3"/>
      <c r="Q192" s="3"/>
      <c r="R192" s="3" t="s">
        <v>1535</v>
      </c>
      <c r="S192" s="3" t="s">
        <v>1536</v>
      </c>
      <c r="T192" s="3"/>
      <c r="U192" s="3"/>
      <c r="V192" s="3"/>
      <c r="W192" s="10">
        <f>IF( J192="s.i", "s.i", IF(ISBLANK(J192),"Actualizando información",IFERROR(J192 / VLOOKUP(A192,Deflactor!$G$3:$H$64,2,0),"Revisar error" )))</f>
        <v>1747810355751905.5</v>
      </c>
    </row>
    <row r="193" spans="1:23" x14ac:dyDescent="0.25">
      <c r="A193" s="3">
        <v>2012</v>
      </c>
      <c r="B193" s="3" t="s">
        <v>264</v>
      </c>
      <c r="C193" s="3" t="s">
        <v>7</v>
      </c>
      <c r="D193" s="3" t="s">
        <v>8</v>
      </c>
      <c r="E193" s="3" t="s">
        <v>265</v>
      </c>
      <c r="F193" s="3" t="s">
        <v>89</v>
      </c>
      <c r="G193" s="3" t="s">
        <v>724</v>
      </c>
      <c r="H193" s="12">
        <v>2000</v>
      </c>
      <c r="I193" s="13" t="s">
        <v>624</v>
      </c>
      <c r="J193" s="10">
        <f xml:space="preserve"> 4616949 * 1000</f>
        <v>4616949000</v>
      </c>
      <c r="K193" s="3"/>
      <c r="L193" s="3" t="s">
        <v>1537</v>
      </c>
      <c r="M193" s="3" t="s">
        <v>1538</v>
      </c>
      <c r="N193" s="3" t="s">
        <v>1539</v>
      </c>
      <c r="O193" s="3" t="s">
        <v>1540</v>
      </c>
      <c r="P193" s="3"/>
      <c r="Q193" s="3"/>
      <c r="R193" s="3" t="s">
        <v>1541</v>
      </c>
      <c r="S193" s="3" t="s">
        <v>1542</v>
      </c>
      <c r="T193" s="3"/>
      <c r="U193" s="3"/>
      <c r="V193" s="3"/>
      <c r="W193" s="10">
        <f>IF( J193="s.i", "s.i", IF(ISBLANK(J193),"Actualizando información",IFERROR(J193 / VLOOKUP(A193,Deflactor!$G$3:$H$64,2,0),"Revisar error" )))</f>
        <v>4708209703.8729677</v>
      </c>
    </row>
    <row r="194" spans="1:23" x14ac:dyDescent="0.25">
      <c r="A194" s="3">
        <v>2012</v>
      </c>
      <c r="B194" s="3" t="s">
        <v>266</v>
      </c>
      <c r="C194" s="3" t="s">
        <v>7</v>
      </c>
      <c r="D194" s="3" t="s">
        <v>40</v>
      </c>
      <c r="E194" s="3" t="s">
        <v>41</v>
      </c>
      <c r="F194" s="3" t="s">
        <v>89</v>
      </c>
      <c r="G194" s="3" t="s">
        <v>624</v>
      </c>
      <c r="H194" s="12">
        <v>2008</v>
      </c>
      <c r="I194" s="13" t="s">
        <v>624</v>
      </c>
      <c r="J194" s="10">
        <f xml:space="preserve"> 14778 * 1000000</f>
        <v>14778000000</v>
      </c>
      <c r="K194" s="3" t="s">
        <v>2286</v>
      </c>
      <c r="L194" s="3" t="s">
        <v>1543</v>
      </c>
      <c r="M194" s="3" t="s">
        <v>1544</v>
      </c>
      <c r="N194" s="3" t="s">
        <v>1545</v>
      </c>
      <c r="O194" s="3" t="s">
        <v>1546</v>
      </c>
      <c r="P194" s="3"/>
      <c r="Q194" s="3"/>
      <c r="R194" s="3" t="s">
        <v>1547</v>
      </c>
      <c r="S194" s="3" t="s">
        <v>1548</v>
      </c>
      <c r="T194" s="3"/>
      <c r="U194" s="3"/>
      <c r="V194" s="3"/>
      <c r="W194" s="10">
        <f>IF( J194="s.i", "s.i", IF(ISBLANK(J194),"Actualizando información",IFERROR(J194 / VLOOKUP(A194,Deflactor!$G$3:$H$64,2,0),"Revisar error" )))</f>
        <v>15070108637.508173</v>
      </c>
    </row>
    <row r="195" spans="1:23" x14ac:dyDescent="0.25">
      <c r="A195" s="3">
        <v>2012</v>
      </c>
      <c r="B195" s="3" t="s">
        <v>267</v>
      </c>
      <c r="C195" s="3" t="s">
        <v>7</v>
      </c>
      <c r="D195" s="3" t="s">
        <v>40</v>
      </c>
      <c r="E195" s="3" t="s">
        <v>41</v>
      </c>
      <c r="F195" s="3" t="s">
        <v>89</v>
      </c>
      <c r="G195" s="3" t="s">
        <v>624</v>
      </c>
      <c r="H195" s="12">
        <v>2008</v>
      </c>
      <c r="I195" s="13" t="s">
        <v>624</v>
      </c>
      <c r="J195" s="10">
        <f t="shared" ref="J195:J199" si="2" xml:space="preserve"> 14778 * 1000000</f>
        <v>14778000000</v>
      </c>
      <c r="K195" s="3" t="s">
        <v>2286</v>
      </c>
      <c r="L195" s="3" t="s">
        <v>1543</v>
      </c>
      <c r="M195" s="3" t="s">
        <v>1544</v>
      </c>
      <c r="N195" s="3" t="s">
        <v>1545</v>
      </c>
      <c r="O195" s="3" t="s">
        <v>1546</v>
      </c>
      <c r="P195" s="3"/>
      <c r="Q195" s="3"/>
      <c r="R195" s="3" t="s">
        <v>1547</v>
      </c>
      <c r="S195" s="3" t="s">
        <v>1548</v>
      </c>
      <c r="T195" s="3"/>
      <c r="U195" s="3"/>
      <c r="V195" s="3"/>
      <c r="W195" s="10">
        <f>IF( J195="s.i", "s.i", IF(ISBLANK(J195),"Actualizando información",IFERROR(J195 / VLOOKUP(A195,Deflactor!$G$3:$H$64,2,0),"Revisar error" )))</f>
        <v>15070108637.508173</v>
      </c>
    </row>
    <row r="196" spans="1:23" x14ac:dyDescent="0.25">
      <c r="A196" s="3">
        <v>2012</v>
      </c>
      <c r="B196" s="3" t="s">
        <v>268</v>
      </c>
      <c r="C196" s="3" t="s">
        <v>7</v>
      </c>
      <c r="D196" s="3" t="s">
        <v>40</v>
      </c>
      <c r="E196" s="3" t="s">
        <v>41</v>
      </c>
      <c r="F196" s="3" t="s">
        <v>89</v>
      </c>
      <c r="G196" s="3" t="s">
        <v>624</v>
      </c>
      <c r="H196" s="12">
        <v>2008</v>
      </c>
      <c r="I196" s="13" t="s">
        <v>624</v>
      </c>
      <c r="J196" s="10">
        <f t="shared" si="2"/>
        <v>14778000000</v>
      </c>
      <c r="K196" s="3" t="s">
        <v>2286</v>
      </c>
      <c r="L196" s="3" t="s">
        <v>1543</v>
      </c>
      <c r="M196" s="3" t="s">
        <v>1544</v>
      </c>
      <c r="N196" s="3" t="s">
        <v>1545</v>
      </c>
      <c r="O196" s="3" t="s">
        <v>1546</v>
      </c>
      <c r="P196" s="3"/>
      <c r="Q196" s="3"/>
      <c r="R196" s="3" t="s">
        <v>1547</v>
      </c>
      <c r="S196" s="3" t="s">
        <v>1548</v>
      </c>
      <c r="T196" s="3"/>
      <c r="U196" s="3"/>
      <c r="V196" s="3"/>
      <c r="W196" s="10">
        <f>IF( J196="s.i", "s.i", IF(ISBLANK(J196),"Actualizando información",IFERROR(J196 / VLOOKUP(A196,Deflactor!$G$3:$H$64,2,0),"Revisar error" )))</f>
        <v>15070108637.508173</v>
      </c>
    </row>
    <row r="197" spans="1:23" x14ac:dyDescent="0.25">
      <c r="A197" s="3">
        <v>2012</v>
      </c>
      <c r="B197" s="3" t="s">
        <v>269</v>
      </c>
      <c r="C197" s="3" t="s">
        <v>7</v>
      </c>
      <c r="D197" s="3" t="s">
        <v>40</v>
      </c>
      <c r="E197" s="3" t="s">
        <v>41</v>
      </c>
      <c r="F197" s="3" t="s">
        <v>89</v>
      </c>
      <c r="G197" s="3" t="s">
        <v>624</v>
      </c>
      <c r="H197" s="12">
        <v>2008</v>
      </c>
      <c r="I197" s="13" t="s">
        <v>624</v>
      </c>
      <c r="J197" s="10">
        <f t="shared" si="2"/>
        <v>14778000000</v>
      </c>
      <c r="K197" s="3" t="s">
        <v>2286</v>
      </c>
      <c r="L197" s="3" t="s">
        <v>1543</v>
      </c>
      <c r="M197" s="3" t="s">
        <v>1544</v>
      </c>
      <c r="N197" s="3" t="s">
        <v>1545</v>
      </c>
      <c r="O197" s="3" t="s">
        <v>1546</v>
      </c>
      <c r="P197" s="3"/>
      <c r="Q197" s="3"/>
      <c r="R197" s="3" t="s">
        <v>1547</v>
      </c>
      <c r="S197" s="3" t="s">
        <v>1548</v>
      </c>
      <c r="T197" s="3"/>
      <c r="U197" s="3"/>
      <c r="V197" s="3"/>
      <c r="W197" s="10">
        <f>IF( J197="s.i", "s.i", IF(ISBLANK(J197),"Actualizando información",IFERROR(J197 / VLOOKUP(A197,Deflactor!$G$3:$H$64,2,0),"Revisar error" )))</f>
        <v>15070108637.508173</v>
      </c>
    </row>
    <row r="198" spans="1:23" x14ac:dyDescent="0.25">
      <c r="A198" s="3">
        <v>2012</v>
      </c>
      <c r="B198" s="3" t="s">
        <v>270</v>
      </c>
      <c r="C198" s="3" t="s">
        <v>7</v>
      </c>
      <c r="D198" s="3" t="s">
        <v>40</v>
      </c>
      <c r="E198" s="3" t="s">
        <v>41</v>
      </c>
      <c r="F198" s="3" t="s">
        <v>89</v>
      </c>
      <c r="G198" s="3" t="s">
        <v>624</v>
      </c>
      <c r="H198" s="12">
        <v>2008</v>
      </c>
      <c r="I198" s="13" t="s">
        <v>624</v>
      </c>
      <c r="J198" s="10">
        <f t="shared" si="2"/>
        <v>14778000000</v>
      </c>
      <c r="K198" s="3" t="s">
        <v>2286</v>
      </c>
      <c r="L198" s="3" t="s">
        <v>1543</v>
      </c>
      <c r="M198" s="3" t="s">
        <v>1544</v>
      </c>
      <c r="N198" s="3" t="s">
        <v>1545</v>
      </c>
      <c r="O198" s="3" t="s">
        <v>1546</v>
      </c>
      <c r="P198" s="3"/>
      <c r="Q198" s="3"/>
      <c r="R198" s="3" t="s">
        <v>1547</v>
      </c>
      <c r="S198" s="3" t="s">
        <v>1548</v>
      </c>
      <c r="T198" s="3"/>
      <c r="U198" s="3"/>
      <c r="V198" s="3"/>
      <c r="W198" s="10">
        <f>IF( J198="s.i", "s.i", IF(ISBLANK(J198),"Actualizando información",IFERROR(J198 / VLOOKUP(A198,Deflactor!$G$3:$H$64,2,0),"Revisar error" )))</f>
        <v>15070108637.508173</v>
      </c>
    </row>
    <row r="199" spans="1:23" x14ac:dyDescent="0.25">
      <c r="A199" s="3">
        <v>2012</v>
      </c>
      <c r="B199" s="3" t="s">
        <v>271</v>
      </c>
      <c r="C199" s="3" t="s">
        <v>7</v>
      </c>
      <c r="D199" s="3" t="s">
        <v>40</v>
      </c>
      <c r="E199" s="3" t="s">
        <v>41</v>
      </c>
      <c r="F199" s="3" t="s">
        <v>89</v>
      </c>
      <c r="G199" s="3" t="s">
        <v>624</v>
      </c>
      <c r="H199" s="12">
        <v>2008</v>
      </c>
      <c r="I199" s="13" t="s">
        <v>624</v>
      </c>
      <c r="J199" s="10">
        <f t="shared" si="2"/>
        <v>14778000000</v>
      </c>
      <c r="K199" s="3" t="s">
        <v>2286</v>
      </c>
      <c r="L199" s="3" t="s">
        <v>1543</v>
      </c>
      <c r="M199" s="3" t="s">
        <v>1544</v>
      </c>
      <c r="N199" s="3" t="s">
        <v>1545</v>
      </c>
      <c r="O199" s="3" t="s">
        <v>1546</v>
      </c>
      <c r="P199" s="3"/>
      <c r="Q199" s="3"/>
      <c r="R199" s="3" t="s">
        <v>1547</v>
      </c>
      <c r="S199" s="3" t="s">
        <v>1548</v>
      </c>
      <c r="T199" s="3"/>
      <c r="U199" s="3"/>
      <c r="V199" s="3"/>
      <c r="W199" s="10">
        <f>IF( J199="s.i", "s.i", IF(ISBLANK(J199),"Actualizando información",IFERROR(J199 / VLOOKUP(A199,Deflactor!$G$3:$H$64,2,0),"Revisar error" )))</f>
        <v>15070108637.508173</v>
      </c>
    </row>
    <row r="200" spans="1:23" x14ac:dyDescent="0.25">
      <c r="A200" s="3">
        <v>2012</v>
      </c>
      <c r="B200" s="3" t="s">
        <v>272</v>
      </c>
      <c r="C200" s="3" t="s">
        <v>7</v>
      </c>
      <c r="D200" s="3" t="s">
        <v>40</v>
      </c>
      <c r="E200" s="3" t="s">
        <v>160</v>
      </c>
      <c r="F200" s="3" t="s">
        <v>30</v>
      </c>
      <c r="G200" s="3" t="s">
        <v>624</v>
      </c>
      <c r="H200" s="12">
        <v>2006</v>
      </c>
      <c r="I200" s="13" t="s">
        <v>624</v>
      </c>
      <c r="J200" s="10">
        <f xml:space="preserve"> 7097848 * 1000000</f>
        <v>7097848000000</v>
      </c>
      <c r="K200" s="3" t="s">
        <v>1832</v>
      </c>
      <c r="L200" s="3" t="s">
        <v>1549</v>
      </c>
      <c r="M200" s="3" t="s">
        <v>1550</v>
      </c>
      <c r="N200" s="3" t="s">
        <v>1551</v>
      </c>
      <c r="O200" s="3" t="s">
        <v>1552</v>
      </c>
      <c r="P200" s="3" t="s">
        <v>1553</v>
      </c>
      <c r="Q200" s="3"/>
      <c r="R200" s="3" t="s">
        <v>1554</v>
      </c>
      <c r="S200" s="3" t="s">
        <v>1555</v>
      </c>
      <c r="T200" s="3"/>
      <c r="U200" s="3"/>
      <c r="V200" s="3"/>
      <c r="W200" s="10">
        <f>IF( J200="s.i", "s.i", IF(ISBLANK(J200),"Actualizando información",IFERROR(J200 / VLOOKUP(A200,Deflactor!$G$3:$H$64,2,0),"Revisar error" )))</f>
        <v>7238147276527.2773</v>
      </c>
    </row>
    <row r="201" spans="1:23" x14ac:dyDescent="0.25">
      <c r="A201" s="3">
        <v>2012</v>
      </c>
      <c r="B201" s="3" t="s">
        <v>273</v>
      </c>
      <c r="C201" s="3" t="s">
        <v>7</v>
      </c>
      <c r="D201" s="3" t="s">
        <v>36</v>
      </c>
      <c r="E201" s="3" t="s">
        <v>98</v>
      </c>
      <c r="F201" s="3" t="s">
        <v>89</v>
      </c>
      <c r="G201" s="3" t="s">
        <v>624</v>
      </c>
      <c r="H201" s="12">
        <v>2007</v>
      </c>
      <c r="I201" s="13" t="s">
        <v>624</v>
      </c>
      <c r="J201" s="10">
        <f xml:space="preserve"> 1370 * 1000000</f>
        <v>1370000000</v>
      </c>
      <c r="K201" s="3" t="s">
        <v>1865</v>
      </c>
      <c r="L201" s="3" t="s">
        <v>1556</v>
      </c>
      <c r="M201" s="3" t="s">
        <v>1557</v>
      </c>
      <c r="N201" s="3" t="s">
        <v>1558</v>
      </c>
      <c r="O201" s="3" t="s">
        <v>1559</v>
      </c>
      <c r="P201" s="3"/>
      <c r="Q201" s="3"/>
      <c r="R201" s="3" t="s">
        <v>1560</v>
      </c>
      <c r="S201" s="3" t="s">
        <v>1561</v>
      </c>
      <c r="T201" s="3"/>
      <c r="U201" s="3"/>
      <c r="V201" s="3"/>
      <c r="W201" s="10">
        <f>IF( J201="s.i", "s.i", IF(ISBLANK(J201),"Actualizando información",IFERROR(J201 / VLOOKUP(A201,Deflactor!$G$3:$H$64,2,0),"Revisar error" )))</f>
        <v>1397080040.1533494</v>
      </c>
    </row>
    <row r="202" spans="1:23" x14ac:dyDescent="0.25">
      <c r="A202" s="3">
        <v>2012</v>
      </c>
      <c r="B202" s="3" t="s">
        <v>274</v>
      </c>
      <c r="C202" s="3" t="s">
        <v>7</v>
      </c>
      <c r="D202" s="3" t="s">
        <v>36</v>
      </c>
      <c r="E202" s="3" t="s">
        <v>81</v>
      </c>
      <c r="F202" s="3" t="s">
        <v>95</v>
      </c>
      <c r="G202" s="3" t="s">
        <v>724</v>
      </c>
      <c r="H202" s="13">
        <v>2005</v>
      </c>
      <c r="I202" s="13" t="s">
        <v>624</v>
      </c>
      <c r="J202" s="10">
        <f xml:space="preserve"> 5021446 * 1000000</f>
        <v>5021446000000</v>
      </c>
      <c r="K202" s="3"/>
      <c r="L202" s="3" t="s">
        <v>1562</v>
      </c>
      <c r="M202" s="3" t="s">
        <v>1563</v>
      </c>
      <c r="N202" s="3" t="s">
        <v>1564</v>
      </c>
      <c r="O202" s="3"/>
      <c r="P202" s="3"/>
      <c r="Q202" s="3"/>
      <c r="R202" s="3" t="s">
        <v>1565</v>
      </c>
      <c r="S202" s="3" t="s">
        <v>1566</v>
      </c>
      <c r="T202" s="3" t="s">
        <v>1567</v>
      </c>
      <c r="U202" s="3"/>
      <c r="V202" s="3"/>
      <c r="W202" s="10">
        <f>IF( J202="s.i", "s.i", IF(ISBLANK(J202),"Actualizando información",IFERROR(J202 / VLOOKUP(A202,Deflactor!$G$3:$H$64,2,0),"Revisar error" )))</f>
        <v>5120702174677.2813</v>
      </c>
    </row>
    <row r="203" spans="1:23" x14ac:dyDescent="0.25">
      <c r="A203" s="3">
        <v>2012</v>
      </c>
      <c r="B203" s="3" t="s">
        <v>275</v>
      </c>
      <c r="C203" s="3" t="s">
        <v>7</v>
      </c>
      <c r="D203" s="3" t="s">
        <v>25</v>
      </c>
      <c r="E203" s="3" t="s">
        <v>151</v>
      </c>
      <c r="F203" s="3" t="s">
        <v>194</v>
      </c>
      <c r="G203" s="3" t="s">
        <v>724</v>
      </c>
      <c r="H203" s="12">
        <v>2011</v>
      </c>
      <c r="I203" s="13" t="s">
        <v>624</v>
      </c>
      <c r="J203" s="10">
        <f xml:space="preserve"> 7058 * 1000000</f>
        <v>7058000000</v>
      </c>
      <c r="K203" s="3" t="s">
        <v>2305</v>
      </c>
      <c r="L203" s="3" t="s">
        <v>1568</v>
      </c>
      <c r="M203" s="3" t="s">
        <v>1569</v>
      </c>
      <c r="N203" s="3" t="s">
        <v>1570</v>
      </c>
      <c r="O203" s="3" t="s">
        <v>1571</v>
      </c>
      <c r="P203" s="3"/>
      <c r="Q203" s="14" t="s">
        <v>1572</v>
      </c>
      <c r="R203" s="3" t="s">
        <v>1573</v>
      </c>
      <c r="S203" s="3" t="s">
        <v>1574</v>
      </c>
      <c r="T203" s="3" t="s">
        <v>1575</v>
      </c>
      <c r="U203" s="3"/>
      <c r="V203" s="3"/>
      <c r="W203" s="10">
        <f>IF( J203="s.i", "s.i", IF(ISBLANK(J203),"Actualizando información",IFERROR(J203 / VLOOKUP(A203,Deflactor!$G$3:$H$64,2,0),"Revisar error" )))</f>
        <v>7197511622.9214163</v>
      </c>
    </row>
    <row r="204" spans="1:23" x14ac:dyDescent="0.25">
      <c r="A204" s="3">
        <v>2012</v>
      </c>
      <c r="B204" s="3" t="s">
        <v>276</v>
      </c>
      <c r="C204" s="3" t="s">
        <v>7</v>
      </c>
      <c r="D204" s="3" t="s">
        <v>25</v>
      </c>
      <c r="E204" s="3" t="s">
        <v>151</v>
      </c>
      <c r="F204" s="3" t="s">
        <v>194</v>
      </c>
      <c r="G204" s="3" t="s">
        <v>724</v>
      </c>
      <c r="H204" s="12">
        <v>2007</v>
      </c>
      <c r="I204" s="13" t="s">
        <v>624</v>
      </c>
      <c r="J204" s="10">
        <f xml:space="preserve"> 7058 * 1000000</f>
        <v>7058000000</v>
      </c>
      <c r="K204" s="3" t="s">
        <v>2305</v>
      </c>
      <c r="L204" s="3" t="s">
        <v>1568</v>
      </c>
      <c r="M204" s="3" t="s">
        <v>1569</v>
      </c>
      <c r="N204" s="3" t="s">
        <v>1570</v>
      </c>
      <c r="O204" s="3" t="s">
        <v>1571</v>
      </c>
      <c r="P204" s="3"/>
      <c r="Q204" s="14" t="s">
        <v>1576</v>
      </c>
      <c r="R204" s="3" t="s">
        <v>1573</v>
      </c>
      <c r="S204" s="3" t="s">
        <v>1574</v>
      </c>
      <c r="T204" s="3" t="s">
        <v>1575</v>
      </c>
      <c r="U204" s="3"/>
      <c r="V204" s="3"/>
      <c r="W204" s="10">
        <f>IF( J204="s.i", "s.i", IF(ISBLANK(J204),"Actualizando información",IFERROR(J204 / VLOOKUP(A204,Deflactor!$G$3:$H$64,2,0),"Revisar error" )))</f>
        <v>7197511622.9214163</v>
      </c>
    </row>
    <row r="205" spans="1:23" x14ac:dyDescent="0.25">
      <c r="A205" s="3">
        <v>2011</v>
      </c>
      <c r="B205" s="3" t="s">
        <v>277</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VLOOKUP(A205,Deflactor!$G$3:$H$64,2,0),"Revisar error" )))</f>
        <v>Actualizando información</v>
      </c>
    </row>
    <row r="206" spans="1:23" x14ac:dyDescent="0.25">
      <c r="A206" s="3">
        <v>2011</v>
      </c>
      <c r="B206" s="3" t="s">
        <v>278</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VLOOKUP(A206,Deflactor!$G$3:$H$64,2,0),"Revisar error" )))</f>
        <v>Actualizando información</v>
      </c>
    </row>
    <row r="207" spans="1:23" x14ac:dyDescent="0.25">
      <c r="A207" s="3">
        <v>2011</v>
      </c>
      <c r="B207" s="3" t="s">
        <v>279</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VLOOKUP(A207,Deflactor!$G$3:$H$64,2,0),"Revisar error" )))</f>
        <v>Actualizando información</v>
      </c>
    </row>
    <row r="208" spans="1:23" x14ac:dyDescent="0.25">
      <c r="A208" s="3">
        <v>2011</v>
      </c>
      <c r="B208" s="3" t="s">
        <v>280</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VLOOKUP(A208,Deflactor!$G$3:$H$64,2,0),"Revisar error" )))</f>
        <v>Actualizando información</v>
      </c>
    </row>
    <row r="209" spans="1:44" x14ac:dyDescent="0.25">
      <c r="A209" s="3">
        <v>2011</v>
      </c>
      <c r="B209" s="3" t="s">
        <v>281</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VLOOKUP(A209,Deflactor!$G$3:$H$64,2,0),"Revisar error" )))</f>
        <v>Actualizando información</v>
      </c>
    </row>
    <row r="210" spans="1:44" x14ac:dyDescent="0.25">
      <c r="A210" s="3">
        <v>2011</v>
      </c>
      <c r="B210" s="3" t="s">
        <v>282</v>
      </c>
      <c r="C210" s="3" t="s">
        <v>155</v>
      </c>
      <c r="D210" s="3" t="s">
        <v>54</v>
      </c>
      <c r="E210" s="3" t="s">
        <v>244</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VLOOKUP(A210,Deflactor!$G$3:$H$64,2,0),"Revisar error" )))</f>
        <v>Actualizando información</v>
      </c>
    </row>
    <row r="211" spans="1:44" x14ac:dyDescent="0.25">
      <c r="A211" s="3">
        <v>2011</v>
      </c>
      <c r="B211" s="3" t="s">
        <v>283</v>
      </c>
      <c r="C211" s="3" t="s">
        <v>284</v>
      </c>
      <c r="D211" s="3" t="s">
        <v>54</v>
      </c>
      <c r="E211" s="3" t="s">
        <v>244</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VLOOKUP(A211,Deflactor!$G$3:$H$64,2,0),"Revisar error" )))</f>
        <v>Actualizando información</v>
      </c>
    </row>
    <row r="212" spans="1:44" x14ac:dyDescent="0.25">
      <c r="A212" s="3">
        <v>2011</v>
      </c>
      <c r="B212" s="3" t="s">
        <v>285</v>
      </c>
      <c r="C212" s="3" t="s">
        <v>284</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VLOOKUP(A212,Deflactor!$G$3:$H$64,2,0),"Revisar error" )))</f>
        <v>Actualizando información</v>
      </c>
    </row>
    <row r="213" spans="1:44"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VLOOKUP(A213,Deflactor!$G$3:$H$64,2,0),"Revisar error" )))</f>
        <v>Actualizando información</v>
      </c>
    </row>
    <row r="214" spans="1:44" x14ac:dyDescent="0.25">
      <c r="A214" s="3">
        <v>2011</v>
      </c>
      <c r="B214" s="3" t="s">
        <v>286</v>
      </c>
      <c r="C214" s="3" t="s">
        <v>284</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VLOOKUP(A214,Deflactor!$G$3:$H$64,2,0),"Revisar error" )))</f>
        <v>Actualizando información</v>
      </c>
    </row>
    <row r="215" spans="1:44" x14ac:dyDescent="0.25">
      <c r="A215" s="3">
        <v>2011</v>
      </c>
      <c r="B215" s="3" t="s">
        <v>287</v>
      </c>
      <c r="C215" s="3" t="s">
        <v>284</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VLOOKUP(A215,Deflactor!$G$3:$H$64,2,0),"Revisar error" )))</f>
        <v>Actualizando información</v>
      </c>
    </row>
    <row r="216" spans="1:44" x14ac:dyDescent="0.25">
      <c r="A216" s="3">
        <v>2011</v>
      </c>
      <c r="B216" s="3" t="s">
        <v>288</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VLOOKUP(A216,Deflactor!$G$3:$H$64,2,0),"Revisar error" )))</f>
        <v>Actualizando información</v>
      </c>
    </row>
    <row r="217" spans="1:44" x14ac:dyDescent="0.25">
      <c r="A217" s="3">
        <v>2011</v>
      </c>
      <c r="B217" s="3" t="s">
        <v>289</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VLOOKUP(A217,Deflactor!$G$3:$H$64,2,0),"Revisar error" )))</f>
        <v>Actualizando información</v>
      </c>
    </row>
    <row r="218" spans="1:44" x14ac:dyDescent="0.25">
      <c r="A218" s="3">
        <v>2011</v>
      </c>
      <c r="B218" s="3" t="s">
        <v>290</v>
      </c>
      <c r="C218" s="3" t="s">
        <v>7</v>
      </c>
      <c r="D218" s="3" t="s">
        <v>291</v>
      </c>
      <c r="E218" s="3" t="s">
        <v>292</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VLOOKUP(A218,Deflactor!$G$3:$H$64,2,0),"Revisar error" )))</f>
        <v>Actualizando información</v>
      </c>
    </row>
    <row r="219" spans="1:44" x14ac:dyDescent="0.25">
      <c r="A219" s="3">
        <v>2011</v>
      </c>
      <c r="B219" s="3" t="s">
        <v>293</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VLOOKUP(A219,Deflactor!$G$3:$H$64,2,0),"Revisar error" )))</f>
        <v>Actualizando información</v>
      </c>
    </row>
    <row r="220" spans="1:44" x14ac:dyDescent="0.25">
      <c r="A220" s="3">
        <v>2011</v>
      </c>
      <c r="B220" s="3" t="s">
        <v>294</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VLOOKUP(A220,Deflactor!$G$3:$H$64,2,0),"Revisar error" )))</f>
        <v>Actualizando información</v>
      </c>
    </row>
    <row r="221" spans="1:44" x14ac:dyDescent="0.25">
      <c r="A221" s="3">
        <v>2011</v>
      </c>
      <c r="B221" s="3" t="s">
        <v>295</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VLOOKUP(A221,Deflactor!$G$3:$H$64,2,0),"Revisar error" )))</f>
        <v>Actualizando información</v>
      </c>
    </row>
    <row r="222" spans="1:44" x14ac:dyDescent="0.25">
      <c r="A222" s="3">
        <v>2011</v>
      </c>
      <c r="B222" s="3" t="s">
        <v>296</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VLOOKUP(A222,Deflactor!$G$3:$H$64,2,0),"Revisar error" )))</f>
        <v>Actualizando información</v>
      </c>
    </row>
    <row r="223" spans="1:44" x14ac:dyDescent="0.25">
      <c r="A223" s="3">
        <v>2011</v>
      </c>
      <c r="B223" s="3" t="s">
        <v>297</v>
      </c>
      <c r="C223" s="3" t="s">
        <v>7</v>
      </c>
      <c r="D223" s="3" t="s">
        <v>291</v>
      </c>
      <c r="E223" s="3" t="s">
        <v>292</v>
      </c>
      <c r="F223" s="3" t="s">
        <v>95</v>
      </c>
      <c r="G223" s="3"/>
      <c r="H223" s="12"/>
      <c r="I223" s="13"/>
      <c r="J223" s="10"/>
      <c r="K223" s="3"/>
      <c r="L223" s="3"/>
      <c r="M223" s="3"/>
      <c r="N223" s="3"/>
      <c r="O223" s="3"/>
      <c r="P223" s="3"/>
      <c r="Q223" s="3"/>
      <c r="R223" s="3"/>
      <c r="S223" s="3"/>
      <c r="T223" s="3"/>
      <c r="U223" s="3"/>
      <c r="V223" s="3"/>
      <c r="W223" s="10" t="str">
        <f>IF( J223="s.i", "s.i", IF(ISBLANK(J223),"Actualizando información",IFERROR(J223 / VLOOKUP(A223,Deflactor!$G$3:$H$64,2,0),"Revisar error" )))</f>
        <v>Actualizando información</v>
      </c>
    </row>
    <row r="224" spans="1:44" x14ac:dyDescent="0.25">
      <c r="A224" s="3">
        <v>2011</v>
      </c>
      <c r="B224" s="3" t="s">
        <v>298</v>
      </c>
      <c r="C224" s="3" t="s">
        <v>284</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VLOOKUP(A224,Deflactor!$G$3:$H$64,2,0),"Revisar error" )))</f>
        <v>Actualizando información</v>
      </c>
      <c r="AR224" s="10">
        <f xml:space="preserve"> 64046000 * 1000</f>
        <v>64046000000</v>
      </c>
    </row>
    <row r="225" spans="1:44" x14ac:dyDescent="0.25">
      <c r="A225" s="3">
        <v>2011</v>
      </c>
      <c r="B225" s="3" t="s">
        <v>299</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VLOOKUP(A225,Deflactor!$G$3:$H$64,2,0),"Revisar error" )))</f>
        <v>Actualizando información</v>
      </c>
      <c r="AR225" s="10">
        <f xml:space="preserve"> (1050218 + 2230585 + 524704 + 3427304 + 7631196 + 10088461 + 19272077 + 21801521 + 6126315 + 3805890 + 745520 + 668509 + 33214653 + 1398536 + 430755) * 1000</f>
        <v>112416244000</v>
      </c>
    </row>
    <row r="226" spans="1:44" x14ac:dyDescent="0.25">
      <c r="A226" s="3">
        <v>2011</v>
      </c>
      <c r="B226" s="3" t="s">
        <v>300</v>
      </c>
      <c r="C226" s="3" t="s">
        <v>7</v>
      </c>
      <c r="D226" s="3" t="s">
        <v>12</v>
      </c>
      <c r="E226" s="3" t="s">
        <v>13</v>
      </c>
      <c r="F226" s="3" t="s">
        <v>95</v>
      </c>
      <c r="G226" s="3"/>
      <c r="H226" s="12"/>
      <c r="I226" s="13"/>
      <c r="J226" s="10"/>
      <c r="K226" s="3"/>
      <c r="L226" s="3"/>
      <c r="M226" s="3"/>
      <c r="N226" s="3"/>
      <c r="O226" s="3"/>
      <c r="P226" s="3"/>
      <c r="Q226" s="3"/>
      <c r="R226" s="3"/>
      <c r="S226" s="3"/>
      <c r="T226" s="3"/>
      <c r="U226" s="3" t="s">
        <v>1325</v>
      </c>
      <c r="V226" s="3"/>
      <c r="W226" s="10" t="str">
        <f>IF( J226="s.i", "s.i", IF(ISBLANK(J226),"Actualizando información",IFERROR(J226 / VLOOKUP(A226,Deflactor!$G$3:$H$64,2,0),"Revisar error" )))</f>
        <v>Actualizando información</v>
      </c>
      <c r="AR226" s="10">
        <f xml:space="preserve"> 11378638 * 1000</f>
        <v>11378638000</v>
      </c>
    </row>
    <row r="227" spans="1:44" x14ac:dyDescent="0.25">
      <c r="A227" s="3">
        <v>2011</v>
      </c>
      <c r="B227" s="3" t="s">
        <v>301</v>
      </c>
      <c r="C227" s="3" t="s">
        <v>7</v>
      </c>
      <c r="D227" s="3" t="s">
        <v>12</v>
      </c>
      <c r="E227" s="3" t="s">
        <v>13</v>
      </c>
      <c r="F227" s="3" t="s">
        <v>89</v>
      </c>
      <c r="G227" s="3"/>
      <c r="H227" s="12"/>
      <c r="I227" s="13"/>
      <c r="J227" s="10"/>
      <c r="K227" s="30" t="s">
        <v>2284</v>
      </c>
      <c r="L227" s="3"/>
      <c r="M227" s="3"/>
      <c r="N227" s="3"/>
      <c r="O227" s="3"/>
      <c r="P227" s="3"/>
      <c r="Q227" s="3"/>
      <c r="R227" s="3"/>
      <c r="S227" s="3"/>
      <c r="T227" s="3"/>
      <c r="U227" s="3" t="s">
        <v>1329</v>
      </c>
      <c r="V227" s="3"/>
      <c r="W227" s="10" t="str">
        <f>IF( J227="s.i", "s.i", IF(ISBLANK(J227),"Actualizando información",IFERROR(J227 / VLOOKUP(A227,Deflactor!$G$3:$H$64,2,0),"Revisar error" )))</f>
        <v>Actualizando información</v>
      </c>
      <c r="AR227" s="10">
        <f xml:space="preserve"> 31324033 * 1000</f>
        <v>31324033000</v>
      </c>
    </row>
    <row r="228" spans="1:44" x14ac:dyDescent="0.25">
      <c r="A228" s="3">
        <v>2011</v>
      </c>
      <c r="B228" s="3" t="s">
        <v>302</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VLOOKUP(A228,Deflactor!$G$3:$H$64,2,0),"Revisar error" )))</f>
        <v>Actualizando información</v>
      </c>
      <c r="AR228" s="10" t="s">
        <v>2372</v>
      </c>
    </row>
    <row r="229" spans="1:44" x14ac:dyDescent="0.25">
      <c r="A229" s="3">
        <v>2011</v>
      </c>
      <c r="B229" s="3" t="s">
        <v>303</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VLOOKUP(A229,Deflactor!$G$3:$H$64,2,0),"Revisar error" )))</f>
        <v>Actualizando información</v>
      </c>
      <c r="AR229" s="10">
        <f xml:space="preserve"> 3099000 * 1000</f>
        <v>3099000000</v>
      </c>
    </row>
    <row r="230" spans="1:44" x14ac:dyDescent="0.25">
      <c r="A230" s="3">
        <v>2011</v>
      </c>
      <c r="B230" s="3" t="s">
        <v>304</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VLOOKUP(A230,Deflactor!$G$3:$H$64,2,0),"Revisar error" )))</f>
        <v>Actualizando información</v>
      </c>
      <c r="AR230" s="10">
        <f xml:space="preserve"> 42787209 * 1000</f>
        <v>42787209000</v>
      </c>
    </row>
    <row r="231" spans="1:44" x14ac:dyDescent="0.25">
      <c r="A231" s="3">
        <v>2011</v>
      </c>
      <c r="B231" s="3" t="s">
        <v>305</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VLOOKUP(A231,Deflactor!$G$3:$H$64,2,0),"Revisar error" )))</f>
        <v>Actualizando información</v>
      </c>
      <c r="AR231" s="10">
        <f xml:space="preserve"> 6729995 * 1000</f>
        <v>6729995000</v>
      </c>
    </row>
    <row r="232" spans="1:44" x14ac:dyDescent="0.25">
      <c r="A232" s="3">
        <v>2011</v>
      </c>
      <c r="B232" s="3" t="s">
        <v>306</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VLOOKUP(A232,Deflactor!$G$3:$H$64,2,0),"Revisar error" )))</f>
        <v>Actualizando información</v>
      </c>
      <c r="AR232" s="10">
        <f xml:space="preserve"> 11426096 * 1000</f>
        <v>11426096000</v>
      </c>
    </row>
    <row r="233" spans="1:44" x14ac:dyDescent="0.25">
      <c r="A233" s="3">
        <v>2010</v>
      </c>
      <c r="B233" s="3" t="s">
        <v>307</v>
      </c>
      <c r="C233" s="3" t="s">
        <v>284</v>
      </c>
      <c r="D233" s="3" t="s">
        <v>8</v>
      </c>
      <c r="E233" s="3" t="s">
        <v>51</v>
      </c>
      <c r="F233" s="3" t="s">
        <v>157</v>
      </c>
      <c r="G233" s="3" t="s">
        <v>724</v>
      </c>
      <c r="H233" s="12">
        <v>2010</v>
      </c>
      <c r="I233" s="13" t="s">
        <v>624</v>
      </c>
      <c r="J233" s="10" t="s">
        <v>624</v>
      </c>
      <c r="K233" s="3"/>
      <c r="L233" s="3" t="s">
        <v>1577</v>
      </c>
      <c r="M233" s="3" t="s">
        <v>1578</v>
      </c>
      <c r="N233" s="3" t="s">
        <v>1579</v>
      </c>
      <c r="O233" s="3" t="s">
        <v>1580</v>
      </c>
      <c r="P233" s="3"/>
      <c r="Q233" s="3"/>
      <c r="R233" s="3" t="s">
        <v>1581</v>
      </c>
      <c r="S233" s="3"/>
      <c r="T233" s="3"/>
      <c r="U233" s="3"/>
      <c r="V233" s="3"/>
      <c r="W233" s="10" t="str">
        <f>IF( J233="s.i", "s.i", IF(ISBLANK(J233),"Actualizando información",IFERROR(J233 / VLOOKUP(A233,Deflactor!$G$3:$H$64,2,0),"Revisar error" )))</f>
        <v>s.i</v>
      </c>
      <c r="AR233" s="10">
        <f xml:space="preserve"> 19410354 * 1000</f>
        <v>19410354000</v>
      </c>
    </row>
    <row r="234" spans="1:44" x14ac:dyDescent="0.25">
      <c r="A234" s="3">
        <v>2010</v>
      </c>
      <c r="B234" s="3" t="s">
        <v>248</v>
      </c>
      <c r="C234" s="3" t="s">
        <v>284</v>
      </c>
      <c r="D234" s="3" t="s">
        <v>40</v>
      </c>
      <c r="E234" s="3" t="s">
        <v>43</v>
      </c>
      <c r="F234" s="3" t="s">
        <v>157</v>
      </c>
      <c r="G234" s="3" t="s">
        <v>624</v>
      </c>
      <c r="H234" s="12">
        <v>2009</v>
      </c>
      <c r="I234" s="13" t="s">
        <v>624</v>
      </c>
      <c r="J234" s="10" t="s">
        <v>624</v>
      </c>
      <c r="K234" s="3"/>
      <c r="L234" s="3" t="s">
        <v>1582</v>
      </c>
      <c r="M234" s="3" t="s">
        <v>1583</v>
      </c>
      <c r="N234" s="3" t="s">
        <v>1584</v>
      </c>
      <c r="O234" s="3" t="s">
        <v>1585</v>
      </c>
      <c r="P234" s="3"/>
      <c r="Q234" s="3"/>
      <c r="R234" s="3" t="s">
        <v>1586</v>
      </c>
      <c r="S234" s="3"/>
      <c r="T234" s="3"/>
      <c r="U234" s="3"/>
      <c r="V234" s="3" t="s">
        <v>1587</v>
      </c>
      <c r="W234" s="10" t="str">
        <f>IF( J234="s.i", "s.i", IF(ISBLANK(J234),"Actualizando información",IFERROR(J234 / VLOOKUP(A234,Deflactor!$G$3:$H$64,2,0),"Revisar error" )))</f>
        <v>s.i</v>
      </c>
      <c r="AR234" s="10" t="s">
        <v>2372</v>
      </c>
    </row>
    <row r="235" spans="1:44" x14ac:dyDescent="0.25">
      <c r="A235" s="3">
        <v>2010</v>
      </c>
      <c r="B235" s="3" t="s">
        <v>308</v>
      </c>
      <c r="C235" s="3" t="s">
        <v>7</v>
      </c>
      <c r="D235" s="3" t="s">
        <v>36</v>
      </c>
      <c r="E235" s="3" t="s">
        <v>37</v>
      </c>
      <c r="F235" s="3" t="s">
        <v>309</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VLOOKUP(A235,Deflactor!$G$3:$H$64,2,0),"Revisar error" )))</f>
        <v>Actualizando información</v>
      </c>
      <c r="AR235" s="10">
        <f xml:space="preserve"> 1000000 * 1000</f>
        <v>1000000000</v>
      </c>
    </row>
    <row r="236" spans="1:44" x14ac:dyDescent="0.25">
      <c r="A236" s="3">
        <v>2010</v>
      </c>
      <c r="B236" s="3" t="s">
        <v>310</v>
      </c>
      <c r="C236" s="3" t="s">
        <v>7</v>
      </c>
      <c r="D236" s="3" t="s">
        <v>36</v>
      </c>
      <c r="E236" s="3" t="s">
        <v>37</v>
      </c>
      <c r="F236" s="3" t="s">
        <v>311</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VLOOKUP(A236,Deflactor!$G$3:$H$64,2,0),"Revisar error" )))</f>
        <v>Actualizando información</v>
      </c>
      <c r="AR236" s="10">
        <f xml:space="preserve"> 999572 * 1000</f>
        <v>999572000</v>
      </c>
    </row>
    <row r="237" spans="1:44" x14ac:dyDescent="0.25">
      <c r="A237" s="3">
        <v>2010</v>
      </c>
      <c r="B237" s="3" t="s">
        <v>312</v>
      </c>
      <c r="C237" s="3" t="s">
        <v>92</v>
      </c>
      <c r="D237" s="3" t="s">
        <v>36</v>
      </c>
      <c r="E237" s="3" t="s">
        <v>37</v>
      </c>
      <c r="F237" s="3" t="s">
        <v>89</v>
      </c>
      <c r="G237" s="3" t="s">
        <v>724</v>
      </c>
      <c r="H237" s="12">
        <v>2005</v>
      </c>
      <c r="I237" s="13" t="s">
        <v>624</v>
      </c>
      <c r="J237" s="10">
        <f xml:space="preserve"> 141370509 * 1000000</f>
        <v>141370509000000</v>
      </c>
      <c r="K237" s="3" t="s">
        <v>1667</v>
      </c>
      <c r="L237" s="3" t="s">
        <v>1588</v>
      </c>
      <c r="M237" s="3" t="s">
        <v>1589</v>
      </c>
      <c r="N237" s="3" t="s">
        <v>1590</v>
      </c>
      <c r="O237" s="3"/>
      <c r="P237" s="3"/>
      <c r="Q237" s="3"/>
      <c r="R237" s="3" t="s">
        <v>1591</v>
      </c>
      <c r="S237" s="3" t="s">
        <v>1591</v>
      </c>
      <c r="T237" s="3" t="s">
        <v>1592</v>
      </c>
      <c r="U237" s="3" t="s">
        <v>1593</v>
      </c>
      <c r="V237" s="3"/>
      <c r="W237" s="10">
        <f>IF( J237="s.i", "s.i", IF(ISBLANK(J237),"Actualizando información",IFERROR(J237 / VLOOKUP(A237,Deflactor!$G$3:$H$64,2,0),"Revisar error" )))</f>
        <v>150332635540530.41</v>
      </c>
      <c r="AR237" s="10">
        <f t="shared" ref="AR237:AR241" si="3" xml:space="preserve"> 132129142 * 1000</f>
        <v>132129142000</v>
      </c>
    </row>
    <row r="238" spans="1:44" x14ac:dyDescent="0.25">
      <c r="A238" s="3">
        <v>2010</v>
      </c>
      <c r="B238" s="3" t="s">
        <v>313</v>
      </c>
      <c r="C238" s="3" t="s">
        <v>92</v>
      </c>
      <c r="D238" s="3" t="s">
        <v>36</v>
      </c>
      <c r="E238" s="3" t="s">
        <v>37</v>
      </c>
      <c r="F238" s="3" t="s">
        <v>89</v>
      </c>
      <c r="G238" s="3" t="s">
        <v>724</v>
      </c>
      <c r="H238" s="12">
        <v>2007</v>
      </c>
      <c r="I238" s="13" t="s">
        <v>624</v>
      </c>
      <c r="J238" s="10">
        <f t="shared" ref="J238:J241" si="4" xml:space="preserve"> 141370509 * 1000000</f>
        <v>141370509000000</v>
      </c>
      <c r="K238" s="3" t="s">
        <v>1667</v>
      </c>
      <c r="L238" s="3" t="s">
        <v>1588</v>
      </c>
      <c r="M238" s="3" t="s">
        <v>1589</v>
      </c>
      <c r="N238" s="3" t="s">
        <v>1594</v>
      </c>
      <c r="O238" s="3"/>
      <c r="P238" s="3"/>
      <c r="Q238" s="3"/>
      <c r="R238" s="3" t="s">
        <v>1591</v>
      </c>
      <c r="S238" s="3" t="s">
        <v>1591</v>
      </c>
      <c r="T238" s="3" t="s">
        <v>1592</v>
      </c>
      <c r="U238" s="3" t="s">
        <v>1593</v>
      </c>
      <c r="V238" s="3"/>
      <c r="W238" s="10">
        <f>IF( J238="s.i", "s.i", IF(ISBLANK(J238),"Actualizando información",IFERROR(J238 / VLOOKUP(A238,Deflactor!$G$3:$H$64,2,0),"Revisar error" )))</f>
        <v>150332635540530.41</v>
      </c>
      <c r="AR238" s="10">
        <f t="shared" si="3"/>
        <v>132129142000</v>
      </c>
    </row>
    <row r="239" spans="1:44" x14ac:dyDescent="0.25">
      <c r="A239" s="3">
        <v>2010</v>
      </c>
      <c r="B239" s="3" t="s">
        <v>314</v>
      </c>
      <c r="C239" s="3" t="s">
        <v>92</v>
      </c>
      <c r="D239" s="3" t="s">
        <v>36</v>
      </c>
      <c r="E239" s="3" t="s">
        <v>37</v>
      </c>
      <c r="F239" s="3" t="s">
        <v>89</v>
      </c>
      <c r="G239" s="3" t="s">
        <v>724</v>
      </c>
      <c r="H239" s="12">
        <v>2001</v>
      </c>
      <c r="I239" s="13" t="s">
        <v>624</v>
      </c>
      <c r="J239" s="10">
        <f t="shared" si="4"/>
        <v>141370509000000</v>
      </c>
      <c r="K239" s="3" t="s">
        <v>1667</v>
      </c>
      <c r="L239" s="3" t="s">
        <v>1588</v>
      </c>
      <c r="M239" s="3" t="s">
        <v>1589</v>
      </c>
      <c r="N239" s="3" t="s">
        <v>1595</v>
      </c>
      <c r="O239" s="3"/>
      <c r="P239" s="3"/>
      <c r="Q239" s="3"/>
      <c r="R239" s="3" t="s">
        <v>1591</v>
      </c>
      <c r="S239" s="3" t="s">
        <v>1591</v>
      </c>
      <c r="T239" s="3" t="s">
        <v>1592</v>
      </c>
      <c r="U239" s="3" t="s">
        <v>1593</v>
      </c>
      <c r="V239" s="3"/>
      <c r="W239" s="10">
        <f>IF( J239="s.i", "s.i", IF(ISBLANK(J239),"Actualizando información",IFERROR(J239 / VLOOKUP(A239,Deflactor!$G$3:$H$64,2,0),"Revisar error" )))</f>
        <v>150332635540530.41</v>
      </c>
      <c r="AR239" s="10">
        <f t="shared" si="3"/>
        <v>132129142000</v>
      </c>
    </row>
    <row r="240" spans="1:44" x14ac:dyDescent="0.25">
      <c r="A240" s="3">
        <v>2010</v>
      </c>
      <c r="B240" s="3" t="s">
        <v>315</v>
      </c>
      <c r="C240" s="3" t="s">
        <v>92</v>
      </c>
      <c r="D240" s="3" t="s">
        <v>36</v>
      </c>
      <c r="E240" s="3" t="s">
        <v>37</v>
      </c>
      <c r="F240" s="3" t="s">
        <v>89</v>
      </c>
      <c r="G240" s="3" t="s">
        <v>724</v>
      </c>
      <c r="H240" s="12">
        <v>1998</v>
      </c>
      <c r="I240" s="13" t="s">
        <v>624</v>
      </c>
      <c r="J240" s="10">
        <f t="shared" si="4"/>
        <v>141370509000000</v>
      </c>
      <c r="K240" s="3" t="s">
        <v>1667</v>
      </c>
      <c r="L240" s="3" t="s">
        <v>1588</v>
      </c>
      <c r="M240" s="3" t="s">
        <v>1589</v>
      </c>
      <c r="N240" s="3" t="s">
        <v>1596</v>
      </c>
      <c r="O240" s="3"/>
      <c r="P240" s="3"/>
      <c r="Q240" s="3"/>
      <c r="R240" s="3" t="s">
        <v>1591</v>
      </c>
      <c r="S240" s="3" t="s">
        <v>1591</v>
      </c>
      <c r="T240" s="3" t="s">
        <v>1592</v>
      </c>
      <c r="U240" s="3" t="s">
        <v>1593</v>
      </c>
      <c r="V240" s="3"/>
      <c r="W240" s="10">
        <f>IF( J240="s.i", "s.i", IF(ISBLANK(J240),"Actualizando información",IFERROR(J240 / VLOOKUP(A240,Deflactor!$G$3:$H$64,2,0),"Revisar error" )))</f>
        <v>150332635540530.41</v>
      </c>
      <c r="AR240" s="10">
        <f t="shared" si="3"/>
        <v>132129142000</v>
      </c>
    </row>
    <row r="241" spans="1:44" x14ac:dyDescent="0.25">
      <c r="A241" s="3">
        <v>2010</v>
      </c>
      <c r="B241" s="3" t="s">
        <v>316</v>
      </c>
      <c r="C241" s="3" t="s">
        <v>92</v>
      </c>
      <c r="D241" s="3" t="s">
        <v>36</v>
      </c>
      <c r="E241" s="3" t="s">
        <v>37</v>
      </c>
      <c r="F241" s="3" t="s">
        <v>89</v>
      </c>
      <c r="G241" s="3" t="s">
        <v>724</v>
      </c>
      <c r="H241" s="12">
        <v>1991</v>
      </c>
      <c r="I241" s="13" t="s">
        <v>624</v>
      </c>
      <c r="J241" s="10">
        <f t="shared" si="4"/>
        <v>141370509000000</v>
      </c>
      <c r="K241" s="3" t="s">
        <v>1667</v>
      </c>
      <c r="L241" s="3" t="s">
        <v>1588</v>
      </c>
      <c r="M241" s="3" t="s">
        <v>1589</v>
      </c>
      <c r="N241" s="3" t="s">
        <v>1597</v>
      </c>
      <c r="O241" s="3"/>
      <c r="P241" s="3"/>
      <c r="Q241" s="3"/>
      <c r="R241" s="3" t="s">
        <v>1591</v>
      </c>
      <c r="S241" s="3" t="s">
        <v>1591</v>
      </c>
      <c r="T241" s="3" t="s">
        <v>1592</v>
      </c>
      <c r="U241" s="3" t="s">
        <v>1593</v>
      </c>
      <c r="V241" s="3"/>
      <c r="W241" s="10">
        <f>IF( J241="s.i", "s.i", IF(ISBLANK(J241),"Actualizando información",IFERROR(J241 / VLOOKUP(A241,Deflactor!$G$3:$H$64,2,0),"Revisar error" )))</f>
        <v>150332635540530.41</v>
      </c>
      <c r="AR241" s="10">
        <f t="shared" si="3"/>
        <v>132129142000</v>
      </c>
    </row>
    <row r="242" spans="1:44" x14ac:dyDescent="0.25">
      <c r="A242" s="3">
        <v>2010</v>
      </c>
      <c r="B242" s="3" t="s">
        <v>317</v>
      </c>
      <c r="C242" s="3" t="s">
        <v>155</v>
      </c>
      <c r="D242" s="3" t="s">
        <v>216</v>
      </c>
      <c r="E242" s="3" t="s">
        <v>317</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VLOOKUP(A242,Deflactor!$G$3:$H$64,2,0),"Revisar error" )))</f>
        <v>Actualizando información</v>
      </c>
      <c r="AR242" s="10">
        <f xml:space="preserve"> 4948354 * 1000</f>
        <v>4948354000</v>
      </c>
    </row>
    <row r="243" spans="1:44" x14ac:dyDescent="0.25">
      <c r="A243" s="3">
        <v>2010</v>
      </c>
      <c r="B243" s="3" t="s">
        <v>318</v>
      </c>
      <c r="C243" s="3" t="s">
        <v>7</v>
      </c>
      <c r="D243" s="3" t="s">
        <v>12</v>
      </c>
      <c r="E243" s="3" t="s">
        <v>61</v>
      </c>
      <c r="F243" s="3" t="s">
        <v>311</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VLOOKUP(A243,Deflactor!$G$3:$H$64,2,0),"Revisar error" )))</f>
        <v>Actualizando información</v>
      </c>
      <c r="AR243" s="10">
        <f xml:space="preserve"> 895698 * 1000</f>
        <v>895698000</v>
      </c>
    </row>
    <row r="244" spans="1:44" x14ac:dyDescent="0.25">
      <c r="A244" s="3">
        <v>2010</v>
      </c>
      <c r="B244" s="3" t="s">
        <v>319</v>
      </c>
      <c r="C244" s="3" t="s">
        <v>7</v>
      </c>
      <c r="D244" s="3" t="s">
        <v>12</v>
      </c>
      <c r="E244" s="3" t="s">
        <v>61</v>
      </c>
      <c r="F244" s="3" t="s">
        <v>311</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VLOOKUP(A244,Deflactor!$G$3:$H$64,2,0),"Revisar error" )))</f>
        <v>Actualizando información</v>
      </c>
      <c r="AR244" s="10">
        <f xml:space="preserve"> 112750 * 1000</f>
        <v>112750000</v>
      </c>
    </row>
    <row r="245" spans="1:44" x14ac:dyDescent="0.25">
      <c r="A245" s="3">
        <v>2010</v>
      </c>
      <c r="B245" s="3" t="s">
        <v>320</v>
      </c>
      <c r="C245" s="3" t="s">
        <v>7</v>
      </c>
      <c r="D245" s="3" t="s">
        <v>12</v>
      </c>
      <c r="E245" s="3" t="s">
        <v>61</v>
      </c>
      <c r="F245" s="3" t="s">
        <v>311</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VLOOKUP(A245,Deflactor!$G$3:$H$64,2,0),"Revisar error" )))</f>
        <v>Actualizando información</v>
      </c>
      <c r="AR245" s="10">
        <f xml:space="preserve"> 458619 * 1000</f>
        <v>458619000</v>
      </c>
    </row>
    <row r="246" spans="1:44" x14ac:dyDescent="0.25">
      <c r="A246" s="3">
        <v>2010</v>
      </c>
      <c r="B246" s="3" t="s">
        <v>321</v>
      </c>
      <c r="C246" s="3" t="s">
        <v>7</v>
      </c>
      <c r="D246" s="3" t="s">
        <v>12</v>
      </c>
      <c r="E246" s="3" t="s">
        <v>61</v>
      </c>
      <c r="F246" s="3" t="s">
        <v>311</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VLOOKUP(A246,Deflactor!$G$3:$H$64,2,0),"Revisar error" )))</f>
        <v>Actualizando información</v>
      </c>
      <c r="AR246" s="10">
        <f xml:space="preserve"> 7013709 * 1000</f>
        <v>7013709000</v>
      </c>
    </row>
    <row r="247" spans="1:44" x14ac:dyDescent="0.25">
      <c r="A247" s="3">
        <v>2010</v>
      </c>
      <c r="B247" s="3" t="s">
        <v>322</v>
      </c>
      <c r="C247" s="3" t="s">
        <v>7</v>
      </c>
      <c r="D247" s="3" t="s">
        <v>12</v>
      </c>
      <c r="E247" s="3" t="s">
        <v>61</v>
      </c>
      <c r="F247" s="3" t="s">
        <v>311</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VLOOKUP(A247,Deflactor!$G$3:$H$64,2,0),"Revisar error" )))</f>
        <v>Actualizando información</v>
      </c>
      <c r="AR247" s="10">
        <f xml:space="preserve"> 2212466 * 1000</f>
        <v>2212466000</v>
      </c>
    </row>
    <row r="248" spans="1:44" x14ac:dyDescent="0.25">
      <c r="A248" s="3">
        <v>2010</v>
      </c>
      <c r="B248" s="3" t="s">
        <v>323</v>
      </c>
      <c r="C248" s="3" t="s">
        <v>7</v>
      </c>
      <c r="D248" s="3" t="s">
        <v>12</v>
      </c>
      <c r="E248" s="3" t="s">
        <v>13</v>
      </c>
      <c r="F248" s="3" t="s">
        <v>311</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VLOOKUP(A248,Deflactor!$G$3:$H$64,2,0),"Revisar error" )))</f>
        <v>Actualizando información</v>
      </c>
      <c r="AR248" s="10">
        <f xml:space="preserve"> 1431133 * 1000</f>
        <v>1431133000</v>
      </c>
    </row>
    <row r="249" spans="1:44" x14ac:dyDescent="0.25">
      <c r="A249" s="3">
        <v>2010</v>
      </c>
      <c r="B249" s="3" t="s">
        <v>324</v>
      </c>
      <c r="C249" s="3" t="s">
        <v>92</v>
      </c>
      <c r="D249" s="3" t="s">
        <v>36</v>
      </c>
      <c r="E249" s="3" t="s">
        <v>37</v>
      </c>
      <c r="F249" s="3" t="s">
        <v>89</v>
      </c>
      <c r="G249" s="3" t="s">
        <v>724</v>
      </c>
      <c r="H249" s="12">
        <v>1999</v>
      </c>
      <c r="I249" s="13" t="s">
        <v>624</v>
      </c>
      <c r="J249" s="10">
        <f t="shared" ref="J249" si="5" xml:space="preserve"> 141370509 * 1000000</f>
        <v>141370509000000</v>
      </c>
      <c r="K249" s="3" t="s">
        <v>1667</v>
      </c>
      <c r="L249" s="3" t="s">
        <v>1588</v>
      </c>
      <c r="M249" s="3" t="s">
        <v>1589</v>
      </c>
      <c r="N249" s="16" t="s">
        <v>1598</v>
      </c>
      <c r="O249" s="3"/>
      <c r="P249" s="3"/>
      <c r="Q249" s="3"/>
      <c r="R249" s="3" t="s">
        <v>1591</v>
      </c>
      <c r="S249" s="3" t="s">
        <v>1591</v>
      </c>
      <c r="T249" s="3" t="s">
        <v>1592</v>
      </c>
      <c r="U249" s="3" t="s">
        <v>1593</v>
      </c>
      <c r="V249" s="3"/>
      <c r="W249" s="10">
        <f>IF( J249="s.i", "s.i", IF(ISBLANK(J249),"Actualizando información",IFERROR(J249 / VLOOKUP(A249,Deflactor!$G$3:$H$64,2,0),"Revisar error" )))</f>
        <v>150332635540530.41</v>
      </c>
      <c r="AR249" s="10">
        <f xml:space="preserve"> 132129142 * 1000</f>
        <v>132129142000</v>
      </c>
    </row>
    <row r="250" spans="1:44" x14ac:dyDescent="0.25">
      <c r="A250" s="3">
        <v>2010</v>
      </c>
      <c r="B250" s="3" t="s">
        <v>325</v>
      </c>
      <c r="C250" s="3" t="s">
        <v>92</v>
      </c>
      <c r="D250" s="3" t="s">
        <v>36</v>
      </c>
      <c r="E250" s="3" t="s">
        <v>37</v>
      </c>
      <c r="F250" s="3" t="s">
        <v>89</v>
      </c>
      <c r="G250" s="3" t="s">
        <v>624</v>
      </c>
      <c r="H250" s="12">
        <v>1990</v>
      </c>
      <c r="I250" s="13" t="s">
        <v>624</v>
      </c>
      <c r="J250" s="10" t="s">
        <v>624</v>
      </c>
      <c r="K250" s="3" t="s">
        <v>1650</v>
      </c>
      <c r="L250" s="3" t="s">
        <v>1599</v>
      </c>
      <c r="M250" s="3" t="s">
        <v>1600</v>
      </c>
      <c r="N250" s="3" t="s">
        <v>1601</v>
      </c>
      <c r="O250" s="3" t="s">
        <v>1602</v>
      </c>
      <c r="P250" s="3" t="s">
        <v>1603</v>
      </c>
      <c r="Q250" s="3"/>
      <c r="R250" s="3" t="s">
        <v>1604</v>
      </c>
      <c r="S250" s="3" t="s">
        <v>1605</v>
      </c>
      <c r="T250" s="3" t="s">
        <v>1606</v>
      </c>
      <c r="U250" s="3" t="s">
        <v>1607</v>
      </c>
      <c r="V250" s="3"/>
      <c r="W250" s="10" t="str">
        <f>IF( J250="s.i", "s.i", IF(ISBLANK(J250),"Actualizando información",IFERROR(J250 / VLOOKUP(A250,Deflactor!$G$3:$H$64,2,0),"Revisar error" )))</f>
        <v>s.i</v>
      </c>
      <c r="AR250" s="10">
        <f xml:space="preserve"> 513259 * 1000</f>
        <v>513259000</v>
      </c>
    </row>
    <row r="251" spans="1:44" x14ac:dyDescent="0.25">
      <c r="A251" s="3">
        <v>2010</v>
      </c>
      <c r="B251" s="3" t="s">
        <v>326</v>
      </c>
      <c r="C251" s="3" t="s">
        <v>92</v>
      </c>
      <c r="D251" s="3" t="s">
        <v>36</v>
      </c>
      <c r="E251" s="3" t="s">
        <v>37</v>
      </c>
      <c r="F251" s="3" t="s">
        <v>89</v>
      </c>
      <c r="G251" s="3" t="s">
        <v>624</v>
      </c>
      <c r="H251" s="12">
        <v>1990</v>
      </c>
      <c r="I251" s="13" t="s">
        <v>624</v>
      </c>
      <c r="J251" s="10" t="s">
        <v>624</v>
      </c>
      <c r="K251" s="3" t="s">
        <v>2164</v>
      </c>
      <c r="L251" s="3" t="s">
        <v>1599</v>
      </c>
      <c r="M251" s="3" t="s">
        <v>1600</v>
      </c>
      <c r="N251" s="3" t="s">
        <v>1601</v>
      </c>
      <c r="O251" s="3" t="s">
        <v>1602</v>
      </c>
      <c r="P251" s="3" t="s">
        <v>1603</v>
      </c>
      <c r="Q251" s="3"/>
      <c r="R251" s="3" t="s">
        <v>1604</v>
      </c>
      <c r="S251" s="3" t="s">
        <v>1605</v>
      </c>
      <c r="T251" s="3" t="s">
        <v>1606</v>
      </c>
      <c r="U251" s="3" t="s">
        <v>1607</v>
      </c>
      <c r="V251" s="3"/>
      <c r="W251" s="10" t="str">
        <f>IF( J251="s.i", "s.i", IF(ISBLANK(J251),"Actualizando información",IFERROR(J251 / VLOOKUP(A251,Deflactor!$G$3:$H$64,2,0),"Revisar error" )))</f>
        <v>s.i</v>
      </c>
      <c r="AR251" s="10">
        <f xml:space="preserve"> 264306 * 1000</f>
        <v>264306000</v>
      </c>
    </row>
    <row r="252" spans="1:44" x14ac:dyDescent="0.25">
      <c r="A252" s="3">
        <v>2010</v>
      </c>
      <c r="B252" s="3" t="s">
        <v>327</v>
      </c>
      <c r="C252" s="3" t="s">
        <v>92</v>
      </c>
      <c r="D252" s="3" t="s">
        <v>36</v>
      </c>
      <c r="E252" s="3" t="s">
        <v>37</v>
      </c>
      <c r="F252" s="3" t="s">
        <v>89</v>
      </c>
      <c r="G252" s="3" t="s">
        <v>624</v>
      </c>
      <c r="H252" s="12">
        <v>1990</v>
      </c>
      <c r="I252" s="13" t="s">
        <v>624</v>
      </c>
      <c r="J252" s="10" t="s">
        <v>624</v>
      </c>
      <c r="K252" s="3" t="s">
        <v>1650</v>
      </c>
      <c r="L252" s="3" t="s">
        <v>1599</v>
      </c>
      <c r="M252" s="3" t="s">
        <v>1600</v>
      </c>
      <c r="N252" s="3" t="s">
        <v>1601</v>
      </c>
      <c r="O252" s="3" t="s">
        <v>1602</v>
      </c>
      <c r="P252" s="3" t="s">
        <v>1603</v>
      </c>
      <c r="Q252" s="3"/>
      <c r="R252" s="3" t="s">
        <v>1604</v>
      </c>
      <c r="S252" s="3" t="s">
        <v>1605</v>
      </c>
      <c r="T252" s="3" t="s">
        <v>1606</v>
      </c>
      <c r="U252" s="3" t="s">
        <v>1607</v>
      </c>
      <c r="V252" s="3"/>
      <c r="W252" s="10" t="str">
        <f>IF( J252="s.i", "s.i", IF(ISBLANK(J252),"Actualizando información",IFERROR(J252 / VLOOKUP(A252,Deflactor!$G$3:$H$64,2,0),"Revisar error" )))</f>
        <v>s.i</v>
      </c>
      <c r="AR252" s="10">
        <f xml:space="preserve"> (8981205 + 40600000) * 1000</f>
        <v>49581205000</v>
      </c>
    </row>
    <row r="253" spans="1:44" x14ac:dyDescent="0.25">
      <c r="A253" s="3">
        <v>2010</v>
      </c>
      <c r="B253" s="3" t="s">
        <v>328</v>
      </c>
      <c r="C253" s="3" t="s">
        <v>92</v>
      </c>
      <c r="D253" s="3" t="s">
        <v>36</v>
      </c>
      <c r="E253" s="3" t="s">
        <v>37</v>
      </c>
      <c r="F253" s="3" t="s">
        <v>89</v>
      </c>
      <c r="G253" s="3" t="s">
        <v>624</v>
      </c>
      <c r="H253" s="12">
        <v>1990</v>
      </c>
      <c r="I253" s="13" t="s">
        <v>624</v>
      </c>
      <c r="J253" s="10" t="s">
        <v>624</v>
      </c>
      <c r="K253" s="3" t="s">
        <v>1650</v>
      </c>
      <c r="L253" s="3" t="s">
        <v>1599</v>
      </c>
      <c r="M253" s="3" t="s">
        <v>1600</v>
      </c>
      <c r="N253" s="3" t="s">
        <v>1601</v>
      </c>
      <c r="O253" s="3" t="s">
        <v>1602</v>
      </c>
      <c r="P253" s="3" t="s">
        <v>1603</v>
      </c>
      <c r="Q253" s="3"/>
      <c r="R253" s="3" t="s">
        <v>1604</v>
      </c>
      <c r="S253" s="3" t="s">
        <v>1605</v>
      </c>
      <c r="T253" s="3" t="s">
        <v>1606</v>
      </c>
      <c r="U253" s="3" t="s">
        <v>1607</v>
      </c>
      <c r="V253" s="3"/>
      <c r="W253" s="10" t="str">
        <f>IF( J253="s.i", "s.i", IF(ISBLANK(J253),"Actualizando información",IFERROR(J253 / VLOOKUP(A253,Deflactor!$G$3:$H$64,2,0),"Revisar error" )))</f>
        <v>s.i</v>
      </c>
      <c r="AR253" s="10" t="s">
        <v>2372</v>
      </c>
    </row>
    <row r="254" spans="1:44" x14ac:dyDescent="0.25">
      <c r="A254" s="3">
        <v>2010</v>
      </c>
      <c r="B254" s="3" t="s">
        <v>329</v>
      </c>
      <c r="C254" s="3" t="s">
        <v>7</v>
      </c>
      <c r="D254" s="3" t="s">
        <v>36</v>
      </c>
      <c r="E254" s="3" t="s">
        <v>94</v>
      </c>
      <c r="F254" s="3" t="s">
        <v>330</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VLOOKUP(A254,Deflactor!$G$3:$H$64,2,0),"Revisar error" )))</f>
        <v>Actualizando información</v>
      </c>
      <c r="AR254" s="10">
        <f xml:space="preserve"> 27706466 * 1000</f>
        <v>27706466000</v>
      </c>
    </row>
    <row r="255" spans="1:44" x14ac:dyDescent="0.25">
      <c r="A255" s="3">
        <v>2010</v>
      </c>
      <c r="B255" s="3" t="s">
        <v>331</v>
      </c>
      <c r="C255" s="3" t="s">
        <v>7</v>
      </c>
      <c r="D255" s="3" t="s">
        <v>36</v>
      </c>
      <c r="E255" s="3" t="s">
        <v>94</v>
      </c>
      <c r="F255" s="3" t="s">
        <v>330</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VLOOKUP(A255,Deflactor!$G$3:$H$64,2,0),"Revisar error" )))</f>
        <v>Actualizando información</v>
      </c>
      <c r="AR255" s="10">
        <f xml:space="preserve"> 27706466 * 1000</f>
        <v>27706466000</v>
      </c>
    </row>
    <row r="256" spans="1:44" x14ac:dyDescent="0.25">
      <c r="A256" s="3">
        <v>2010</v>
      </c>
      <c r="B256" s="3" t="s">
        <v>332</v>
      </c>
      <c r="C256" s="3" t="s">
        <v>7</v>
      </c>
      <c r="D256" s="3" t="s">
        <v>36</v>
      </c>
      <c r="E256" s="3" t="s">
        <v>94</v>
      </c>
      <c r="F256" s="3" t="s">
        <v>330</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VLOOKUP(A256,Deflactor!$G$3:$H$64,2,0),"Revisar error" )))</f>
        <v>Actualizando información</v>
      </c>
      <c r="AR256" s="10">
        <f xml:space="preserve"> 27706466 * 1000</f>
        <v>27706466000</v>
      </c>
    </row>
    <row r="257" spans="1:44" x14ac:dyDescent="0.25">
      <c r="A257" s="3">
        <v>2010</v>
      </c>
      <c r="B257" s="3" t="s">
        <v>333</v>
      </c>
      <c r="C257" s="3" t="s">
        <v>92</v>
      </c>
      <c r="D257" s="3" t="s">
        <v>36</v>
      </c>
      <c r="E257" s="3" t="s">
        <v>81</v>
      </c>
      <c r="F257" s="3" t="s">
        <v>95</v>
      </c>
      <c r="G257" s="3" t="s">
        <v>624</v>
      </c>
      <c r="H257" s="12">
        <v>1990</v>
      </c>
      <c r="I257" s="13" t="s">
        <v>624</v>
      </c>
      <c r="J257" s="10" t="s">
        <v>624</v>
      </c>
      <c r="K257" s="3" t="s">
        <v>1650</v>
      </c>
      <c r="L257" s="3" t="s">
        <v>1599</v>
      </c>
      <c r="M257" s="3" t="s">
        <v>1600</v>
      </c>
      <c r="N257" s="3" t="s">
        <v>1601</v>
      </c>
      <c r="O257" s="3" t="s">
        <v>1602</v>
      </c>
      <c r="P257" s="3" t="s">
        <v>1603</v>
      </c>
      <c r="Q257" s="3"/>
      <c r="R257" s="3" t="s">
        <v>1604</v>
      </c>
      <c r="S257" s="3" t="s">
        <v>1605</v>
      </c>
      <c r="T257" s="3" t="s">
        <v>1606</v>
      </c>
      <c r="U257" s="3" t="s">
        <v>1607</v>
      </c>
      <c r="V257" s="3"/>
      <c r="W257" s="10" t="str">
        <f>IF( J257="s.i", "s.i", IF(ISBLANK(J257),"Actualizando información",IFERROR(J257 / VLOOKUP(A257,Deflactor!$G$3:$H$64,2,0),"Revisar error" )))</f>
        <v>s.i</v>
      </c>
      <c r="AR257" s="10">
        <f xml:space="preserve"> 18270000 * 1000</f>
        <v>18270000000</v>
      </c>
    </row>
    <row r="258" spans="1:44" x14ac:dyDescent="0.25">
      <c r="A258" s="3">
        <v>2010</v>
      </c>
      <c r="B258" s="3" t="s">
        <v>334</v>
      </c>
      <c r="C258" s="3" t="s">
        <v>7</v>
      </c>
      <c r="D258" s="3" t="s">
        <v>71</v>
      </c>
      <c r="E258" s="3" t="s">
        <v>167</v>
      </c>
      <c r="F258" s="3" t="s">
        <v>330</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VLOOKUP(A258,Deflactor!$G$3:$H$64,2,0),"Revisar error" )))</f>
        <v>Actualizando información</v>
      </c>
      <c r="AR258" s="10" t="s">
        <v>2372</v>
      </c>
    </row>
    <row r="259" spans="1:44" x14ac:dyDescent="0.25">
      <c r="A259" s="3">
        <v>2010</v>
      </c>
      <c r="B259" s="3" t="s">
        <v>335</v>
      </c>
      <c r="C259" s="3" t="s">
        <v>155</v>
      </c>
      <c r="D259" s="3" t="s">
        <v>54</v>
      </c>
      <c r="E259" s="3" t="s">
        <v>336</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VLOOKUP(A259,Deflactor!$G$3:$H$64,2,0),"Revisar error" )))</f>
        <v>Actualizando información</v>
      </c>
      <c r="AR259" s="10" t="s">
        <v>2372</v>
      </c>
    </row>
    <row r="260" spans="1:44" x14ac:dyDescent="0.25">
      <c r="A260" s="3">
        <v>2010</v>
      </c>
      <c r="B260" s="3" t="s">
        <v>337</v>
      </c>
      <c r="C260" s="3" t="s">
        <v>7</v>
      </c>
      <c r="D260" s="3" t="s">
        <v>54</v>
      </c>
      <c r="E260" s="3" t="s">
        <v>237</v>
      </c>
      <c r="F260" s="3" t="s">
        <v>330</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VLOOKUP(A260,Deflactor!$G$3:$H$64,2,0),"Revisar error" )))</f>
        <v>Actualizando información</v>
      </c>
      <c r="AR260" s="10" t="s">
        <v>2372</v>
      </c>
    </row>
    <row r="261" spans="1:44" x14ac:dyDescent="0.25">
      <c r="A261" s="3">
        <v>2010</v>
      </c>
      <c r="B261" s="3" t="s">
        <v>338</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VLOOKUP(A261,Deflactor!$G$3:$H$64,2,0),"Revisar error" )))</f>
        <v>Actualizando información</v>
      </c>
      <c r="AR261" s="10">
        <f xml:space="preserve"> (1379528 + 2224947) * 1000</f>
        <v>3604475000</v>
      </c>
    </row>
    <row r="262" spans="1:44" x14ac:dyDescent="0.25">
      <c r="A262" s="3">
        <v>2010</v>
      </c>
      <c r="B262" s="3" t="s">
        <v>339</v>
      </c>
      <c r="C262" s="3" t="s">
        <v>7</v>
      </c>
      <c r="D262" s="3" t="s">
        <v>32</v>
      </c>
      <c r="E262" s="3" t="s">
        <v>33</v>
      </c>
      <c r="F262" s="3" t="s">
        <v>330</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VLOOKUP(A262,Deflactor!$G$3:$H$64,2,0),"Revisar error" )))</f>
        <v>Actualizando información</v>
      </c>
      <c r="AR262" s="10">
        <f xml:space="preserve"> 9671194 * 1000</f>
        <v>9671194000</v>
      </c>
    </row>
    <row r="263" spans="1:44" x14ac:dyDescent="0.25">
      <c r="A263" s="3">
        <v>2010</v>
      </c>
      <c r="B263" s="3" t="s">
        <v>340</v>
      </c>
      <c r="C263" s="3" t="s">
        <v>7</v>
      </c>
      <c r="D263" s="3" t="s">
        <v>32</v>
      </c>
      <c r="E263" s="3" t="s">
        <v>33</v>
      </c>
      <c r="F263" s="3" t="s">
        <v>311</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VLOOKUP(A263,Deflactor!$G$3:$H$64,2,0),"Revisar error" )))</f>
        <v>Actualizando información</v>
      </c>
      <c r="AR263" s="10" t="s">
        <v>2372</v>
      </c>
    </row>
    <row r="264" spans="1:44" x14ac:dyDescent="0.25">
      <c r="A264" s="3">
        <v>2010</v>
      </c>
      <c r="B264" s="3" t="s">
        <v>341</v>
      </c>
      <c r="C264" s="3" t="s">
        <v>7</v>
      </c>
      <c r="D264" s="3" t="s">
        <v>291</v>
      </c>
      <c r="E264" s="3" t="s">
        <v>21</v>
      </c>
      <c r="F264" s="3" t="s">
        <v>309</v>
      </c>
      <c r="G264" s="3" t="s">
        <v>904</v>
      </c>
      <c r="H264" s="12">
        <v>2007</v>
      </c>
      <c r="I264" s="13">
        <v>2011</v>
      </c>
      <c r="J264" s="10">
        <f xml:space="preserve"> 13905 * 1000000</f>
        <v>13905000000</v>
      </c>
      <c r="K264" s="3" t="s">
        <v>862</v>
      </c>
      <c r="L264" s="3" t="s">
        <v>905</v>
      </c>
      <c r="M264" s="3" t="s">
        <v>906</v>
      </c>
      <c r="N264" s="3" t="s">
        <v>907</v>
      </c>
      <c r="O264" s="3" t="s">
        <v>908</v>
      </c>
      <c r="P264" s="3" t="s">
        <v>909</v>
      </c>
      <c r="Q264" s="3" t="s">
        <v>895</v>
      </c>
      <c r="R264" s="11" t="s">
        <v>910</v>
      </c>
      <c r="S264" s="11" t="s">
        <v>911</v>
      </c>
      <c r="T264" s="11" t="s">
        <v>912</v>
      </c>
      <c r="U264" s="3" t="s">
        <v>1143</v>
      </c>
      <c r="V264" s="3"/>
      <c r="W264" s="10">
        <f>IF( J264="s.i", "s.i", IF(ISBLANK(J264),"Actualizando información",IFERROR(J264 / VLOOKUP(A264,Deflactor!$G$3:$H$64,2,0),"Revisar error" )))</f>
        <v>14786501880.608461</v>
      </c>
      <c r="AR264" s="10">
        <f xml:space="preserve"> 2544413 * 1000</f>
        <v>2544413000</v>
      </c>
    </row>
    <row r="265" spans="1:44" x14ac:dyDescent="0.25">
      <c r="A265" s="3">
        <v>2010</v>
      </c>
      <c r="B265" s="3" t="s">
        <v>342</v>
      </c>
      <c r="C265" s="3" t="s">
        <v>92</v>
      </c>
      <c r="D265" s="3" t="s">
        <v>36</v>
      </c>
      <c r="E265" s="3" t="s">
        <v>37</v>
      </c>
      <c r="F265" s="3" t="s">
        <v>89</v>
      </c>
      <c r="G265" s="3" t="s">
        <v>724</v>
      </c>
      <c r="H265" s="12">
        <v>1998</v>
      </c>
      <c r="I265" s="13" t="s">
        <v>624</v>
      </c>
      <c r="J265" s="10">
        <f t="shared" ref="J265" si="6" xml:space="preserve"> 141370509 * 1000000</f>
        <v>141370509000000</v>
      </c>
      <c r="K265" s="3" t="s">
        <v>1667</v>
      </c>
      <c r="L265" s="3" t="s">
        <v>1588</v>
      </c>
      <c r="M265" s="3" t="s">
        <v>1589</v>
      </c>
      <c r="N265" s="3" t="s">
        <v>1608</v>
      </c>
      <c r="O265" s="3"/>
      <c r="P265" s="3"/>
      <c r="Q265" s="3"/>
      <c r="R265" s="3" t="s">
        <v>1591</v>
      </c>
      <c r="S265" s="3" t="s">
        <v>1591</v>
      </c>
      <c r="T265" s="3" t="s">
        <v>1592</v>
      </c>
      <c r="U265" s="3" t="s">
        <v>1609</v>
      </c>
      <c r="V265" s="3"/>
      <c r="W265" s="10">
        <f>IF( J265="s.i", "s.i", IF(ISBLANK(J265),"Actualizando información",IFERROR(J265 / VLOOKUP(A265,Deflactor!$G$3:$H$64,2,0),"Revisar error" )))</f>
        <v>150332635540530.41</v>
      </c>
      <c r="AR265" s="10">
        <f xml:space="preserve"> 132129142 * 1000</f>
        <v>132129142000</v>
      </c>
    </row>
    <row r="266" spans="1:44" x14ac:dyDescent="0.25">
      <c r="A266" s="3">
        <v>2010</v>
      </c>
      <c r="B266" s="3" t="s">
        <v>343</v>
      </c>
      <c r="C266" s="3" t="s">
        <v>7</v>
      </c>
      <c r="D266" s="3" t="s">
        <v>291</v>
      </c>
      <c r="E266" s="3" t="s">
        <v>292</v>
      </c>
      <c r="F266" s="3" t="s">
        <v>311</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VLOOKUP(A266,Deflactor!$G$3:$H$64,2,0),"Revisar error" )))</f>
        <v>Actualizando información</v>
      </c>
      <c r="AR266" s="10">
        <f xml:space="preserve"> 11728561 * 1000</f>
        <v>11728561000</v>
      </c>
    </row>
    <row r="267" spans="1:44" x14ac:dyDescent="0.25">
      <c r="A267" s="3">
        <v>2010</v>
      </c>
      <c r="B267" s="3" t="s">
        <v>344</v>
      </c>
      <c r="C267" s="3" t="s">
        <v>7</v>
      </c>
      <c r="D267" s="3" t="s">
        <v>234</v>
      </c>
      <c r="E267" s="3" t="s">
        <v>345</v>
      </c>
      <c r="F267" s="3" t="s">
        <v>311</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VLOOKUP(A267,Deflactor!$G$3:$H$64,2,0),"Revisar error" )))</f>
        <v>Actualizando información</v>
      </c>
      <c r="AR267" s="10">
        <f xml:space="preserve"> 8881250 * 1000</f>
        <v>8881250000</v>
      </c>
    </row>
    <row r="268" spans="1:44" x14ac:dyDescent="0.25">
      <c r="A268" s="3">
        <v>2010</v>
      </c>
      <c r="B268" s="3" t="s">
        <v>346</v>
      </c>
      <c r="C268" s="3" t="s">
        <v>92</v>
      </c>
      <c r="D268" s="3" t="s">
        <v>32</v>
      </c>
      <c r="E268" s="3" t="s">
        <v>33</v>
      </c>
      <c r="F268" s="3" t="s">
        <v>89</v>
      </c>
      <c r="G268" s="3"/>
      <c r="H268" s="12"/>
      <c r="I268" s="13"/>
      <c r="J268" s="10"/>
      <c r="K268" s="3"/>
      <c r="L268" s="3"/>
      <c r="M268" s="3"/>
      <c r="N268" s="3"/>
      <c r="O268" s="3"/>
      <c r="P268" s="3"/>
      <c r="Q268" s="3"/>
      <c r="R268" s="3"/>
      <c r="S268" s="3"/>
      <c r="T268" s="3"/>
      <c r="U268" s="3" t="s">
        <v>1328</v>
      </c>
      <c r="V268" s="3"/>
      <c r="W268" s="10" t="str">
        <f>IF( J268="s.i", "s.i", IF(ISBLANK(J268),"Actualizando información",IFERROR(J268 / VLOOKUP(A268,Deflactor!$G$3:$H$64,2,0),"Revisar error" )))</f>
        <v>Actualizando información</v>
      </c>
      <c r="AR268" s="10">
        <f xml:space="preserve"> 4685491 * 1000</f>
        <v>4685491000</v>
      </c>
    </row>
    <row r="269" spans="1:44" x14ac:dyDescent="0.25">
      <c r="A269" s="3">
        <v>2010</v>
      </c>
      <c r="B269" s="3" t="s">
        <v>347</v>
      </c>
      <c r="C269" s="3" t="s">
        <v>92</v>
      </c>
      <c r="D269" s="3" t="s">
        <v>32</v>
      </c>
      <c r="E269" s="3" t="s">
        <v>33</v>
      </c>
      <c r="F269" s="3" t="s">
        <v>89</v>
      </c>
      <c r="G269" s="3"/>
      <c r="H269" s="12"/>
      <c r="I269" s="13"/>
      <c r="J269" s="10"/>
      <c r="K269" s="3"/>
      <c r="L269" s="3"/>
      <c r="M269" s="3"/>
      <c r="N269" s="3"/>
      <c r="O269" s="3"/>
      <c r="P269" s="3"/>
      <c r="Q269" s="3"/>
      <c r="R269" s="3"/>
      <c r="S269" s="3"/>
      <c r="T269" s="3"/>
      <c r="U269" s="3" t="s">
        <v>1328</v>
      </c>
      <c r="V269" s="3"/>
      <c r="W269" s="10" t="str">
        <f>IF( J269="s.i", "s.i", IF(ISBLANK(J269),"Actualizando información",IFERROR(J269 / VLOOKUP(A269,Deflactor!$G$3:$H$64,2,0),"Revisar error" )))</f>
        <v>Actualizando información</v>
      </c>
      <c r="AR269" s="10">
        <f xml:space="preserve"> 4685491 * 1000</f>
        <v>4685491000</v>
      </c>
    </row>
    <row r="270" spans="1:44" x14ac:dyDescent="0.25">
      <c r="A270" s="3">
        <v>2010</v>
      </c>
      <c r="B270" s="3" t="s">
        <v>348</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VLOOKUP(A270,Deflactor!$G$3:$H$64,2,0),"Revisar error" )))</f>
        <v>Actualizando información</v>
      </c>
      <c r="AR270" s="10">
        <f xml:space="preserve"> (5182717 + 15340680) * 1000</f>
        <v>20523397000</v>
      </c>
    </row>
    <row r="271" spans="1:44" x14ac:dyDescent="0.25">
      <c r="A271" s="3">
        <v>2010</v>
      </c>
      <c r="B271" s="3" t="s">
        <v>349</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VLOOKUP(A271,Deflactor!$G$3:$H$64,2,0),"Revisar error" )))</f>
        <v>Actualizando información</v>
      </c>
      <c r="AR271" s="10">
        <f xml:space="preserve"> (3583453 + 2040487) * 1000</f>
        <v>5623940000</v>
      </c>
    </row>
    <row r="272" spans="1:44" x14ac:dyDescent="0.25">
      <c r="A272" s="3">
        <v>2009</v>
      </c>
      <c r="B272" s="3" t="s">
        <v>350</v>
      </c>
      <c r="C272" s="3" t="s">
        <v>7</v>
      </c>
      <c r="D272" s="3" t="s">
        <v>12</v>
      </c>
      <c r="E272" s="3" t="s">
        <v>13</v>
      </c>
      <c r="F272" s="3" t="s">
        <v>330</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VLOOKUP(A272,Deflactor!$G$3:$H$64,2,0),"Revisar error" )))</f>
        <v>Actualizando información</v>
      </c>
      <c r="AR272" s="10">
        <f xml:space="preserve"> 7557784 * 1000</f>
        <v>7557784000</v>
      </c>
    </row>
    <row r="273" spans="1:45" x14ac:dyDescent="0.25">
      <c r="A273" s="3">
        <v>2009</v>
      </c>
      <c r="B273" s="3" t="s">
        <v>351</v>
      </c>
      <c r="C273" s="3" t="s">
        <v>7</v>
      </c>
      <c r="D273" s="3" t="s">
        <v>12</v>
      </c>
      <c r="E273" s="3" t="s">
        <v>58</v>
      </c>
      <c r="F273" s="3" t="s">
        <v>352</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VLOOKUP(A273,Deflactor!$G$3:$H$64,2,0),"Revisar error" )))</f>
        <v>Actualizando información</v>
      </c>
      <c r="AR273" s="10">
        <f xml:space="preserve"> (868185 + 3415241) * 1000</f>
        <v>4283426000</v>
      </c>
    </row>
    <row r="274" spans="1:45" x14ac:dyDescent="0.25">
      <c r="A274" s="3">
        <v>2009</v>
      </c>
      <c r="B274" s="3" t="s">
        <v>353</v>
      </c>
      <c r="C274" s="3" t="s">
        <v>7</v>
      </c>
      <c r="D274" s="3" t="s">
        <v>12</v>
      </c>
      <c r="E274" s="3" t="s">
        <v>58</v>
      </c>
      <c r="F274" s="3" t="s">
        <v>330</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VLOOKUP(A274,Deflactor!$G$3:$H$64,2,0),"Revisar error" )))</f>
        <v>Actualizando información</v>
      </c>
      <c r="AR274" s="10">
        <f xml:space="preserve"> 15272054 * 1000</f>
        <v>15272054000</v>
      </c>
    </row>
    <row r="275" spans="1:45" x14ac:dyDescent="0.25">
      <c r="A275" s="3">
        <v>2009</v>
      </c>
      <c r="B275" s="3" t="s">
        <v>354</v>
      </c>
      <c r="C275" s="3" t="s">
        <v>7</v>
      </c>
      <c r="D275" s="3" t="s">
        <v>45</v>
      </c>
      <c r="E275" s="3" t="s">
        <v>184</v>
      </c>
      <c r="F275" s="3" t="s">
        <v>330</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VLOOKUP(A275,Deflactor!$G$3:$H$64,2,0),"Revisar error" )))</f>
        <v>Actualizando información</v>
      </c>
      <c r="AR275" s="10">
        <f xml:space="preserve"> 1064320 * 1000</f>
        <v>1064320000</v>
      </c>
      <c r="AS275" s="10">
        <f xml:space="preserve"> 4933 * 1000</f>
        <v>4933000</v>
      </c>
    </row>
    <row r="276" spans="1:45"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VLOOKUP(A276,Deflactor!$G$3:$H$64,2,0),"Revisar error" )))</f>
        <v>Actualizando información</v>
      </c>
      <c r="AR276" s="10">
        <f xml:space="preserve"> 18823388 * 1000</f>
        <v>18823388000</v>
      </c>
    </row>
    <row r="277" spans="1:45" x14ac:dyDescent="0.25">
      <c r="A277" s="3">
        <v>2009</v>
      </c>
      <c r="B277" s="3" t="s">
        <v>355</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VLOOKUP(A277,Deflactor!$G$3:$H$64,2,0),"Revisar error" )))</f>
        <v>Actualizando información</v>
      </c>
      <c r="AR277" s="10">
        <f t="shared" ref="AR277:AR279" si="7" xml:space="preserve"> 17991107 * 1000</f>
        <v>17991107000</v>
      </c>
    </row>
    <row r="278" spans="1:45" x14ac:dyDescent="0.25">
      <c r="A278" s="3">
        <v>2009</v>
      </c>
      <c r="B278" s="3" t="s">
        <v>356</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VLOOKUP(A278,Deflactor!$G$3:$H$64,2,0),"Revisar error" )))</f>
        <v>Actualizando información</v>
      </c>
      <c r="AR278" s="10">
        <f t="shared" si="7"/>
        <v>17991107000</v>
      </c>
    </row>
    <row r="279" spans="1:45" x14ac:dyDescent="0.25">
      <c r="A279" s="3">
        <v>2009</v>
      </c>
      <c r="B279" s="3" t="s">
        <v>357</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VLOOKUP(A279,Deflactor!$G$3:$H$64,2,0),"Revisar error" )))</f>
        <v>Actualizando información</v>
      </c>
      <c r="AR279" s="10">
        <f t="shared" si="7"/>
        <v>17991107000</v>
      </c>
    </row>
    <row r="280" spans="1:45" x14ac:dyDescent="0.25">
      <c r="A280" s="3">
        <v>2009</v>
      </c>
      <c r="B280" s="3" t="s">
        <v>358</v>
      </c>
      <c r="C280" s="3" t="s">
        <v>284</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VLOOKUP(A280,Deflactor!$G$3:$H$64,2,0),"Revisar error" )))</f>
        <v>Actualizando información</v>
      </c>
      <c r="AR280" s="10" t="s">
        <v>2372</v>
      </c>
    </row>
    <row r="281" spans="1:45" x14ac:dyDescent="0.25">
      <c r="A281" s="3">
        <v>2009</v>
      </c>
      <c r="B281" s="3" t="s">
        <v>359</v>
      </c>
      <c r="C281" s="3" t="s">
        <v>7</v>
      </c>
      <c r="D281" s="3" t="s">
        <v>36</v>
      </c>
      <c r="E281" s="3" t="s">
        <v>37</v>
      </c>
      <c r="F281" s="3" t="s">
        <v>330</v>
      </c>
      <c r="G281" s="3" t="s">
        <v>724</v>
      </c>
      <c r="H281" s="13">
        <v>1994</v>
      </c>
      <c r="I281" s="13"/>
      <c r="J281" s="10">
        <f xml:space="preserve"> 6230 * 1000000</f>
        <v>6230000000</v>
      </c>
      <c r="K281" s="3" t="s">
        <v>2296</v>
      </c>
      <c r="L281" s="3" t="s">
        <v>957</v>
      </c>
      <c r="M281" s="3" t="s">
        <v>958</v>
      </c>
      <c r="N281" s="3" t="s">
        <v>959</v>
      </c>
      <c r="O281" s="3" t="s">
        <v>960</v>
      </c>
      <c r="P281" s="3" t="s">
        <v>962</v>
      </c>
      <c r="Q281" s="3"/>
      <c r="R281" s="11" t="s">
        <v>954</v>
      </c>
      <c r="S281" s="11" t="s">
        <v>955</v>
      </c>
      <c r="T281" s="11" t="s">
        <v>956</v>
      </c>
      <c r="U281" s="3" t="s">
        <v>1146</v>
      </c>
      <c r="V281" s="3"/>
      <c r="W281" s="10">
        <f>IF( J281="s.i", "s.i", IF(ISBLANK(J281),"Actualizando información",IFERROR(J281 / VLOOKUP(A281,Deflactor!$G$3:$H$64,2,0),"Revisar error" )))</f>
        <v>7218695674.6454353</v>
      </c>
      <c r="AR281" s="10">
        <f xml:space="preserve"> 6112095 * 1000</f>
        <v>6112095000</v>
      </c>
    </row>
    <row r="282" spans="1:45" x14ac:dyDescent="0.25">
      <c r="A282" s="3">
        <v>2009</v>
      </c>
      <c r="B282" s="3" t="s">
        <v>360</v>
      </c>
      <c r="C282" s="3" t="s">
        <v>7</v>
      </c>
      <c r="D282" s="3" t="s">
        <v>36</v>
      </c>
      <c r="E282" s="3" t="s">
        <v>37</v>
      </c>
      <c r="F282" s="3" t="s">
        <v>309</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VLOOKUP(A282,Deflactor!$G$3:$H$64,2,0),"Revisar error" )))</f>
        <v>Actualizando información</v>
      </c>
      <c r="AR282" s="10">
        <f xml:space="preserve"> 2906387 * 1000</f>
        <v>2906387000</v>
      </c>
    </row>
    <row r="283" spans="1:45" x14ac:dyDescent="0.25">
      <c r="A283" s="3">
        <v>2009</v>
      </c>
      <c r="B283" s="3" t="s">
        <v>361</v>
      </c>
      <c r="C283" s="3" t="s">
        <v>284</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VLOOKUP(A283,Deflactor!$G$3:$H$64,2,0),"Revisar error" )))</f>
        <v>Actualizando información</v>
      </c>
      <c r="AR283" s="10">
        <f xml:space="preserve"> 111196196 * 1000</f>
        <v>111196196000</v>
      </c>
    </row>
    <row r="284" spans="1:45" x14ac:dyDescent="0.25">
      <c r="A284" s="3">
        <v>2009</v>
      </c>
      <c r="B284" s="3" t="s">
        <v>362</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VLOOKUP(A284,Deflactor!$G$3:$H$64,2,0),"Revisar error" )))</f>
        <v>Actualizando información</v>
      </c>
      <c r="AR284" s="10">
        <f xml:space="preserve"> 632007 * 1000</f>
        <v>632007000</v>
      </c>
    </row>
    <row r="285" spans="1:45" x14ac:dyDescent="0.25">
      <c r="A285" s="3">
        <v>2009</v>
      </c>
      <c r="B285" s="3" t="s">
        <v>363</v>
      </c>
      <c r="C285" s="3" t="s">
        <v>7</v>
      </c>
      <c r="D285" s="3" t="s">
        <v>71</v>
      </c>
      <c r="E285" s="3" t="s">
        <v>167</v>
      </c>
      <c r="F285" s="3" t="s">
        <v>330</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VLOOKUP(A285,Deflactor!$G$3:$H$64,2,0),"Revisar error" )))</f>
        <v>Actualizando información</v>
      </c>
      <c r="AR285" s="10" t="s">
        <v>2372</v>
      </c>
    </row>
    <row r="286" spans="1:45" x14ac:dyDescent="0.25">
      <c r="A286" s="3">
        <v>2009</v>
      </c>
      <c r="B286" s="3" t="s">
        <v>364</v>
      </c>
      <c r="C286" s="3" t="s">
        <v>7</v>
      </c>
      <c r="D286" s="3" t="s">
        <v>8</v>
      </c>
      <c r="E286" s="3" t="s">
        <v>265</v>
      </c>
      <c r="F286" s="3" t="s">
        <v>352</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VLOOKUP(A286,Deflactor!$G$3:$H$64,2,0),"Revisar error" )))</f>
        <v>Actualizando información</v>
      </c>
      <c r="AR286" s="10">
        <f xml:space="preserve"> 9337673 * 1000</f>
        <v>9337673000</v>
      </c>
    </row>
    <row r="287" spans="1:45" x14ac:dyDescent="0.25">
      <c r="A287" s="3">
        <v>2009</v>
      </c>
      <c r="B287" s="3" t="s">
        <v>365</v>
      </c>
      <c r="C287" s="3" t="s">
        <v>7</v>
      </c>
      <c r="D287" s="3" t="s">
        <v>8</v>
      </c>
      <c r="E287" s="3" t="s">
        <v>51</v>
      </c>
      <c r="F287" s="3" t="s">
        <v>311</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VLOOKUP(A287,Deflactor!$G$3:$H$64,2,0),"Revisar error" )))</f>
        <v>Actualizando información</v>
      </c>
      <c r="AR287" s="10">
        <f xml:space="preserve"> 10547807 * 1000</f>
        <v>10547807000</v>
      </c>
    </row>
    <row r="288" spans="1:45" x14ac:dyDescent="0.25">
      <c r="A288" s="3">
        <v>2009</v>
      </c>
      <c r="B288" s="3" t="s">
        <v>366</v>
      </c>
      <c r="C288" s="3" t="s">
        <v>7</v>
      </c>
      <c r="D288" s="3" t="s">
        <v>164</v>
      </c>
      <c r="E288" s="3" t="s">
        <v>165</v>
      </c>
      <c r="F288" s="3" t="s">
        <v>330</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VLOOKUP(A288,Deflactor!$G$3:$H$64,2,0),"Revisar error" )))</f>
        <v>Actualizando información</v>
      </c>
      <c r="AR288" s="10" t="s">
        <v>2372</v>
      </c>
    </row>
    <row r="289" spans="1:44" x14ac:dyDescent="0.25">
      <c r="A289" s="3">
        <v>2009</v>
      </c>
      <c r="B289" s="3" t="s">
        <v>367</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VLOOKUP(A289,Deflactor!$G$3:$H$64,2,0),"Revisar error" )))</f>
        <v>Actualizando información</v>
      </c>
      <c r="AR289" s="10" t="s">
        <v>2372</v>
      </c>
    </row>
    <row r="290" spans="1:44" x14ac:dyDescent="0.25">
      <c r="A290" s="3">
        <v>2009</v>
      </c>
      <c r="B290" s="3" t="s">
        <v>368</v>
      </c>
      <c r="C290" s="3" t="s">
        <v>155</v>
      </c>
      <c r="D290" s="3" t="s">
        <v>159</v>
      </c>
      <c r="E290" s="3" t="s">
        <v>369</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VLOOKUP(A290,Deflactor!$G$3:$H$64,2,0),"Revisar error" )))</f>
        <v>Actualizando información</v>
      </c>
      <c r="AR290" s="10">
        <f xml:space="preserve"> 3070179 * 1000</f>
        <v>3070179000</v>
      </c>
    </row>
    <row r="291" spans="1:44" x14ac:dyDescent="0.25">
      <c r="A291" s="3">
        <v>2009</v>
      </c>
      <c r="B291" s="3" t="s">
        <v>370</v>
      </c>
      <c r="C291" s="3" t="s">
        <v>155</v>
      </c>
      <c r="D291" s="3" t="s">
        <v>159</v>
      </c>
      <c r="E291" s="3" t="s">
        <v>371</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VLOOKUP(A291,Deflactor!$G$3:$H$64,2,0),"Revisar error" )))</f>
        <v>Actualizando información</v>
      </c>
      <c r="AR291" s="10">
        <f xml:space="preserve"> 9957711 * 1000</f>
        <v>9957711000</v>
      </c>
    </row>
    <row r="292" spans="1:44" x14ac:dyDescent="0.25">
      <c r="A292" s="3">
        <v>2009</v>
      </c>
      <c r="B292" s="3" t="s">
        <v>372</v>
      </c>
      <c r="C292" s="3" t="s">
        <v>7</v>
      </c>
      <c r="D292" s="3" t="s">
        <v>291</v>
      </c>
      <c r="E292" s="3" t="s">
        <v>292</v>
      </c>
      <c r="F292" s="3" t="s">
        <v>330</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VLOOKUP(A292,Deflactor!$G$3:$H$64,2,0),"Revisar error" )))</f>
        <v>Actualizando información</v>
      </c>
      <c r="AR292" s="10">
        <f xml:space="preserve"> 318600 * 1000</f>
        <v>318600000</v>
      </c>
    </row>
    <row r="293" spans="1:44" x14ac:dyDescent="0.25">
      <c r="A293" s="3">
        <v>2009</v>
      </c>
      <c r="B293" s="3" t="s">
        <v>373</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VLOOKUP(A293,Deflactor!$G$3:$H$64,2,0),"Revisar error" )))</f>
        <v>Actualizando información</v>
      </c>
      <c r="AR293" s="10">
        <f xml:space="preserve"> 33984 * 1000</f>
        <v>33984000</v>
      </c>
    </row>
    <row r="294" spans="1:44" x14ac:dyDescent="0.25">
      <c r="A294" s="3">
        <v>2009</v>
      </c>
      <c r="B294" s="3" t="s">
        <v>374</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VLOOKUP(A294,Deflactor!$G$3:$H$64,2,0),"Revisar error" )))</f>
        <v>Actualizando información</v>
      </c>
      <c r="AR294" s="10">
        <f t="shared" ref="AR294:AR295" si="8" xml:space="preserve"> 17991107 * 1000</f>
        <v>17991107000</v>
      </c>
    </row>
    <row r="295" spans="1:44" x14ac:dyDescent="0.25">
      <c r="A295" s="3">
        <v>2009</v>
      </c>
      <c r="B295" s="3" t="s">
        <v>375</v>
      </c>
      <c r="C295" s="3" t="s">
        <v>92</v>
      </c>
      <c r="D295" s="3" t="s">
        <v>25</v>
      </c>
      <c r="E295" s="3" t="s">
        <v>26</v>
      </c>
      <c r="F295" s="3" t="s">
        <v>194</v>
      </c>
      <c r="G295" s="3"/>
      <c r="H295" s="12"/>
      <c r="I295" s="13"/>
      <c r="J295" s="10"/>
      <c r="K295" s="3" t="s">
        <v>2192</v>
      </c>
      <c r="L295" s="3"/>
      <c r="M295" s="3"/>
      <c r="N295" s="3"/>
      <c r="O295" s="3"/>
      <c r="P295" s="3"/>
      <c r="Q295" s="3"/>
      <c r="R295" s="3"/>
      <c r="S295" s="3"/>
      <c r="T295" s="3"/>
      <c r="U295" s="3"/>
      <c r="V295" s="3"/>
      <c r="W295" s="10" t="str">
        <f>IF( J295="s.i", "s.i", IF(ISBLANK(J295),"Actualizando información",IFERROR(J295 / VLOOKUP(A295,Deflactor!$G$3:$H$64,2,0),"Revisar error" )))</f>
        <v>Actualizando información</v>
      </c>
      <c r="AR295" s="10">
        <f t="shared" si="8"/>
        <v>17991107000</v>
      </c>
    </row>
    <row r="296" spans="1:44" x14ac:dyDescent="0.25">
      <c r="A296" s="3">
        <v>2009</v>
      </c>
      <c r="B296" s="3" t="s">
        <v>376</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VLOOKUP(A296,Deflactor!$G$3:$H$64,2,0),"Revisar error" )))</f>
        <v>Actualizando información</v>
      </c>
      <c r="AR296" s="10">
        <f xml:space="preserve"> 17991107 * 1000</f>
        <v>17991107000</v>
      </c>
    </row>
    <row r="297" spans="1:44" x14ac:dyDescent="0.25">
      <c r="A297" s="3">
        <v>2009</v>
      </c>
      <c r="B297" s="3" t="s">
        <v>377</v>
      </c>
      <c r="C297" s="3" t="s">
        <v>284</v>
      </c>
      <c r="D297" s="3" t="s">
        <v>64</v>
      </c>
      <c r="E297" s="3" t="s">
        <v>263</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VLOOKUP(A297,Deflactor!$G$3:$H$64,2,0),"Revisar error" )))</f>
        <v>Actualizando información</v>
      </c>
      <c r="AR297" s="10" t="s">
        <v>2372</v>
      </c>
    </row>
    <row r="298" spans="1:44" x14ac:dyDescent="0.25">
      <c r="A298" s="3">
        <v>2009</v>
      </c>
      <c r="B298" s="3" t="s">
        <v>378</v>
      </c>
      <c r="C298" s="3" t="s">
        <v>284</v>
      </c>
      <c r="D298" s="3" t="s">
        <v>64</v>
      </c>
      <c r="E298" s="3" t="s">
        <v>263</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VLOOKUP(A298,Deflactor!$G$3:$H$64,2,0),"Revisar error" )))</f>
        <v>Actualizando información</v>
      </c>
      <c r="AR298" s="10" t="s">
        <v>2372</v>
      </c>
    </row>
    <row r="299" spans="1:44" x14ac:dyDescent="0.25">
      <c r="A299" s="3">
        <v>2009</v>
      </c>
      <c r="B299" s="3" t="s">
        <v>379</v>
      </c>
      <c r="C299" s="3" t="s">
        <v>284</v>
      </c>
      <c r="D299" s="3" t="s">
        <v>64</v>
      </c>
      <c r="E299" s="3" t="s">
        <v>65</v>
      </c>
      <c r="F299" s="3" t="s">
        <v>30</v>
      </c>
      <c r="G299" s="3"/>
      <c r="H299" s="12"/>
      <c r="I299" s="13"/>
      <c r="J299" s="10"/>
      <c r="K299" s="3"/>
      <c r="L299" s="3"/>
      <c r="M299" s="3"/>
      <c r="N299" s="3"/>
      <c r="O299" s="3"/>
      <c r="P299" s="3"/>
      <c r="Q299" s="3"/>
      <c r="R299" s="3"/>
      <c r="S299" s="3"/>
      <c r="T299" s="3"/>
      <c r="U299" s="3" t="s">
        <v>379</v>
      </c>
      <c r="V299" s="3"/>
      <c r="W299" s="10" t="str">
        <f>IF( J299="s.i", "s.i", IF(ISBLANK(J299),"Actualizando información",IFERROR(J299 / VLOOKUP(A299,Deflactor!$G$3:$H$64,2,0),"Revisar error" )))</f>
        <v>Actualizando información</v>
      </c>
      <c r="AR299" s="10">
        <f xml:space="preserve"> 15930000 * 1000</f>
        <v>15930000000</v>
      </c>
    </row>
    <row r="300" spans="1:44" x14ac:dyDescent="0.25">
      <c r="A300" s="3">
        <v>2009</v>
      </c>
      <c r="B300" s="3" t="s">
        <v>380</v>
      </c>
      <c r="C300" s="3" t="s">
        <v>7</v>
      </c>
      <c r="D300" s="3" t="s">
        <v>32</v>
      </c>
      <c r="E300" s="3" t="s">
        <v>33</v>
      </c>
      <c r="F300" s="3" t="s">
        <v>352</v>
      </c>
      <c r="G300" s="3"/>
      <c r="H300" s="12"/>
      <c r="I300" s="13"/>
      <c r="J300" s="10"/>
      <c r="K300" s="3" t="s">
        <v>1654</v>
      </c>
      <c r="L300" s="3"/>
      <c r="M300" s="3"/>
      <c r="N300" s="3"/>
      <c r="O300" s="3"/>
      <c r="P300" s="3"/>
      <c r="Q300" s="3"/>
      <c r="R300" s="3"/>
      <c r="S300" s="3"/>
      <c r="T300" s="3"/>
      <c r="U300" s="3" t="s">
        <v>1312</v>
      </c>
      <c r="V300" s="3"/>
      <c r="W300" s="10" t="str">
        <f>IF( J300="s.i", "s.i", IF(ISBLANK(J300),"Actualizando información",IFERROR(J300 / VLOOKUP(A300,Deflactor!$G$3:$H$64,2,0),"Revisar error" )))</f>
        <v>Actualizando información</v>
      </c>
      <c r="AR300" s="10" t="s">
        <v>2372</v>
      </c>
    </row>
    <row r="301" spans="1:44" x14ac:dyDescent="0.25">
      <c r="A301" s="3">
        <v>2009</v>
      </c>
      <c r="B301" s="3" t="s">
        <v>381</v>
      </c>
      <c r="C301" s="3" t="s">
        <v>7</v>
      </c>
      <c r="D301" s="3" t="s">
        <v>48</v>
      </c>
      <c r="E301" s="3" t="s">
        <v>88</v>
      </c>
      <c r="F301" s="3" t="s">
        <v>330</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VLOOKUP(A301,Deflactor!$G$3:$H$64,2,0),"Revisar error" )))</f>
        <v>Actualizando información</v>
      </c>
      <c r="AR301" s="10">
        <f xml:space="preserve"> 1188054 * 1000</f>
        <v>1188054000</v>
      </c>
    </row>
    <row r="302" spans="1:44" x14ac:dyDescent="0.25">
      <c r="A302" s="3">
        <v>2009</v>
      </c>
      <c r="B302" s="3" t="s">
        <v>382</v>
      </c>
      <c r="C302" s="3" t="s">
        <v>284</v>
      </c>
      <c r="D302" s="3" t="s">
        <v>291</v>
      </c>
      <c r="E302" s="3" t="s">
        <v>292</v>
      </c>
      <c r="F302" s="3" t="s">
        <v>95</v>
      </c>
      <c r="G302" s="3" t="s">
        <v>724</v>
      </c>
      <c r="H302" s="12">
        <v>2009</v>
      </c>
      <c r="I302" s="13"/>
      <c r="J302" s="10">
        <f xml:space="preserve"> 25388 * 1000000</f>
        <v>25388000000</v>
      </c>
      <c r="K302" s="3" t="s">
        <v>1652</v>
      </c>
      <c r="L302" s="3" t="s">
        <v>913</v>
      </c>
      <c r="M302" s="3" t="s">
        <v>914</v>
      </c>
      <c r="N302" s="3" t="s">
        <v>915</v>
      </c>
      <c r="O302" s="3" t="s">
        <v>916</v>
      </c>
      <c r="P302" s="3" t="s">
        <v>917</v>
      </c>
      <c r="Q302" s="3"/>
      <c r="R302" s="11" t="s">
        <v>918</v>
      </c>
      <c r="S302" s="11" t="s">
        <v>919</v>
      </c>
      <c r="T302" s="3"/>
      <c r="U302" s="3" t="s">
        <v>1144</v>
      </c>
      <c r="V302" s="3"/>
      <c r="W302" s="10">
        <f>IF( J302="s.i", "s.i", IF(ISBLANK(J302),"Actualizando información",IFERROR(J302 / VLOOKUP(A302,Deflactor!$G$3:$H$64,2,0),"Revisar error" )))</f>
        <v>29417053898.539055</v>
      </c>
      <c r="AR302" s="10">
        <f xml:space="preserve"> 182590 * 1000</f>
        <v>182590000</v>
      </c>
    </row>
    <row r="303" spans="1:44" x14ac:dyDescent="0.25">
      <c r="A303" s="3">
        <v>2009</v>
      </c>
      <c r="B303" s="3" t="s">
        <v>383</v>
      </c>
      <c r="C303" s="3" t="s">
        <v>92</v>
      </c>
      <c r="D303" s="3" t="s">
        <v>291</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VLOOKUP(A303,Deflactor!$G$3:$H$64,2,0),"Revisar error" )))</f>
        <v>Actualizando información</v>
      </c>
      <c r="AR303" s="10">
        <f xml:space="preserve"> 1535413 * 1000</f>
        <v>1535413000</v>
      </c>
    </row>
    <row r="304" spans="1:44" x14ac:dyDescent="0.25">
      <c r="A304" s="3">
        <v>2009</v>
      </c>
      <c r="B304" s="3" t="s">
        <v>384</v>
      </c>
      <c r="C304" s="3" t="s">
        <v>7</v>
      </c>
      <c r="D304" s="3" t="s">
        <v>291</v>
      </c>
      <c r="E304" s="3" t="s">
        <v>21</v>
      </c>
      <c r="F304" s="3" t="s">
        <v>311</v>
      </c>
      <c r="G304" s="3" t="s">
        <v>904</v>
      </c>
      <c r="H304" s="12">
        <v>1994</v>
      </c>
      <c r="I304" s="13">
        <v>2011</v>
      </c>
      <c r="J304" s="10">
        <f xml:space="preserve"> 4010 * 1000000</f>
        <v>4010000000</v>
      </c>
      <c r="K304" s="3" t="s">
        <v>862</v>
      </c>
      <c r="L304" s="3" t="s">
        <v>920</v>
      </c>
      <c r="M304" s="3" t="s">
        <v>921</v>
      </c>
      <c r="N304" s="3" t="s">
        <v>922</v>
      </c>
      <c r="O304" s="3" t="s">
        <v>923</v>
      </c>
      <c r="P304" s="3" t="s">
        <v>866</v>
      </c>
      <c r="Q304" s="3"/>
      <c r="R304" s="11" t="s">
        <v>924</v>
      </c>
      <c r="S304" s="11" t="s">
        <v>925</v>
      </c>
      <c r="T304" s="11" t="s">
        <v>926</v>
      </c>
      <c r="U304" s="3" t="s">
        <v>1143</v>
      </c>
      <c r="V304" s="3"/>
      <c r="W304" s="10">
        <f>IF( J304="s.i", "s.i", IF(ISBLANK(J304),"Actualizando información",IFERROR(J304 / VLOOKUP(A304,Deflactor!$G$3:$H$64,2,0),"Revisar error" )))</f>
        <v>4646383572.2838192</v>
      </c>
      <c r="AR304" s="10">
        <f xml:space="preserve"> 2975575 * 1000</f>
        <v>2975575000</v>
      </c>
    </row>
    <row r="305" spans="1:44" x14ac:dyDescent="0.25">
      <c r="A305" s="3">
        <v>2009</v>
      </c>
      <c r="B305" s="3" t="s">
        <v>385</v>
      </c>
      <c r="C305" s="3" t="s">
        <v>7</v>
      </c>
      <c r="D305" s="3" t="s">
        <v>291</v>
      </c>
      <c r="E305" s="3" t="s">
        <v>21</v>
      </c>
      <c r="F305" s="3" t="s">
        <v>311</v>
      </c>
      <c r="G305" s="3" t="s">
        <v>904</v>
      </c>
      <c r="H305" s="12">
        <v>1994</v>
      </c>
      <c r="I305" s="13">
        <v>2011</v>
      </c>
      <c r="J305" s="10">
        <f xml:space="preserve"> 4010 * 1000000</f>
        <v>4010000000</v>
      </c>
      <c r="K305" s="3" t="s">
        <v>862</v>
      </c>
      <c r="L305" s="3" t="s">
        <v>920</v>
      </c>
      <c r="M305" s="3" t="s">
        <v>921</v>
      </c>
      <c r="N305" s="3" t="s">
        <v>922</v>
      </c>
      <c r="O305" s="3" t="s">
        <v>923</v>
      </c>
      <c r="P305" s="3" t="s">
        <v>866</v>
      </c>
      <c r="Q305" s="3"/>
      <c r="R305" s="11" t="s">
        <v>927</v>
      </c>
      <c r="S305" s="11" t="s">
        <v>928</v>
      </c>
      <c r="T305" s="11" t="s">
        <v>929</v>
      </c>
      <c r="U305" s="3" t="s">
        <v>1143</v>
      </c>
      <c r="V305" s="3"/>
      <c r="W305" s="10">
        <f>IF( J305="s.i", "s.i", IF(ISBLANK(J305),"Actualizando información",IFERROR(J305 / VLOOKUP(A305,Deflactor!$G$3:$H$64,2,0),"Revisar error" )))</f>
        <v>4646383572.2838192</v>
      </c>
      <c r="AR305" s="10">
        <f xml:space="preserve"> 2975575 * 1000</f>
        <v>2975575000</v>
      </c>
    </row>
    <row r="306" spans="1:44" x14ac:dyDescent="0.25">
      <c r="A306" s="3">
        <v>2009</v>
      </c>
      <c r="B306" s="3" t="s">
        <v>386</v>
      </c>
      <c r="C306" s="3" t="s">
        <v>7</v>
      </c>
      <c r="D306" s="3" t="s">
        <v>291</v>
      </c>
      <c r="E306" s="3" t="s">
        <v>292</v>
      </c>
      <c r="F306" s="3" t="s">
        <v>352</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VLOOKUP(A306,Deflactor!$G$3:$H$64,2,0),"Revisar error" )))</f>
        <v>Actualizando información</v>
      </c>
      <c r="AR306" s="10">
        <f xml:space="preserve"> 318600 * 1000</f>
        <v>318600000</v>
      </c>
    </row>
    <row r="307" spans="1:44" x14ac:dyDescent="0.25">
      <c r="A307" s="3">
        <v>2009</v>
      </c>
      <c r="B307" s="3" t="s">
        <v>387</v>
      </c>
      <c r="C307" s="3" t="s">
        <v>7</v>
      </c>
      <c r="D307" s="3" t="s">
        <v>291</v>
      </c>
      <c r="E307" s="3" t="s">
        <v>292</v>
      </c>
      <c r="F307" s="3" t="s">
        <v>352</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VLOOKUP(A307,Deflactor!$G$3:$H$64,2,0),"Revisar error" )))</f>
        <v>Actualizando información</v>
      </c>
      <c r="AR307" s="10">
        <f t="shared" ref="AR307" si="9" xml:space="preserve"> 318600 * 1000</f>
        <v>318600000</v>
      </c>
    </row>
    <row r="308" spans="1:44" x14ac:dyDescent="0.25">
      <c r="A308" s="3">
        <v>2009</v>
      </c>
      <c r="B308" s="3" t="s">
        <v>388</v>
      </c>
      <c r="C308" s="3" t="s">
        <v>7</v>
      </c>
      <c r="D308" s="3" t="s">
        <v>291</v>
      </c>
      <c r="E308" s="3" t="s">
        <v>292</v>
      </c>
      <c r="F308" s="3" t="s">
        <v>352</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VLOOKUP(A308,Deflactor!$G$3:$H$64,2,0),"Revisar error" )))</f>
        <v>Actualizando información</v>
      </c>
      <c r="AR308" s="10">
        <f xml:space="preserve"> 318600 * 1000</f>
        <v>318600000</v>
      </c>
    </row>
    <row r="309" spans="1:44" x14ac:dyDescent="0.25">
      <c r="A309" s="3">
        <v>2009</v>
      </c>
      <c r="B309" s="3" t="s">
        <v>389</v>
      </c>
      <c r="C309" s="3" t="s">
        <v>7</v>
      </c>
      <c r="D309" s="3" t="s">
        <v>12</v>
      </c>
      <c r="E309" s="3" t="s">
        <v>58</v>
      </c>
      <c r="F309" s="3" t="s">
        <v>352</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VLOOKUP(A309,Deflactor!$G$3:$H$64,2,0),"Revisar error" )))</f>
        <v>Actualizando información</v>
      </c>
      <c r="AR309" s="10">
        <f xml:space="preserve"> 4120372 * 1000</f>
        <v>4120372000</v>
      </c>
    </row>
    <row r="310" spans="1:44" x14ac:dyDescent="0.25">
      <c r="A310" s="3">
        <v>2008</v>
      </c>
      <c r="B310" s="3" t="s">
        <v>50</v>
      </c>
      <c r="C310" s="3" t="s">
        <v>92</v>
      </c>
      <c r="D310" s="3" t="s">
        <v>8</v>
      </c>
      <c r="E310" s="3" t="s">
        <v>51</v>
      </c>
      <c r="F310" s="3" t="s">
        <v>311</v>
      </c>
      <c r="G310" s="3"/>
      <c r="H310" s="12"/>
      <c r="I310" s="13"/>
      <c r="J310" s="10"/>
      <c r="K310" s="3"/>
      <c r="L310" s="3"/>
      <c r="M310" s="3"/>
      <c r="N310" s="3"/>
      <c r="O310" s="3"/>
      <c r="P310" s="3"/>
      <c r="Q310" s="3"/>
      <c r="R310" s="3"/>
      <c r="S310" s="3"/>
      <c r="T310" s="3"/>
      <c r="U310" s="3" t="s">
        <v>1147</v>
      </c>
      <c r="V310" s="3"/>
      <c r="W310" s="10" t="str">
        <f>IF( J310="s.i", "s.i", IF(ISBLANK(J310),"Actualizando información",IFERROR(J310 / VLOOKUP(A310,Deflactor!$G$3:$H$64,2,0),"Revisar error" )))</f>
        <v>Actualizando información</v>
      </c>
    </row>
    <row r="311" spans="1:44" x14ac:dyDescent="0.25">
      <c r="A311" s="3">
        <v>2008</v>
      </c>
      <c r="B311" s="3" t="s">
        <v>390</v>
      </c>
      <c r="C311" s="3" t="s">
        <v>92</v>
      </c>
      <c r="D311" s="3" t="s">
        <v>8</v>
      </c>
      <c r="E311" s="3" t="s">
        <v>51</v>
      </c>
      <c r="F311" s="3" t="s">
        <v>311</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VLOOKUP(A311,Deflactor!$G$3:$H$64,2,0),"Revisar error" )))</f>
        <v>Actualizando información</v>
      </c>
    </row>
    <row r="312" spans="1:44" x14ac:dyDescent="0.25">
      <c r="A312" s="3">
        <v>2008</v>
      </c>
      <c r="B312" s="3" t="s">
        <v>391</v>
      </c>
      <c r="C312" s="3" t="s">
        <v>7</v>
      </c>
      <c r="D312" s="3" t="s">
        <v>36</v>
      </c>
      <c r="E312" s="3" t="s">
        <v>68</v>
      </c>
      <c r="F312" s="3" t="s">
        <v>352</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VLOOKUP(A312,Deflactor!$G$3:$H$64,2,0),"Revisar error" )))</f>
        <v>Actualizando información</v>
      </c>
    </row>
    <row r="313" spans="1:44" x14ac:dyDescent="0.25">
      <c r="A313" s="3">
        <v>2008</v>
      </c>
      <c r="B313" s="3" t="s">
        <v>392</v>
      </c>
      <c r="C313" s="3" t="s">
        <v>7</v>
      </c>
      <c r="D313" s="3" t="s">
        <v>12</v>
      </c>
      <c r="E313" s="3" t="s">
        <v>13</v>
      </c>
      <c r="F313" s="3" t="s">
        <v>330</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VLOOKUP(A313,Deflactor!$G$3:$H$64,2,0),"Revisar error" )))</f>
        <v>Actualizando información</v>
      </c>
    </row>
    <row r="314" spans="1:44" x14ac:dyDescent="0.25">
      <c r="A314" s="3">
        <v>2008</v>
      </c>
      <c r="B314" s="3" t="s">
        <v>393</v>
      </c>
      <c r="C314" s="3" t="s">
        <v>7</v>
      </c>
      <c r="D314" s="3" t="s">
        <v>291</v>
      </c>
      <c r="E314" s="3" t="s">
        <v>176</v>
      </c>
      <c r="F314" s="3" t="s">
        <v>311</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VLOOKUP(A314,Deflactor!$G$3:$H$64,2,0),"Revisar error" )))</f>
        <v>Actualizando información</v>
      </c>
    </row>
    <row r="315" spans="1:44" x14ac:dyDescent="0.25">
      <c r="A315" s="3">
        <v>2008</v>
      </c>
      <c r="B315" s="3" t="s">
        <v>394</v>
      </c>
      <c r="C315" s="3" t="s">
        <v>7</v>
      </c>
      <c r="D315" s="3" t="s">
        <v>291</v>
      </c>
      <c r="E315" s="3" t="s">
        <v>21</v>
      </c>
      <c r="F315" s="3" t="s">
        <v>330</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VLOOKUP(A315,Deflactor!$G$3:$H$64,2,0),"Revisar error" )))</f>
        <v>Actualizando información</v>
      </c>
    </row>
    <row r="316" spans="1:44" x14ac:dyDescent="0.25">
      <c r="A316" s="3">
        <v>2008</v>
      </c>
      <c r="B316" s="3" t="s">
        <v>395</v>
      </c>
      <c r="C316" s="3" t="s">
        <v>7</v>
      </c>
      <c r="D316" s="3" t="s">
        <v>291</v>
      </c>
      <c r="E316" s="3" t="s">
        <v>396</v>
      </c>
      <c r="F316" s="3" t="s">
        <v>311</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VLOOKUP(A316,Deflactor!$G$3:$H$64,2,0),"Revisar error" )))</f>
        <v>Actualizando información</v>
      </c>
    </row>
    <row r="317" spans="1:44" x14ac:dyDescent="0.25">
      <c r="A317" s="3">
        <v>2008</v>
      </c>
      <c r="B317" s="3" t="s">
        <v>397</v>
      </c>
      <c r="C317" s="3" t="s">
        <v>7</v>
      </c>
      <c r="D317" s="3" t="s">
        <v>398</v>
      </c>
      <c r="E317" s="3" t="s">
        <v>399</v>
      </c>
      <c r="F317" s="3" t="s">
        <v>400</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VLOOKUP(A317,Deflactor!$G$3:$H$64,2,0),"Revisar error" )))</f>
        <v>Actualizando información</v>
      </c>
    </row>
    <row r="318" spans="1:44" x14ac:dyDescent="0.25">
      <c r="A318" s="3">
        <v>2008</v>
      </c>
      <c r="B318" s="3" t="s">
        <v>401</v>
      </c>
      <c r="C318" s="3" t="s">
        <v>7</v>
      </c>
      <c r="D318" s="3" t="s">
        <v>159</v>
      </c>
      <c r="E318" s="3" t="s">
        <v>402</v>
      </c>
      <c r="F318" s="3" t="s">
        <v>400</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VLOOKUP(A318,Deflactor!$G$3:$H$64,2,0),"Revisar error" )))</f>
        <v>Actualizando información</v>
      </c>
    </row>
    <row r="319" spans="1:44" x14ac:dyDescent="0.25">
      <c r="A319" s="3">
        <v>2008</v>
      </c>
      <c r="B319" s="3" t="s">
        <v>403</v>
      </c>
      <c r="C319" s="3" t="s">
        <v>7</v>
      </c>
      <c r="D319" s="3" t="s">
        <v>12</v>
      </c>
      <c r="E319" s="3" t="s">
        <v>404</v>
      </c>
      <c r="F319" s="3" t="s">
        <v>330</v>
      </c>
      <c r="G319" s="3"/>
      <c r="H319" s="12"/>
      <c r="I319" s="13"/>
      <c r="J319" s="10"/>
      <c r="K319" s="3" t="s">
        <v>2182</v>
      </c>
      <c r="L319" s="3"/>
      <c r="M319" s="3"/>
      <c r="N319" s="3"/>
      <c r="O319" s="3"/>
      <c r="P319" s="3"/>
      <c r="Q319" s="3"/>
      <c r="R319" s="3"/>
      <c r="S319" s="3"/>
      <c r="T319" s="3"/>
      <c r="U319" s="3"/>
      <c r="V319" s="3"/>
      <c r="W319" s="10" t="str">
        <f>IF( J319="s.i", "s.i", IF(ISBLANK(J319),"Actualizando información",IFERROR(J319 / VLOOKUP(A319,Deflactor!$G$3:$H$64,2,0),"Revisar error" )))</f>
        <v>Actualizando información</v>
      </c>
    </row>
    <row r="320" spans="1:44" x14ac:dyDescent="0.25">
      <c r="A320" s="3">
        <v>2008</v>
      </c>
      <c r="B320" s="3" t="s">
        <v>405</v>
      </c>
      <c r="C320" s="3" t="s">
        <v>7</v>
      </c>
      <c r="D320" s="3" t="s">
        <v>12</v>
      </c>
      <c r="E320" s="3" t="s">
        <v>406</v>
      </c>
      <c r="F320" s="3" t="s">
        <v>352</v>
      </c>
      <c r="G320" s="3"/>
      <c r="H320" s="12"/>
      <c r="I320" s="13"/>
      <c r="J320" s="10"/>
      <c r="K320" s="3" t="s">
        <v>2182</v>
      </c>
      <c r="L320" s="3"/>
      <c r="M320" s="3"/>
      <c r="N320" s="3"/>
      <c r="O320" s="3"/>
      <c r="P320" s="3"/>
      <c r="Q320" s="3"/>
      <c r="R320" s="3"/>
      <c r="S320" s="3"/>
      <c r="T320" s="3"/>
      <c r="U320" s="3"/>
      <c r="V320" s="3"/>
      <c r="W320" s="10" t="str">
        <f>IF( J320="s.i", "s.i", IF(ISBLANK(J320),"Actualizando información",IFERROR(J320 / VLOOKUP(A320,Deflactor!$G$3:$H$64,2,0),"Revisar error" )))</f>
        <v>Actualizando información</v>
      </c>
    </row>
    <row r="321" spans="1:23" x14ac:dyDescent="0.25">
      <c r="A321" s="3">
        <v>2008</v>
      </c>
      <c r="B321" s="3" t="s">
        <v>407</v>
      </c>
      <c r="C321" s="3" t="s">
        <v>7</v>
      </c>
      <c r="D321" s="3" t="s">
        <v>45</v>
      </c>
      <c r="E321" s="3" t="s">
        <v>408</v>
      </c>
      <c r="F321" s="3" t="s">
        <v>352</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VLOOKUP(A321,Deflactor!$G$3:$H$64,2,0),"Revisar error" )))</f>
        <v>Actualizando información</v>
      </c>
    </row>
    <row r="322" spans="1:23" x14ac:dyDescent="0.25">
      <c r="A322" s="3">
        <v>2008</v>
      </c>
      <c r="B322" s="3" t="s">
        <v>409</v>
      </c>
      <c r="C322" s="3" t="s">
        <v>155</v>
      </c>
      <c r="D322" s="3" t="s">
        <v>25</v>
      </c>
      <c r="E322" s="3" t="s">
        <v>410</v>
      </c>
      <c r="F322" s="3" t="s">
        <v>157</v>
      </c>
      <c r="G322" s="3"/>
      <c r="H322" s="12"/>
      <c r="I322" s="13"/>
      <c r="J322" s="10"/>
      <c r="K322" s="3" t="s">
        <v>2168</v>
      </c>
      <c r="L322" s="3"/>
      <c r="M322" s="3"/>
      <c r="N322" s="3"/>
      <c r="O322" s="3"/>
      <c r="P322" s="3"/>
      <c r="Q322" s="3"/>
      <c r="R322" s="3"/>
      <c r="S322" s="3"/>
      <c r="T322" s="3"/>
      <c r="U322" s="3"/>
      <c r="V322" s="3"/>
      <c r="W322" s="10" t="str">
        <f>IF( J322="s.i", "s.i", IF(ISBLANK(J322),"Actualizando información",IFERROR(J322 / VLOOKUP(A322,Deflactor!$G$3:$H$64,2,0),"Revisar error" )))</f>
        <v>Actualizando información</v>
      </c>
    </row>
    <row r="323" spans="1:23" x14ac:dyDescent="0.25">
      <c r="A323" s="3">
        <v>2008</v>
      </c>
      <c r="B323" s="3" t="s">
        <v>411</v>
      </c>
      <c r="C323" s="3" t="s">
        <v>155</v>
      </c>
      <c r="D323" s="3" t="s">
        <v>25</v>
      </c>
      <c r="E323" s="3" t="s">
        <v>410</v>
      </c>
      <c r="F323" s="3" t="s">
        <v>157</v>
      </c>
      <c r="G323" s="3"/>
      <c r="H323" s="12"/>
      <c r="I323" s="13"/>
      <c r="J323" s="10"/>
      <c r="K323" s="3" t="s">
        <v>2168</v>
      </c>
      <c r="L323" s="3"/>
      <c r="M323" s="3"/>
      <c r="N323" s="3"/>
      <c r="O323" s="3"/>
      <c r="P323" s="3"/>
      <c r="Q323" s="3"/>
      <c r="R323" s="3"/>
      <c r="S323" s="3"/>
      <c r="T323" s="3"/>
      <c r="U323" s="3"/>
      <c r="V323" s="3"/>
      <c r="W323" s="10" t="str">
        <f>IF( J323="s.i", "s.i", IF(ISBLANK(J323),"Actualizando información",IFERROR(J323 / VLOOKUP(A323,Deflactor!$G$3:$H$64,2,0),"Revisar error" )))</f>
        <v>Actualizando información</v>
      </c>
    </row>
    <row r="324" spans="1:23" x14ac:dyDescent="0.25">
      <c r="A324" s="3">
        <v>2008</v>
      </c>
      <c r="B324" s="3" t="s">
        <v>412</v>
      </c>
      <c r="C324" s="3" t="s">
        <v>155</v>
      </c>
      <c r="D324" s="3" t="s">
        <v>25</v>
      </c>
      <c r="E324" s="3" t="s">
        <v>153</v>
      </c>
      <c r="F324" s="3" t="s">
        <v>157</v>
      </c>
      <c r="G324" s="3"/>
      <c r="H324" s="12"/>
      <c r="I324" s="13"/>
      <c r="J324" s="10"/>
      <c r="K324" s="3" t="s">
        <v>2168</v>
      </c>
      <c r="L324" s="3"/>
      <c r="M324" s="3"/>
      <c r="N324" s="3"/>
      <c r="O324" s="3"/>
      <c r="P324" s="3"/>
      <c r="Q324" s="3"/>
      <c r="R324" s="3"/>
      <c r="S324" s="3"/>
      <c r="T324" s="3"/>
      <c r="U324" s="3"/>
      <c r="V324" s="3"/>
      <c r="W324" s="10" t="str">
        <f>IF( J324="s.i", "s.i", IF(ISBLANK(J324),"Actualizando información",IFERROR(J324 / VLOOKUP(A324,Deflactor!$G$3:$H$64,2,0),"Revisar error" )))</f>
        <v>Actualizando información</v>
      </c>
    </row>
    <row r="325" spans="1:23" x14ac:dyDescent="0.25">
      <c r="A325" s="3">
        <v>2008</v>
      </c>
      <c r="B325" s="3" t="s">
        <v>413</v>
      </c>
      <c r="C325" s="3" t="s">
        <v>7</v>
      </c>
      <c r="D325" s="3" t="s">
        <v>36</v>
      </c>
      <c r="E325" s="3" t="s">
        <v>37</v>
      </c>
      <c r="F325" s="3" t="s">
        <v>330</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VLOOKUP(A325,Deflactor!$G$3:$H$64,2,0),"Revisar error" )))</f>
        <v>Actualizando información</v>
      </c>
    </row>
    <row r="326" spans="1:23" x14ac:dyDescent="0.25">
      <c r="A326" s="3">
        <v>2008</v>
      </c>
      <c r="B326" s="3" t="s">
        <v>414</v>
      </c>
      <c r="C326" s="3" t="s">
        <v>92</v>
      </c>
      <c r="D326" s="3" t="s">
        <v>36</v>
      </c>
      <c r="E326" s="3" t="s">
        <v>37</v>
      </c>
      <c r="F326" s="3" t="s">
        <v>311</v>
      </c>
      <c r="G326" s="3"/>
      <c r="H326" s="12"/>
      <c r="I326" s="13"/>
      <c r="J326" s="10"/>
      <c r="K326" s="3" t="s">
        <v>2163</v>
      </c>
      <c r="L326" s="3"/>
      <c r="M326" s="3"/>
      <c r="N326" s="3"/>
      <c r="O326" s="3"/>
      <c r="P326" s="3"/>
      <c r="Q326" s="3"/>
      <c r="R326" s="3"/>
      <c r="S326" s="3"/>
      <c r="T326" s="3"/>
      <c r="U326" s="3"/>
      <c r="V326" s="3"/>
      <c r="W326" s="10" t="str">
        <f>IF( J326="s.i", "s.i", IF(ISBLANK(J326),"Actualizando información",IFERROR(J326 / VLOOKUP(A326,Deflactor!$G$3:$H$64,2,0),"Revisar error" )))</f>
        <v>Actualizando información</v>
      </c>
    </row>
    <row r="327" spans="1:23" x14ac:dyDescent="0.25">
      <c r="A327" s="3">
        <v>2008</v>
      </c>
      <c r="B327" s="3" t="s">
        <v>415</v>
      </c>
      <c r="C327" s="3" t="s">
        <v>92</v>
      </c>
      <c r="D327" s="3" t="s">
        <v>36</v>
      </c>
      <c r="E327" s="3" t="s">
        <v>37</v>
      </c>
      <c r="F327" s="3" t="s">
        <v>311</v>
      </c>
      <c r="G327" s="3"/>
      <c r="H327" s="12"/>
      <c r="I327" s="13"/>
      <c r="J327" s="10"/>
      <c r="K327" s="3" t="s">
        <v>2163</v>
      </c>
      <c r="L327" s="3"/>
      <c r="M327" s="3"/>
      <c r="N327" s="3"/>
      <c r="O327" s="3"/>
      <c r="P327" s="3"/>
      <c r="Q327" s="3"/>
      <c r="R327" s="3"/>
      <c r="S327" s="3"/>
      <c r="T327" s="3"/>
      <c r="U327" s="3"/>
      <c r="V327" s="3"/>
      <c r="W327" s="10" t="str">
        <f>IF( J327="s.i", "s.i", IF(ISBLANK(J327),"Actualizando información",IFERROR(J327 / VLOOKUP(A327,Deflactor!$G$3:$H$64,2,0),"Revisar error" )))</f>
        <v>Actualizando información</v>
      </c>
    </row>
    <row r="328" spans="1:23" x14ac:dyDescent="0.25">
      <c r="A328" s="3">
        <v>2008</v>
      </c>
      <c r="B328" s="3" t="s">
        <v>416</v>
      </c>
      <c r="C328" s="3" t="s">
        <v>92</v>
      </c>
      <c r="D328" s="3" t="s">
        <v>36</v>
      </c>
      <c r="E328" s="3" t="s">
        <v>37</v>
      </c>
      <c r="F328" s="3" t="s">
        <v>311</v>
      </c>
      <c r="G328" s="3"/>
      <c r="H328" s="12"/>
      <c r="I328" s="13"/>
      <c r="J328" s="10"/>
      <c r="K328" s="3" t="s">
        <v>2163</v>
      </c>
      <c r="L328" s="3"/>
      <c r="M328" s="3"/>
      <c r="N328" s="3"/>
      <c r="O328" s="3"/>
      <c r="P328" s="3"/>
      <c r="Q328" s="3"/>
      <c r="R328" s="3"/>
      <c r="S328" s="3"/>
      <c r="T328" s="3"/>
      <c r="U328" s="3"/>
      <c r="V328" s="3"/>
      <c r="W328" s="10" t="str">
        <f>IF( J328="s.i", "s.i", IF(ISBLANK(J328),"Actualizando información",IFERROR(J328 / VLOOKUP(A328,Deflactor!$G$3:$H$64,2,0),"Revisar error" )))</f>
        <v>Actualizando información</v>
      </c>
    </row>
    <row r="329" spans="1:23" x14ac:dyDescent="0.25">
      <c r="A329" s="3">
        <v>2008</v>
      </c>
      <c r="B329" s="3" t="s">
        <v>417</v>
      </c>
      <c r="C329" s="3" t="s">
        <v>92</v>
      </c>
      <c r="D329" s="3" t="s">
        <v>36</v>
      </c>
      <c r="E329" s="3" t="s">
        <v>37</v>
      </c>
      <c r="F329" s="3" t="s">
        <v>311</v>
      </c>
      <c r="G329" s="3"/>
      <c r="H329" s="12"/>
      <c r="I329" s="13"/>
      <c r="J329" s="10"/>
      <c r="K329" s="3" t="s">
        <v>2163</v>
      </c>
      <c r="L329" s="3"/>
      <c r="M329" s="3"/>
      <c r="N329" s="3"/>
      <c r="O329" s="3"/>
      <c r="P329" s="3"/>
      <c r="Q329" s="3"/>
      <c r="R329" s="3"/>
      <c r="S329" s="3"/>
      <c r="T329" s="3"/>
      <c r="U329" s="3"/>
      <c r="V329" s="3"/>
      <c r="W329" s="10" t="str">
        <f>IF( J329="s.i", "s.i", IF(ISBLANK(J329),"Actualizando información",IFERROR(J329 / VLOOKUP(A329,Deflactor!$G$3:$H$64,2,0),"Revisar error" )))</f>
        <v>Actualizando información</v>
      </c>
    </row>
    <row r="330" spans="1:23" x14ac:dyDescent="0.25">
      <c r="A330" s="3">
        <v>2008</v>
      </c>
      <c r="B330" s="3" t="s">
        <v>418</v>
      </c>
      <c r="C330" s="3" t="s">
        <v>92</v>
      </c>
      <c r="D330" s="3" t="s">
        <v>36</v>
      </c>
      <c r="E330" s="3" t="s">
        <v>37</v>
      </c>
      <c r="F330" s="3" t="s">
        <v>311</v>
      </c>
      <c r="G330" s="3"/>
      <c r="H330" s="12"/>
      <c r="I330" s="13"/>
      <c r="J330" s="10"/>
      <c r="K330" s="3" t="s">
        <v>2163</v>
      </c>
      <c r="L330" s="3"/>
      <c r="M330" s="3"/>
      <c r="N330" s="3"/>
      <c r="O330" s="3"/>
      <c r="P330" s="3"/>
      <c r="Q330" s="3"/>
      <c r="R330" s="3"/>
      <c r="S330" s="3"/>
      <c r="T330" s="3"/>
      <c r="U330" s="3"/>
      <c r="V330" s="3"/>
      <c r="W330" s="10" t="str">
        <f>IF( J330="s.i", "s.i", IF(ISBLANK(J330),"Actualizando información",IFERROR(J330 / VLOOKUP(A330,Deflactor!$G$3:$H$64,2,0),"Revisar error" )))</f>
        <v>Actualizando información</v>
      </c>
    </row>
    <row r="331" spans="1:23" x14ac:dyDescent="0.25">
      <c r="A331" s="3">
        <v>2008</v>
      </c>
      <c r="B331" s="3" t="s">
        <v>419</v>
      </c>
      <c r="C331" s="3" t="s">
        <v>92</v>
      </c>
      <c r="D331" s="3" t="s">
        <v>36</v>
      </c>
      <c r="E331" s="3" t="s">
        <v>37</v>
      </c>
      <c r="F331" s="3" t="s">
        <v>311</v>
      </c>
      <c r="G331" s="3"/>
      <c r="H331" s="12"/>
      <c r="I331" s="13"/>
      <c r="J331" s="10"/>
      <c r="K331" s="3" t="s">
        <v>2163</v>
      </c>
      <c r="L331" s="3"/>
      <c r="M331" s="3"/>
      <c r="N331" s="3"/>
      <c r="O331" s="3"/>
      <c r="P331" s="3"/>
      <c r="Q331" s="3"/>
      <c r="R331" s="3"/>
      <c r="S331" s="3"/>
      <c r="T331" s="3"/>
      <c r="U331" s="3"/>
      <c r="V331" s="3"/>
      <c r="W331" s="10" t="str">
        <f>IF( J331="s.i", "s.i", IF(ISBLANK(J331),"Actualizando información",IFERROR(J331 / VLOOKUP(A331,Deflactor!$G$3:$H$64,2,0),"Revisar error" )))</f>
        <v>Actualizando información</v>
      </c>
    </row>
    <row r="332" spans="1:23" x14ac:dyDescent="0.25">
      <c r="A332" s="3">
        <v>2008</v>
      </c>
      <c r="B332" s="3" t="s">
        <v>420</v>
      </c>
      <c r="C332" s="3" t="s">
        <v>7</v>
      </c>
      <c r="D332" s="3" t="s">
        <v>36</v>
      </c>
      <c r="E332" s="3" t="s">
        <v>81</v>
      </c>
      <c r="F332" s="3" t="s">
        <v>311</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VLOOKUP(A332,Deflactor!$G$3:$H$64,2,0),"Revisar error" )))</f>
        <v>Actualizando información</v>
      </c>
    </row>
    <row r="333" spans="1:23" x14ac:dyDescent="0.25">
      <c r="A333" s="3">
        <v>2008</v>
      </c>
      <c r="B333" s="3" t="s">
        <v>421</v>
      </c>
      <c r="C333" s="3" t="s">
        <v>7</v>
      </c>
      <c r="D333" s="3" t="s">
        <v>40</v>
      </c>
      <c r="E333" s="3" t="s">
        <v>160</v>
      </c>
      <c r="F333" s="3" t="s">
        <v>330</v>
      </c>
      <c r="G333" s="3"/>
      <c r="H333" s="12"/>
      <c r="I333" s="13"/>
      <c r="J333" s="10"/>
      <c r="K333" s="3" t="s">
        <v>2182</v>
      </c>
      <c r="L333" s="3"/>
      <c r="M333" s="3"/>
      <c r="N333" s="3"/>
      <c r="O333" s="3"/>
      <c r="P333" s="3"/>
      <c r="Q333" s="3"/>
      <c r="R333" s="3"/>
      <c r="S333" s="3"/>
      <c r="T333" s="3"/>
      <c r="U333" s="3"/>
      <c r="V333" s="3"/>
      <c r="W333" s="10" t="str">
        <f>IF( J333="s.i", "s.i", IF(ISBLANK(J333),"Actualizando información",IFERROR(J333 / VLOOKUP(A333,Deflactor!$G$3:$H$64,2,0),"Revisar error" )))</f>
        <v>Actualizando información</v>
      </c>
    </row>
    <row r="334" spans="1:23" x14ac:dyDescent="0.25">
      <c r="A334" s="3">
        <v>2008</v>
      </c>
      <c r="B334" s="3" t="s">
        <v>422</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VLOOKUP(A334,Deflactor!$G$3:$H$64,2,0),"Revisar error" )))</f>
        <v>Actualizando información</v>
      </c>
    </row>
    <row r="335" spans="1:23" x14ac:dyDescent="0.25">
      <c r="A335" s="3">
        <v>2008</v>
      </c>
      <c r="B335" s="3" t="s">
        <v>423</v>
      </c>
      <c r="C335" s="3" t="s">
        <v>92</v>
      </c>
      <c r="D335" s="3" t="s">
        <v>64</v>
      </c>
      <c r="E335" s="3" t="s">
        <v>65</v>
      </c>
      <c r="F335" s="3" t="s">
        <v>330</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VLOOKUP(A335,Deflactor!$G$3:$H$64,2,0),"Revisar error" )))</f>
        <v>Actualizando información</v>
      </c>
    </row>
    <row r="336" spans="1:23" x14ac:dyDescent="0.25">
      <c r="A336" s="3">
        <v>2008</v>
      </c>
      <c r="B336" s="3" t="s">
        <v>424</v>
      </c>
      <c r="C336" s="3" t="s">
        <v>155</v>
      </c>
      <c r="D336" s="3" t="s">
        <v>54</v>
      </c>
      <c r="E336" s="3" t="s">
        <v>237</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VLOOKUP(A336,Deflactor!$G$3:$H$64,2,0),"Revisar error" )))</f>
        <v>Actualizando información</v>
      </c>
    </row>
    <row r="337" spans="1:23" x14ac:dyDescent="0.25">
      <c r="A337" s="3">
        <v>2008</v>
      </c>
      <c r="B337" s="3" t="s">
        <v>425</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VLOOKUP(A337,Deflactor!$G$3:$H$64,2,0),"Revisar error" )))</f>
        <v>Actualizando información</v>
      </c>
    </row>
    <row r="338" spans="1:23" x14ac:dyDescent="0.25">
      <c r="A338" s="3">
        <v>2008</v>
      </c>
      <c r="B338" s="3" t="s">
        <v>426</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VLOOKUP(A338,Deflactor!$G$3:$H$64,2,0),"Revisar error" )))</f>
        <v>Actualizando información</v>
      </c>
    </row>
    <row r="339" spans="1:23" x14ac:dyDescent="0.25">
      <c r="A339" s="3">
        <v>2008</v>
      </c>
      <c r="B339" s="3" t="s">
        <v>427</v>
      </c>
      <c r="C339" s="3" t="s">
        <v>92</v>
      </c>
      <c r="D339" s="3" t="s">
        <v>291</v>
      </c>
      <c r="E339" s="3" t="s">
        <v>120</v>
      </c>
      <c r="F339" s="3" t="s">
        <v>309</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VLOOKUP(A339,Deflactor!$G$3:$H$64,2,0),"Revisar error" )))</f>
        <v>Actualizando información</v>
      </c>
    </row>
    <row r="340" spans="1:23" x14ac:dyDescent="0.25">
      <c r="A340" s="3">
        <v>2008</v>
      </c>
      <c r="B340" s="3" t="s">
        <v>428</v>
      </c>
      <c r="C340" s="3" t="s">
        <v>7</v>
      </c>
      <c r="D340" s="3" t="s">
        <v>398</v>
      </c>
      <c r="E340" s="3" t="s">
        <v>399</v>
      </c>
      <c r="F340" s="3" t="s">
        <v>400</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VLOOKUP(A340,Deflactor!$G$3:$H$64,2,0),"Revisar error" )))</f>
        <v>Actualizando información</v>
      </c>
    </row>
    <row r="341" spans="1:23" x14ac:dyDescent="0.25">
      <c r="A341" s="3">
        <v>2008</v>
      </c>
      <c r="B341" s="3" t="s">
        <v>429</v>
      </c>
      <c r="C341" s="3" t="s">
        <v>92</v>
      </c>
      <c r="D341" s="3" t="s">
        <v>291</v>
      </c>
      <c r="E341" s="3" t="s">
        <v>120</v>
      </c>
      <c r="F341" s="3" t="s">
        <v>311</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VLOOKUP(A341,Deflactor!$G$3:$H$64,2,0),"Revisar error" )))</f>
        <v>Actualizando información</v>
      </c>
    </row>
    <row r="342" spans="1:23" x14ac:dyDescent="0.25">
      <c r="A342" s="3">
        <v>2008</v>
      </c>
      <c r="B342" s="3" t="s">
        <v>430</v>
      </c>
      <c r="C342" s="3" t="s">
        <v>92</v>
      </c>
      <c r="D342" s="3" t="s">
        <v>291</v>
      </c>
      <c r="E342" s="3" t="s">
        <v>120</v>
      </c>
      <c r="F342" s="3" t="s">
        <v>309</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VLOOKUP(A342,Deflactor!$G$3:$H$64,2,0),"Revisar error" )))</f>
        <v>Actualizando información</v>
      </c>
    </row>
    <row r="343" spans="1:23" x14ac:dyDescent="0.25">
      <c r="A343" s="3">
        <v>2008</v>
      </c>
      <c r="B343" s="3" t="s">
        <v>431</v>
      </c>
      <c r="C343" s="3" t="s">
        <v>7</v>
      </c>
      <c r="D343" s="3" t="s">
        <v>32</v>
      </c>
      <c r="E343" s="3" t="s">
        <v>33</v>
      </c>
      <c r="F343" s="3" t="s">
        <v>330</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VLOOKUP(A343,Deflactor!$G$3:$H$64,2,0),"Revisar error" )))</f>
        <v>Actualizando información</v>
      </c>
    </row>
    <row r="344" spans="1:23" x14ac:dyDescent="0.25">
      <c r="A344" s="3">
        <v>2008</v>
      </c>
      <c r="B344" s="3" t="s">
        <v>432</v>
      </c>
      <c r="C344" s="3" t="s">
        <v>7</v>
      </c>
      <c r="D344" s="3" t="s">
        <v>54</v>
      </c>
      <c r="E344" s="3" t="s">
        <v>244</v>
      </c>
      <c r="F344" s="3" t="s">
        <v>352</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VLOOKUP(A344,Deflactor!$G$3:$H$64,2,0),"Revisar error" )))</f>
        <v>Actualizando información</v>
      </c>
    </row>
    <row r="345" spans="1:23" x14ac:dyDescent="0.25">
      <c r="A345" s="3">
        <v>2007</v>
      </c>
      <c r="B345" s="3" t="s">
        <v>433</v>
      </c>
      <c r="C345" s="3" t="s">
        <v>155</v>
      </c>
      <c r="D345" s="3" t="s">
        <v>64</v>
      </c>
      <c r="E345" s="3" t="s">
        <v>434</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VLOOKUP(A345,Deflactor!$G$3:$H$64,2,0),"Revisar error" )))</f>
        <v>Actualizando información</v>
      </c>
    </row>
    <row r="346" spans="1:23" x14ac:dyDescent="0.25">
      <c r="A346" s="3">
        <v>2007</v>
      </c>
      <c r="B346" s="3" t="s">
        <v>435</v>
      </c>
      <c r="C346" s="3" t="s">
        <v>92</v>
      </c>
      <c r="D346" s="3" t="s">
        <v>291</v>
      </c>
      <c r="E346" s="3" t="s">
        <v>120</v>
      </c>
      <c r="F346" s="3" t="s">
        <v>352</v>
      </c>
      <c r="G346" s="3"/>
      <c r="H346" s="12"/>
      <c r="I346" s="13"/>
      <c r="J346" s="10"/>
      <c r="K346" s="3" t="s">
        <v>2192</v>
      </c>
      <c r="L346" s="3"/>
      <c r="M346" s="3"/>
      <c r="N346" s="3"/>
      <c r="O346" s="3"/>
      <c r="P346" s="3"/>
      <c r="Q346" s="3"/>
      <c r="R346" s="3"/>
      <c r="S346" s="3"/>
      <c r="T346" s="3"/>
      <c r="U346" s="3"/>
      <c r="V346" s="3"/>
      <c r="W346" s="10" t="str">
        <f>IF( J346="s.i", "s.i", IF(ISBLANK(J346),"Actualizando información",IFERROR(J346 / VLOOKUP(A346,Deflactor!$G$3:$H$64,2,0),"Revisar error" )))</f>
        <v>Actualizando información</v>
      </c>
    </row>
    <row r="347" spans="1:23" x14ac:dyDescent="0.25">
      <c r="A347" s="3">
        <v>2007</v>
      </c>
      <c r="B347" s="3" t="s">
        <v>436</v>
      </c>
      <c r="C347" s="3" t="s">
        <v>7</v>
      </c>
      <c r="D347" s="3" t="s">
        <v>291</v>
      </c>
      <c r="E347" s="3" t="s">
        <v>292</v>
      </c>
      <c r="F347" s="3" t="s">
        <v>330</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VLOOKUP(A347,Deflactor!$G$3:$H$64,2,0),"Revisar error" )))</f>
        <v>Actualizando información</v>
      </c>
    </row>
    <row r="348" spans="1:23" x14ac:dyDescent="0.25">
      <c r="A348" s="3">
        <v>2007</v>
      </c>
      <c r="B348" s="3" t="s">
        <v>437</v>
      </c>
      <c r="C348" s="3" t="s">
        <v>7</v>
      </c>
      <c r="D348" s="3" t="s">
        <v>48</v>
      </c>
      <c r="E348" s="3" t="s">
        <v>88</v>
      </c>
      <c r="F348" s="3" t="s">
        <v>311</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VLOOKUP(A348,Deflactor!$G$3:$H$64,2,0),"Revisar error" )))</f>
        <v>Actualizando información</v>
      </c>
    </row>
    <row r="349" spans="1:23" x14ac:dyDescent="0.25">
      <c r="A349" s="3">
        <v>2007</v>
      </c>
      <c r="B349" s="3" t="s">
        <v>438</v>
      </c>
      <c r="C349" s="3" t="s">
        <v>7</v>
      </c>
      <c r="D349" s="3" t="s">
        <v>48</v>
      </c>
      <c r="E349" s="3" t="s">
        <v>439</v>
      </c>
      <c r="F349" s="3" t="s">
        <v>311</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VLOOKUP(A349,Deflactor!$G$3:$H$64,2,0),"Revisar error" )))</f>
        <v>Actualizando información</v>
      </c>
    </row>
    <row r="350" spans="1:23" x14ac:dyDescent="0.25">
      <c r="A350" s="3">
        <v>2007</v>
      </c>
      <c r="B350" s="3" t="s">
        <v>440</v>
      </c>
      <c r="C350" s="3" t="s">
        <v>7</v>
      </c>
      <c r="D350" s="3" t="s">
        <v>48</v>
      </c>
      <c r="E350" s="3" t="s">
        <v>88</v>
      </c>
      <c r="F350" s="3" t="s">
        <v>311</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VLOOKUP(A350,Deflactor!$G$3:$H$64,2,0),"Revisar error" )))</f>
        <v>Actualizando información</v>
      </c>
    </row>
    <row r="351" spans="1:23" x14ac:dyDescent="0.25">
      <c r="A351" s="3">
        <v>2007</v>
      </c>
      <c r="B351" s="3" t="s">
        <v>441</v>
      </c>
      <c r="C351" s="3" t="s">
        <v>92</v>
      </c>
      <c r="D351" s="3" t="s">
        <v>291</v>
      </c>
      <c r="E351" s="3" t="s">
        <v>120</v>
      </c>
      <c r="F351" s="3" t="s">
        <v>352</v>
      </c>
      <c r="G351" s="3"/>
      <c r="H351" s="12"/>
      <c r="I351" s="13"/>
      <c r="J351" s="10"/>
      <c r="K351" s="3" t="s">
        <v>2192</v>
      </c>
      <c r="L351" s="3"/>
      <c r="M351" s="3"/>
      <c r="N351" s="3"/>
      <c r="O351" s="3"/>
      <c r="P351" s="3"/>
      <c r="Q351" s="3"/>
      <c r="R351" s="3"/>
      <c r="S351" s="3"/>
      <c r="T351" s="3"/>
      <c r="U351" s="3"/>
      <c r="V351" s="3"/>
      <c r="W351" s="10" t="str">
        <f>IF( J351="s.i", "s.i", IF(ISBLANK(J351),"Actualizando información",IFERROR(J351 / VLOOKUP(A351,Deflactor!$G$3:$H$64,2,0),"Revisar error" )))</f>
        <v>Actualizando información</v>
      </c>
    </row>
    <row r="352" spans="1:23" x14ac:dyDescent="0.25">
      <c r="A352" s="3">
        <v>2007</v>
      </c>
      <c r="B352" s="3" t="s">
        <v>442</v>
      </c>
      <c r="C352" s="3" t="s">
        <v>7</v>
      </c>
      <c r="D352" s="3" t="s">
        <v>398</v>
      </c>
      <c r="E352" s="3" t="s">
        <v>443</v>
      </c>
      <c r="F352" s="3" t="s">
        <v>400</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VLOOKUP(A352,Deflactor!$G$3:$H$64,2,0),"Revisar error" )))</f>
        <v>Actualizando información</v>
      </c>
    </row>
    <row r="353" spans="1:23" x14ac:dyDescent="0.25">
      <c r="A353" s="3">
        <v>2007</v>
      </c>
      <c r="B353" s="3" t="s">
        <v>444</v>
      </c>
      <c r="C353" s="3" t="s">
        <v>7</v>
      </c>
      <c r="D353" s="3" t="s">
        <v>445</v>
      </c>
      <c r="E353" s="3" t="s">
        <v>446</v>
      </c>
      <c r="F353" s="3" t="s">
        <v>330</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VLOOKUP(A353,Deflactor!$G$3:$H$64,2,0),"Revisar error" )))</f>
        <v>Actualizando información</v>
      </c>
    </row>
    <row r="354" spans="1:23" x14ac:dyDescent="0.25">
      <c r="A354" s="3">
        <v>2007</v>
      </c>
      <c r="B354" s="3" t="s">
        <v>447</v>
      </c>
      <c r="C354" s="3" t="s">
        <v>7</v>
      </c>
      <c r="D354" s="3" t="s">
        <v>32</v>
      </c>
      <c r="E354" s="3" t="s">
        <v>33</v>
      </c>
      <c r="F354" s="3" t="s">
        <v>352</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VLOOKUP(A354,Deflactor!$G$3:$H$64,2,0),"Revisar error" )))</f>
        <v>Actualizando información</v>
      </c>
    </row>
    <row r="355" spans="1:23" x14ac:dyDescent="0.25">
      <c r="A355" s="3">
        <v>2007</v>
      </c>
      <c r="B355" s="3" t="s">
        <v>448</v>
      </c>
      <c r="C355" s="3" t="s">
        <v>7</v>
      </c>
      <c r="D355" s="3" t="s">
        <v>8</v>
      </c>
      <c r="E355" s="3" t="s">
        <v>156</v>
      </c>
      <c r="F355" s="3" t="s">
        <v>352</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VLOOKUP(A355,Deflactor!$G$3:$H$64,2,0),"Revisar error" )))</f>
        <v>Actualizando información</v>
      </c>
    </row>
    <row r="356" spans="1:23" x14ac:dyDescent="0.25">
      <c r="A356" s="3">
        <v>2007</v>
      </c>
      <c r="B356" s="3" t="s">
        <v>449</v>
      </c>
      <c r="C356" s="3" t="s">
        <v>92</v>
      </c>
      <c r="D356" s="3" t="s">
        <v>8</v>
      </c>
      <c r="E356" s="3" t="s">
        <v>51</v>
      </c>
      <c r="F356" s="3" t="s">
        <v>330</v>
      </c>
      <c r="G356" s="3"/>
      <c r="H356" s="12"/>
      <c r="I356" s="13"/>
      <c r="J356" s="10"/>
      <c r="K356" s="3" t="s">
        <v>2192</v>
      </c>
      <c r="L356" s="3"/>
      <c r="M356" s="3"/>
      <c r="N356" s="3"/>
      <c r="O356" s="3"/>
      <c r="P356" s="3"/>
      <c r="Q356" s="3"/>
      <c r="R356" s="3"/>
      <c r="S356" s="3"/>
      <c r="T356" s="3"/>
      <c r="U356" s="3"/>
      <c r="V356" s="3"/>
      <c r="W356" s="10" t="str">
        <f>IF( J356="s.i", "s.i", IF(ISBLANK(J356),"Actualizando información",IFERROR(J356 / VLOOKUP(A356,Deflactor!$G$3:$H$64,2,0),"Revisar error" )))</f>
        <v>Actualizando información</v>
      </c>
    </row>
    <row r="357" spans="1:23" x14ac:dyDescent="0.25">
      <c r="A357" s="3">
        <v>2007</v>
      </c>
      <c r="B357" s="3" t="s">
        <v>450</v>
      </c>
      <c r="C357" s="3" t="s">
        <v>92</v>
      </c>
      <c r="D357" s="3" t="s">
        <v>8</v>
      </c>
      <c r="E357" s="3" t="s">
        <v>51</v>
      </c>
      <c r="F357" s="3" t="s">
        <v>311</v>
      </c>
      <c r="G357" s="3"/>
      <c r="H357" s="12"/>
      <c r="I357" s="13"/>
      <c r="J357" s="10"/>
      <c r="K357" s="3" t="s">
        <v>2192</v>
      </c>
      <c r="L357" s="3"/>
      <c r="M357" s="3"/>
      <c r="N357" s="3"/>
      <c r="O357" s="3"/>
      <c r="P357" s="3"/>
      <c r="Q357" s="3"/>
      <c r="R357" s="3"/>
      <c r="S357" s="3"/>
      <c r="T357" s="3"/>
      <c r="U357" s="3"/>
      <c r="V357" s="3"/>
      <c r="W357" s="10" t="str">
        <f>IF( J357="s.i", "s.i", IF(ISBLANK(J357),"Actualizando información",IFERROR(J357 / VLOOKUP(A357,Deflactor!$G$3:$H$64,2,0),"Revisar error" )))</f>
        <v>Actualizando información</v>
      </c>
    </row>
    <row r="358" spans="1:23" x14ac:dyDescent="0.25">
      <c r="A358" s="3">
        <v>2007</v>
      </c>
      <c r="B358" s="3" t="s">
        <v>451</v>
      </c>
      <c r="C358" s="3" t="s">
        <v>92</v>
      </c>
      <c r="D358" s="3" t="s">
        <v>8</v>
      </c>
      <c r="E358" s="3" t="s">
        <v>51</v>
      </c>
      <c r="F358" s="3" t="s">
        <v>330</v>
      </c>
      <c r="G358" s="3"/>
      <c r="H358" s="12"/>
      <c r="I358" s="13"/>
      <c r="J358" s="10"/>
      <c r="K358" s="3" t="s">
        <v>2192</v>
      </c>
      <c r="L358" s="3"/>
      <c r="M358" s="3"/>
      <c r="N358" s="3"/>
      <c r="O358" s="3"/>
      <c r="P358" s="3"/>
      <c r="Q358" s="3"/>
      <c r="R358" s="3"/>
      <c r="S358" s="3"/>
      <c r="T358" s="3"/>
      <c r="U358" s="3"/>
      <c r="V358" s="3"/>
      <c r="W358" s="10" t="str">
        <f>IF( J358="s.i", "s.i", IF(ISBLANK(J358),"Actualizando información",IFERROR(J358 / VLOOKUP(A358,Deflactor!$G$3:$H$64,2,0),"Revisar error" )))</f>
        <v>Actualizando información</v>
      </c>
    </row>
    <row r="359" spans="1:23" x14ac:dyDescent="0.25">
      <c r="A359" s="3">
        <v>2007</v>
      </c>
      <c r="B359" s="3" t="s">
        <v>452</v>
      </c>
      <c r="C359" s="3" t="s">
        <v>92</v>
      </c>
      <c r="D359" s="3" t="s">
        <v>8</v>
      </c>
      <c r="E359" s="3" t="s">
        <v>51</v>
      </c>
      <c r="F359" s="3" t="s">
        <v>309</v>
      </c>
      <c r="G359" s="3"/>
      <c r="H359" s="12"/>
      <c r="I359" s="13"/>
      <c r="J359" s="10"/>
      <c r="K359" s="3" t="s">
        <v>2192</v>
      </c>
      <c r="L359" s="3"/>
      <c r="M359" s="3"/>
      <c r="N359" s="3"/>
      <c r="O359" s="3"/>
      <c r="P359" s="3"/>
      <c r="Q359" s="3"/>
      <c r="R359" s="3"/>
      <c r="S359" s="3"/>
      <c r="T359" s="3"/>
      <c r="U359" s="3"/>
      <c r="V359" s="3"/>
      <c r="W359" s="10" t="str">
        <f>IF( J359="s.i", "s.i", IF(ISBLANK(J359),"Actualizando información",IFERROR(J359 / VLOOKUP(A359,Deflactor!$G$3:$H$64,2,0),"Revisar error" )))</f>
        <v>Actualizando información</v>
      </c>
    </row>
    <row r="360" spans="1:23" x14ac:dyDescent="0.25">
      <c r="A360" s="3">
        <v>2007</v>
      </c>
      <c r="B360" s="3" t="s">
        <v>453</v>
      </c>
      <c r="C360" s="3" t="s">
        <v>7</v>
      </c>
      <c r="D360" s="3" t="s">
        <v>71</v>
      </c>
      <c r="E360" s="3" t="s">
        <v>167</v>
      </c>
      <c r="F360" s="3" t="s">
        <v>330</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VLOOKUP(A360,Deflactor!$G$3:$H$64,2,0),"Revisar error" )))</f>
        <v>Actualizando información</v>
      </c>
    </row>
    <row r="361" spans="1:23" x14ac:dyDescent="0.25">
      <c r="A361" s="3">
        <v>2007</v>
      </c>
      <c r="B361" s="3" t="s">
        <v>454</v>
      </c>
      <c r="C361" s="3" t="s">
        <v>92</v>
      </c>
      <c r="D361" s="3" t="s">
        <v>25</v>
      </c>
      <c r="E361" s="3" t="s">
        <v>29</v>
      </c>
      <c r="F361" s="3" t="s">
        <v>311</v>
      </c>
      <c r="G361" s="3"/>
      <c r="H361" s="12"/>
      <c r="I361" s="13"/>
      <c r="J361" s="10"/>
      <c r="K361" s="3" t="s">
        <v>2192</v>
      </c>
      <c r="L361" s="3"/>
      <c r="M361" s="3"/>
      <c r="N361" s="3"/>
      <c r="O361" s="3"/>
      <c r="P361" s="3"/>
      <c r="Q361" s="3"/>
      <c r="R361" s="3"/>
      <c r="S361" s="3"/>
      <c r="T361" s="3"/>
      <c r="U361" s="3"/>
      <c r="V361" s="3"/>
      <c r="W361" s="10" t="str">
        <f>IF( J361="s.i", "s.i", IF(ISBLANK(J361),"Actualizando información",IFERROR(J361 / VLOOKUP(A361,Deflactor!$G$3:$H$64,2,0),"Revisar error" )))</f>
        <v>Actualizando información</v>
      </c>
    </row>
    <row r="362" spans="1:23" x14ac:dyDescent="0.25">
      <c r="A362" s="3">
        <v>2007</v>
      </c>
      <c r="B362" s="3" t="s">
        <v>455</v>
      </c>
      <c r="C362" s="3" t="s">
        <v>92</v>
      </c>
      <c r="D362" s="3" t="s">
        <v>25</v>
      </c>
      <c r="E362" s="3" t="s">
        <v>29</v>
      </c>
      <c r="F362" s="3" t="s">
        <v>330</v>
      </c>
      <c r="G362" s="3"/>
      <c r="H362" s="12"/>
      <c r="I362" s="13"/>
      <c r="J362" s="10"/>
      <c r="K362" s="3" t="s">
        <v>2192</v>
      </c>
      <c r="L362" s="3"/>
      <c r="M362" s="3"/>
      <c r="N362" s="3"/>
      <c r="O362" s="3"/>
      <c r="P362" s="3"/>
      <c r="Q362" s="3"/>
      <c r="R362" s="3"/>
      <c r="S362" s="3"/>
      <c r="T362" s="3"/>
      <c r="U362" s="3"/>
      <c r="V362" s="3"/>
      <c r="W362" s="10" t="str">
        <f>IF( J362="s.i", "s.i", IF(ISBLANK(J362),"Actualizando información",IFERROR(J362 / VLOOKUP(A362,Deflactor!$G$3:$H$64,2,0),"Revisar error" )))</f>
        <v>Actualizando información</v>
      </c>
    </row>
    <row r="363" spans="1:23" x14ac:dyDescent="0.25">
      <c r="A363" s="3">
        <v>2007</v>
      </c>
      <c r="B363" s="3" t="s">
        <v>456</v>
      </c>
      <c r="C363" s="3" t="s">
        <v>92</v>
      </c>
      <c r="D363" s="3" t="s">
        <v>216</v>
      </c>
      <c r="E363" s="3" t="s">
        <v>457</v>
      </c>
      <c r="F363" s="3" t="s">
        <v>352</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VLOOKUP(A363,Deflactor!$G$3:$H$64,2,0),"Revisar error" )))</f>
        <v>Actualizando información</v>
      </c>
    </row>
    <row r="364" spans="1:23" x14ac:dyDescent="0.25">
      <c r="A364" s="3">
        <v>2007</v>
      </c>
      <c r="B364" s="3" t="s">
        <v>458</v>
      </c>
      <c r="C364" s="3" t="s">
        <v>92</v>
      </c>
      <c r="D364" s="3" t="s">
        <v>36</v>
      </c>
      <c r="E364" s="3" t="s">
        <v>37</v>
      </c>
      <c r="F364" s="3" t="s">
        <v>400</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VLOOKUP(A364,Deflactor!$G$3:$H$64,2,0),"Revisar error" )))</f>
        <v>Actualizando información</v>
      </c>
    </row>
    <row r="365" spans="1:23" x14ac:dyDescent="0.25">
      <c r="A365" s="3">
        <v>2007</v>
      </c>
      <c r="B365" s="3" t="s">
        <v>459</v>
      </c>
      <c r="C365" s="3" t="s">
        <v>92</v>
      </c>
      <c r="D365" s="3" t="s">
        <v>36</v>
      </c>
      <c r="E365" s="3" t="s">
        <v>37</v>
      </c>
      <c r="F365" s="3" t="s">
        <v>400</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VLOOKUP(A365,Deflactor!$G$3:$H$64,2,0),"Revisar error" )))</f>
        <v>Actualizando información</v>
      </c>
    </row>
    <row r="366" spans="1:23" x14ac:dyDescent="0.25">
      <c r="A366" s="3">
        <v>2007</v>
      </c>
      <c r="B366" s="3" t="s">
        <v>460</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VLOOKUP(A366,Deflactor!$G$3:$H$64,2,0),"Revisar error" )))</f>
        <v>Actualizando información</v>
      </c>
    </row>
    <row r="367" spans="1:23" x14ac:dyDescent="0.25">
      <c r="A367" s="3">
        <v>2007</v>
      </c>
      <c r="B367" s="3" t="s">
        <v>461</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VLOOKUP(A367,Deflactor!$G$3:$H$64,2,0),"Revisar error" )))</f>
        <v>Actualizando información</v>
      </c>
    </row>
    <row r="368" spans="1:23" x14ac:dyDescent="0.25">
      <c r="A368" s="3">
        <v>2007</v>
      </c>
      <c r="B368" s="3" t="s">
        <v>462</v>
      </c>
      <c r="C368" s="3" t="s">
        <v>7</v>
      </c>
      <c r="D368" s="3" t="s">
        <v>36</v>
      </c>
      <c r="E368" s="3" t="s">
        <v>37</v>
      </c>
      <c r="F368" s="3" t="s">
        <v>311</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VLOOKUP(A368,Deflactor!$G$3:$H$64,2,0),"Revisar error" )))</f>
        <v>Actualizando información</v>
      </c>
    </row>
    <row r="369" spans="1:23" x14ac:dyDescent="0.25">
      <c r="A369" s="3">
        <v>2007</v>
      </c>
      <c r="B369" s="3" t="s">
        <v>463</v>
      </c>
      <c r="C369" s="3" t="s">
        <v>7</v>
      </c>
      <c r="D369" s="3" t="s">
        <v>36</v>
      </c>
      <c r="E369" s="3" t="s">
        <v>37</v>
      </c>
      <c r="F369" s="3" t="s">
        <v>311</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VLOOKUP(A369,Deflactor!$G$3:$H$64,2,0),"Revisar error" )))</f>
        <v>Actualizando información</v>
      </c>
    </row>
    <row r="370" spans="1:23" x14ac:dyDescent="0.25">
      <c r="A370" s="3">
        <v>2007</v>
      </c>
      <c r="B370" s="3" t="s">
        <v>464</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VLOOKUP(A370,Deflactor!$G$3:$H$64,2,0),"Revisar error" )))</f>
        <v>Actualizando información</v>
      </c>
    </row>
    <row r="371" spans="1:23" x14ac:dyDescent="0.25">
      <c r="A371" s="3">
        <v>2007</v>
      </c>
      <c r="B371" s="3" t="s">
        <v>465</v>
      </c>
      <c r="C371" s="3" t="s">
        <v>7</v>
      </c>
      <c r="D371" s="3" t="s">
        <v>40</v>
      </c>
      <c r="E371" s="3" t="s">
        <v>43</v>
      </c>
      <c r="F371" s="3" t="s">
        <v>311</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VLOOKUP(A371,Deflactor!$G$3:$H$64,2,0),"Revisar error" )))</f>
        <v>Actualizando información</v>
      </c>
    </row>
    <row r="372" spans="1:23" x14ac:dyDescent="0.25">
      <c r="A372" s="3">
        <v>2007</v>
      </c>
      <c r="B372" s="3" t="s">
        <v>466</v>
      </c>
      <c r="C372" s="3" t="s">
        <v>7</v>
      </c>
      <c r="D372" s="3" t="s">
        <v>71</v>
      </c>
      <c r="E372" s="3" t="s">
        <v>167</v>
      </c>
      <c r="F372" s="3" t="s">
        <v>311</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VLOOKUP(A372,Deflactor!$G$3:$H$64,2,0),"Revisar error" )))</f>
        <v>Actualizando información</v>
      </c>
    </row>
    <row r="373" spans="1:23" x14ac:dyDescent="0.25">
      <c r="A373" s="3">
        <v>2007</v>
      </c>
      <c r="B373" s="3" t="s">
        <v>467</v>
      </c>
      <c r="C373" s="3" t="s">
        <v>92</v>
      </c>
      <c r="D373" s="3" t="s">
        <v>8</v>
      </c>
      <c r="E373" s="3" t="s">
        <v>51</v>
      </c>
      <c r="F373" s="3" t="s">
        <v>311</v>
      </c>
      <c r="G373" s="3"/>
      <c r="H373" s="12"/>
      <c r="I373" s="13"/>
      <c r="J373" s="10"/>
      <c r="K373" s="3" t="s">
        <v>2192</v>
      </c>
      <c r="L373" s="3"/>
      <c r="M373" s="3"/>
      <c r="N373" s="3"/>
      <c r="O373" s="3"/>
      <c r="P373" s="3"/>
      <c r="Q373" s="3"/>
      <c r="R373" s="3"/>
      <c r="S373" s="3"/>
      <c r="T373" s="3"/>
      <c r="U373" s="3"/>
      <c r="V373" s="3"/>
      <c r="W373" s="10" t="str">
        <f>IF( J373="s.i", "s.i", IF(ISBLANK(J373),"Actualizando información",IFERROR(J373 / VLOOKUP(A373,Deflactor!$G$3:$H$64,2,0),"Revisar error" )))</f>
        <v>Actualizando información</v>
      </c>
    </row>
    <row r="374" spans="1:23" x14ac:dyDescent="0.25">
      <c r="A374" s="3">
        <v>2007</v>
      </c>
      <c r="B374" s="3" t="s">
        <v>468</v>
      </c>
      <c r="C374" s="3" t="s">
        <v>92</v>
      </c>
      <c r="D374" s="3" t="s">
        <v>8</v>
      </c>
      <c r="E374" s="3" t="s">
        <v>51</v>
      </c>
      <c r="F374" s="3" t="s">
        <v>330</v>
      </c>
      <c r="G374" s="3"/>
      <c r="H374" s="12"/>
      <c r="I374" s="13"/>
      <c r="J374" s="10"/>
      <c r="K374" s="3" t="s">
        <v>2192</v>
      </c>
      <c r="L374" s="3"/>
      <c r="M374" s="3"/>
      <c r="N374" s="3"/>
      <c r="O374" s="3"/>
      <c r="P374" s="3"/>
      <c r="Q374" s="3"/>
      <c r="R374" s="3"/>
      <c r="S374" s="3"/>
      <c r="T374" s="3"/>
      <c r="U374" s="3"/>
      <c r="V374" s="3"/>
      <c r="W374" s="10" t="str">
        <f>IF( J374="s.i", "s.i", IF(ISBLANK(J374),"Actualizando información",IFERROR(J374 / VLOOKUP(A374,Deflactor!$G$3:$H$64,2,0),"Revisar error" )))</f>
        <v>Actualizando información</v>
      </c>
    </row>
    <row r="375" spans="1:23" x14ac:dyDescent="0.25">
      <c r="A375" s="3">
        <v>2007</v>
      </c>
      <c r="B375" s="3" t="s">
        <v>469</v>
      </c>
      <c r="C375" s="3" t="s">
        <v>92</v>
      </c>
      <c r="D375" s="3" t="s">
        <v>64</v>
      </c>
      <c r="E375" s="3" t="s">
        <v>65</v>
      </c>
      <c r="F375" s="3" t="s">
        <v>400</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VLOOKUP(A375,Deflactor!$G$3:$H$64,2,0),"Revisar error" )))</f>
        <v>Actualizando información</v>
      </c>
    </row>
    <row r="376" spans="1:23" x14ac:dyDescent="0.25">
      <c r="A376" s="3">
        <v>2007</v>
      </c>
      <c r="B376" s="3" t="s">
        <v>470</v>
      </c>
      <c r="C376" s="3" t="s">
        <v>7</v>
      </c>
      <c r="D376" s="3" t="s">
        <v>64</v>
      </c>
      <c r="E376" s="3" t="s">
        <v>65</v>
      </c>
      <c r="F376" s="3" t="s">
        <v>309</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VLOOKUP(A376,Deflactor!$G$3:$H$64,2,0),"Revisar error" )))</f>
        <v>Actualizando información</v>
      </c>
    </row>
    <row r="377" spans="1:23" x14ac:dyDescent="0.25">
      <c r="A377" s="3">
        <v>2006</v>
      </c>
      <c r="B377" s="3" t="s">
        <v>471</v>
      </c>
      <c r="C377" s="3" t="s">
        <v>7</v>
      </c>
      <c r="D377" s="3" t="s">
        <v>12</v>
      </c>
      <c r="E377" s="3" t="s">
        <v>472</v>
      </c>
      <c r="F377" s="3" t="s">
        <v>330</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VLOOKUP(A377,Deflactor!$G$3:$H$64,2,0),"Revisar error" )))</f>
        <v>Actualizando información</v>
      </c>
    </row>
    <row r="378" spans="1:23" x14ac:dyDescent="0.25">
      <c r="A378" s="3">
        <v>2006</v>
      </c>
      <c r="B378" s="3" t="s">
        <v>473</v>
      </c>
      <c r="C378" s="3" t="s">
        <v>7</v>
      </c>
      <c r="D378" s="3" t="s">
        <v>45</v>
      </c>
      <c r="E378" s="3" t="s">
        <v>184</v>
      </c>
      <c r="F378" s="3" t="s">
        <v>352</v>
      </c>
      <c r="G378" s="3"/>
      <c r="H378" s="12"/>
      <c r="I378" s="13"/>
      <c r="J378" s="10"/>
      <c r="K378" s="3" t="s">
        <v>2304</v>
      </c>
      <c r="L378" s="3"/>
      <c r="M378" s="3"/>
      <c r="N378" s="3"/>
      <c r="O378" s="3"/>
      <c r="P378" s="3"/>
      <c r="Q378" s="3"/>
      <c r="R378" s="3"/>
      <c r="S378" s="3"/>
      <c r="T378" s="3"/>
      <c r="U378" s="3"/>
      <c r="V378" s="3"/>
      <c r="W378" s="10" t="str">
        <f>IF( J378="s.i", "s.i", IF(ISBLANK(J378),"Actualizando información",IFERROR(J378 / VLOOKUP(A378,Deflactor!$G$3:$H$64,2,0),"Revisar error" )))</f>
        <v>Actualizando información</v>
      </c>
    </row>
    <row r="379" spans="1:23" x14ac:dyDescent="0.25">
      <c r="A379" s="3">
        <v>2006</v>
      </c>
      <c r="B379" s="3" t="s">
        <v>474</v>
      </c>
      <c r="C379" s="3" t="s">
        <v>92</v>
      </c>
      <c r="D379" s="3" t="s">
        <v>45</v>
      </c>
      <c r="E379" s="3" t="s">
        <v>408</v>
      </c>
      <c r="F379" s="3" t="s">
        <v>311</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VLOOKUP(A379,Deflactor!$G$3:$H$64,2,0),"Revisar error" )))</f>
        <v>Actualizando información</v>
      </c>
    </row>
    <row r="380" spans="1:23" x14ac:dyDescent="0.25">
      <c r="A380" s="3">
        <v>2006</v>
      </c>
      <c r="B380" s="3" t="s">
        <v>475</v>
      </c>
      <c r="C380" s="3" t="s">
        <v>7</v>
      </c>
      <c r="D380" s="3" t="s">
        <v>25</v>
      </c>
      <c r="E380" s="3" t="s">
        <v>26</v>
      </c>
      <c r="F380" s="3" t="s">
        <v>311</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VLOOKUP(A380,Deflactor!$G$3:$H$64,2,0),"Revisar error" )))</f>
        <v>Actualizando información</v>
      </c>
    </row>
    <row r="381" spans="1:23" x14ac:dyDescent="0.25">
      <c r="A381" s="3">
        <v>2006</v>
      </c>
      <c r="B381" s="3" t="s">
        <v>476</v>
      </c>
      <c r="C381" s="3" t="s">
        <v>155</v>
      </c>
      <c r="D381" s="3" t="s">
        <v>216</v>
      </c>
      <c r="E381" s="3" t="s">
        <v>476</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VLOOKUP(A381,Deflactor!$G$3:$H$64,2,0),"Revisar error" )))</f>
        <v>Actualizando información</v>
      </c>
    </row>
    <row r="382" spans="1:23" x14ac:dyDescent="0.25">
      <c r="A382" s="3">
        <v>2006</v>
      </c>
      <c r="B382" s="3" t="s">
        <v>477</v>
      </c>
      <c r="C382" s="3" t="s">
        <v>92</v>
      </c>
      <c r="D382" s="3" t="s">
        <v>36</v>
      </c>
      <c r="E382" s="3" t="s">
        <v>94</v>
      </c>
      <c r="F382" s="3" t="s">
        <v>330</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VLOOKUP(A382,Deflactor!$G$3:$H$64,2,0),"Revisar error" )))</f>
        <v>Actualizando información</v>
      </c>
    </row>
    <row r="383" spans="1:23" x14ac:dyDescent="0.25">
      <c r="A383" s="3">
        <v>2006</v>
      </c>
      <c r="B383" s="3" t="s">
        <v>478</v>
      </c>
      <c r="C383" s="3" t="s">
        <v>7</v>
      </c>
      <c r="D383" s="3" t="s">
        <v>36</v>
      </c>
      <c r="E383" s="3" t="s">
        <v>98</v>
      </c>
      <c r="F383" s="3" t="s">
        <v>330</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VLOOKUP(A383,Deflactor!$G$3:$H$64,2,0),"Revisar error" )))</f>
        <v>Actualizando información</v>
      </c>
    </row>
    <row r="384" spans="1:23" x14ac:dyDescent="0.25">
      <c r="A384" s="3">
        <v>2006</v>
      </c>
      <c r="B384" s="3" t="s">
        <v>479</v>
      </c>
      <c r="C384" s="3" t="s">
        <v>92</v>
      </c>
      <c r="D384" s="3" t="s">
        <v>32</v>
      </c>
      <c r="E384" s="3" t="s">
        <v>33</v>
      </c>
      <c r="F384" s="3" t="s">
        <v>311</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VLOOKUP(A384,Deflactor!$G$3:$H$64,2,0),"Revisar error" )))</f>
        <v>Actualizando información</v>
      </c>
    </row>
    <row r="385" spans="1:23" x14ac:dyDescent="0.25">
      <c r="A385" s="3">
        <v>2006</v>
      </c>
      <c r="B385" s="3" t="s">
        <v>480</v>
      </c>
      <c r="C385" s="3" t="s">
        <v>7</v>
      </c>
      <c r="D385" s="3" t="s">
        <v>32</v>
      </c>
      <c r="E385" s="3" t="s">
        <v>33</v>
      </c>
      <c r="F385" s="3" t="s">
        <v>352</v>
      </c>
      <c r="G385" s="3"/>
      <c r="H385" s="12"/>
      <c r="I385" s="13"/>
      <c r="J385" s="10"/>
      <c r="K385" s="3"/>
      <c r="L385" s="3"/>
      <c r="M385" s="3"/>
      <c r="N385" s="3"/>
      <c r="O385" s="3"/>
      <c r="P385" s="3"/>
      <c r="Q385" s="3"/>
      <c r="R385" s="3"/>
      <c r="S385" s="3"/>
      <c r="T385" s="3"/>
      <c r="U385" s="3" t="s">
        <v>1328</v>
      </c>
      <c r="V385" s="3"/>
      <c r="W385" s="10" t="str">
        <f>IF( J385="s.i", "s.i", IF(ISBLANK(J385),"Actualizando información",IFERROR(J385 / VLOOKUP(A385,Deflactor!$G$3:$H$64,2,0),"Revisar error" )))</f>
        <v>Actualizando información</v>
      </c>
    </row>
    <row r="386" spans="1:23" x14ac:dyDescent="0.25">
      <c r="A386" s="3">
        <v>2006</v>
      </c>
      <c r="B386" s="3" t="s">
        <v>209</v>
      </c>
      <c r="C386" s="3" t="s">
        <v>7</v>
      </c>
      <c r="D386" s="3" t="s">
        <v>48</v>
      </c>
      <c r="E386" s="3" t="s">
        <v>49</v>
      </c>
      <c r="F386" s="3" t="s">
        <v>352</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VLOOKUP(A386,Deflactor!$G$3:$H$64,2,0),"Revisar error" )))</f>
        <v>Actualizando información</v>
      </c>
    </row>
    <row r="387" spans="1:23" x14ac:dyDescent="0.25">
      <c r="A387" s="3">
        <v>2006</v>
      </c>
      <c r="B387" s="3" t="s">
        <v>481</v>
      </c>
      <c r="C387" s="3" t="s">
        <v>92</v>
      </c>
      <c r="D387" s="3" t="s">
        <v>36</v>
      </c>
      <c r="E387" s="3" t="s">
        <v>37</v>
      </c>
      <c r="F387" s="3" t="s">
        <v>352</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VLOOKUP(A387,Deflactor!$G$3:$H$64,2,0),"Revisar error" )))</f>
        <v>Actualizando información</v>
      </c>
    </row>
    <row r="388" spans="1:23" x14ac:dyDescent="0.25">
      <c r="A388" s="3">
        <v>2006</v>
      </c>
      <c r="B388" s="3" t="s">
        <v>251</v>
      </c>
      <c r="C388" s="3" t="s">
        <v>7</v>
      </c>
      <c r="D388" s="3" t="s">
        <v>398</v>
      </c>
      <c r="E388" s="3" t="s">
        <v>398</v>
      </c>
      <c r="F388" s="3" t="s">
        <v>311</v>
      </c>
      <c r="G388" s="3"/>
      <c r="H388" s="12"/>
      <c r="I388" s="13"/>
      <c r="J388" s="10"/>
      <c r="K388" s="3" t="s">
        <v>1763</v>
      </c>
      <c r="L388" s="3"/>
      <c r="M388" s="3"/>
      <c r="N388" s="3"/>
      <c r="O388" s="3"/>
      <c r="P388" s="3"/>
      <c r="Q388" s="3"/>
      <c r="R388" s="3"/>
      <c r="S388" s="3"/>
      <c r="T388" s="3"/>
      <c r="U388" s="3" t="s">
        <v>251</v>
      </c>
      <c r="V388" s="3"/>
      <c r="W388" s="10" t="str">
        <f>IF( J388="s.i", "s.i", IF(ISBLANK(J388),"Actualizando información",IFERROR(J388 / VLOOKUP(A388,Deflactor!$G$3:$H$64,2,0),"Revisar error" )))</f>
        <v>Actualizando información</v>
      </c>
    </row>
    <row r="389" spans="1:23" x14ac:dyDescent="0.25">
      <c r="A389" s="3">
        <v>2006</v>
      </c>
      <c r="B389" s="3" t="s">
        <v>482</v>
      </c>
      <c r="C389" s="3" t="s">
        <v>7</v>
      </c>
      <c r="D389" s="3" t="s">
        <v>12</v>
      </c>
      <c r="E389" s="3" t="s">
        <v>483</v>
      </c>
      <c r="F389" s="3" t="s">
        <v>311</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VLOOKUP(A389,Deflactor!$G$3:$H$64,2,0),"Revisar error" )))</f>
        <v>Actualizando información</v>
      </c>
    </row>
    <row r="390" spans="1:23" x14ac:dyDescent="0.25">
      <c r="A390" s="3">
        <v>2006</v>
      </c>
      <c r="B390" s="3" t="s">
        <v>484</v>
      </c>
      <c r="C390" s="3" t="s">
        <v>7</v>
      </c>
      <c r="D390" s="3" t="s">
        <v>36</v>
      </c>
      <c r="E390" s="3" t="s">
        <v>94</v>
      </c>
      <c r="F390" s="3" t="s">
        <v>352</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VLOOKUP(A390,Deflactor!$G$3:$H$64,2,0),"Revisar error" )))</f>
        <v>Actualizando información</v>
      </c>
    </row>
    <row r="391" spans="1:23" x14ac:dyDescent="0.25">
      <c r="A391" s="3">
        <v>2006</v>
      </c>
      <c r="B391" s="3" t="s">
        <v>485</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VLOOKUP(A391,Deflactor!$G$3:$H$64,2,0),"Revisar error" )))</f>
        <v>Actualizando información</v>
      </c>
    </row>
    <row r="392" spans="1:23" x14ac:dyDescent="0.25">
      <c r="A392" s="3">
        <v>2006</v>
      </c>
      <c r="B392" s="3" t="s">
        <v>264</v>
      </c>
      <c r="C392" s="3" t="s">
        <v>7</v>
      </c>
      <c r="D392" s="3" t="s">
        <v>8</v>
      </c>
      <c r="E392" s="3" t="s">
        <v>265</v>
      </c>
      <c r="F392" s="3" t="s">
        <v>330</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VLOOKUP(A392,Deflactor!$G$3:$H$64,2,0),"Revisar error" )))</f>
        <v>Actualizando información</v>
      </c>
    </row>
    <row r="393" spans="1:23" x14ac:dyDescent="0.25">
      <c r="A393" s="3">
        <v>2006</v>
      </c>
      <c r="B393" s="3" t="s">
        <v>486</v>
      </c>
      <c r="C393" s="3" t="s">
        <v>7</v>
      </c>
      <c r="D393" s="3" t="s">
        <v>8</v>
      </c>
      <c r="E393" s="3" t="s">
        <v>9</v>
      </c>
      <c r="F393" s="3" t="s">
        <v>330</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VLOOKUP(A393,Deflactor!$G$3:$H$64,2,0),"Revisar error" )))</f>
        <v>Actualizando información</v>
      </c>
    </row>
    <row r="394" spans="1:23" x14ac:dyDescent="0.25">
      <c r="A394" s="3">
        <v>2006</v>
      </c>
      <c r="B394" s="3" t="s">
        <v>487</v>
      </c>
      <c r="C394" s="3" t="s">
        <v>7</v>
      </c>
      <c r="D394" s="3" t="s">
        <v>159</v>
      </c>
      <c r="E394" s="3" t="s">
        <v>160</v>
      </c>
      <c r="F394" s="3" t="s">
        <v>330</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VLOOKUP(A394,Deflactor!$G$3:$H$64,2,0),"Revisar error" )))</f>
        <v>Actualizando información</v>
      </c>
    </row>
    <row r="395" spans="1:23" x14ac:dyDescent="0.25">
      <c r="A395" s="3">
        <v>2006</v>
      </c>
      <c r="B395" s="3" t="s">
        <v>488</v>
      </c>
      <c r="C395" s="3" t="s">
        <v>92</v>
      </c>
      <c r="D395" s="3" t="s">
        <v>291</v>
      </c>
      <c r="E395" s="3" t="s">
        <v>292</v>
      </c>
      <c r="F395" s="3" t="s">
        <v>311</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VLOOKUP(A395,Deflactor!$G$3:$H$64,2,0),"Revisar error" )))</f>
        <v>Actualizando información</v>
      </c>
    </row>
    <row r="396" spans="1:23" x14ac:dyDescent="0.25">
      <c r="A396" s="3">
        <v>2006</v>
      </c>
      <c r="B396" s="3" t="s">
        <v>489</v>
      </c>
      <c r="C396" s="3" t="s">
        <v>92</v>
      </c>
      <c r="D396" s="3" t="s">
        <v>291</v>
      </c>
      <c r="E396" s="3" t="s">
        <v>292</v>
      </c>
      <c r="F396" s="3" t="s">
        <v>311</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VLOOKUP(A396,Deflactor!$G$3:$H$64,2,0),"Revisar error" )))</f>
        <v>Actualizando información</v>
      </c>
    </row>
    <row r="397" spans="1:23" x14ac:dyDescent="0.25">
      <c r="A397" s="3">
        <v>2006</v>
      </c>
      <c r="B397" s="3" t="s">
        <v>490</v>
      </c>
      <c r="C397" s="3" t="s">
        <v>7</v>
      </c>
      <c r="D397" s="3" t="s">
        <v>291</v>
      </c>
      <c r="E397" s="3" t="s">
        <v>292</v>
      </c>
      <c r="F397" s="3" t="s">
        <v>400</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VLOOKUP(A397,Deflactor!$G$3:$H$64,2,0),"Revisar error" )))</f>
        <v>Actualizando información</v>
      </c>
    </row>
    <row r="398" spans="1:23" x14ac:dyDescent="0.25">
      <c r="A398" s="3">
        <v>2005</v>
      </c>
      <c r="B398" s="3" t="s">
        <v>491</v>
      </c>
      <c r="C398" s="3" t="s">
        <v>92</v>
      </c>
      <c r="D398" s="3" t="s">
        <v>291</v>
      </c>
      <c r="E398" s="3" t="s">
        <v>292</v>
      </c>
      <c r="F398" s="3" t="s">
        <v>352</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VLOOKUP(A398,Deflactor!$G$3:$H$64,2,0),"Revisar error" )))</f>
        <v>Actualizando información</v>
      </c>
    </row>
    <row r="399" spans="1:23" x14ac:dyDescent="0.25">
      <c r="A399" s="3">
        <v>2005</v>
      </c>
      <c r="B399" s="3" t="s">
        <v>492</v>
      </c>
      <c r="C399" s="3" t="s">
        <v>7</v>
      </c>
      <c r="D399" s="3" t="s">
        <v>12</v>
      </c>
      <c r="E399" s="3" t="s">
        <v>13</v>
      </c>
      <c r="F399" s="3" t="s">
        <v>309</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VLOOKUP(A399,Deflactor!$G$3:$H$64,2,0),"Revisar error" )))</f>
        <v>Actualizando información</v>
      </c>
    </row>
    <row r="400" spans="1:23" x14ac:dyDescent="0.25">
      <c r="A400" s="3">
        <v>2005</v>
      </c>
      <c r="B400" s="3" t="s">
        <v>493</v>
      </c>
      <c r="C400" s="3" t="s">
        <v>7</v>
      </c>
      <c r="D400" s="3" t="s">
        <v>398</v>
      </c>
      <c r="E400" s="3" t="s">
        <v>399</v>
      </c>
      <c r="F400" s="3" t="s">
        <v>311</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VLOOKUP(A400,Deflactor!$G$3:$H$64,2,0),"Revisar error" )))</f>
        <v>Actualizando información</v>
      </c>
    </row>
    <row r="401" spans="1:23" x14ac:dyDescent="0.25">
      <c r="A401" s="3">
        <v>2005</v>
      </c>
      <c r="B401" s="3" t="s">
        <v>494</v>
      </c>
      <c r="C401" s="3" t="s">
        <v>7</v>
      </c>
      <c r="D401" s="3" t="s">
        <v>12</v>
      </c>
      <c r="E401" s="3" t="s">
        <v>13</v>
      </c>
      <c r="F401" s="3" t="s">
        <v>330</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VLOOKUP(A401,Deflactor!$G$3:$H$64,2,0),"Revisar error" )))</f>
        <v>Actualizando información</v>
      </c>
    </row>
    <row r="402" spans="1:23" x14ac:dyDescent="0.25">
      <c r="A402" s="3">
        <v>2005</v>
      </c>
      <c r="B402" s="3" t="s">
        <v>495</v>
      </c>
      <c r="C402" s="3" t="s">
        <v>7</v>
      </c>
      <c r="D402" s="3" t="s">
        <v>25</v>
      </c>
      <c r="E402" s="3" t="s">
        <v>496</v>
      </c>
      <c r="F402" s="3" t="s">
        <v>400</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VLOOKUP(A402,Deflactor!$G$3:$H$64,2,0),"Revisar error" )))</f>
        <v>Actualizando información</v>
      </c>
    </row>
    <row r="403" spans="1:23" x14ac:dyDescent="0.25">
      <c r="A403" s="3">
        <v>2005</v>
      </c>
      <c r="B403" s="3" t="s">
        <v>497</v>
      </c>
      <c r="C403" s="3" t="s">
        <v>7</v>
      </c>
      <c r="D403" s="3" t="s">
        <v>25</v>
      </c>
      <c r="E403" s="3" t="s">
        <v>498</v>
      </c>
      <c r="F403" s="3" t="s">
        <v>330</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VLOOKUP(A403,Deflactor!$G$3:$H$64,2,0),"Revisar error" )))</f>
        <v>Actualizando información</v>
      </c>
    </row>
    <row r="404" spans="1:23" x14ac:dyDescent="0.25">
      <c r="A404" s="3">
        <v>2005</v>
      </c>
      <c r="B404" s="3" t="s">
        <v>499</v>
      </c>
      <c r="C404" s="3" t="s">
        <v>7</v>
      </c>
      <c r="D404" s="3" t="s">
        <v>25</v>
      </c>
      <c r="E404" s="3" t="s">
        <v>26</v>
      </c>
      <c r="F404" s="3" t="s">
        <v>330</v>
      </c>
      <c r="G404" s="3"/>
      <c r="H404" s="12"/>
      <c r="I404" s="13"/>
      <c r="J404" s="10"/>
      <c r="K404" s="3"/>
      <c r="L404" s="3"/>
      <c r="M404" s="3"/>
      <c r="N404" s="3"/>
      <c r="O404" s="3"/>
      <c r="P404" s="3"/>
      <c r="Q404" s="3"/>
      <c r="R404" s="3"/>
      <c r="S404" s="3"/>
      <c r="T404" s="3"/>
      <c r="U404" s="3"/>
      <c r="V404" s="3" t="s">
        <v>1218</v>
      </c>
      <c r="W404" s="10" t="str">
        <f>IF( J404="s.i", "s.i", IF(ISBLANK(J404),"Actualizando información",IFERROR(J404 / VLOOKUP(A404,Deflactor!$G$3:$H$64,2,0),"Revisar error" )))</f>
        <v>Actualizando información</v>
      </c>
    </row>
    <row r="405" spans="1:23" x14ac:dyDescent="0.25">
      <c r="A405" s="3">
        <v>2005</v>
      </c>
      <c r="B405" s="3" t="s">
        <v>500</v>
      </c>
      <c r="C405" s="3" t="s">
        <v>7</v>
      </c>
      <c r="D405" s="3" t="s">
        <v>25</v>
      </c>
      <c r="E405" s="3" t="s">
        <v>151</v>
      </c>
      <c r="F405" s="3" t="s">
        <v>311</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VLOOKUP(A405,Deflactor!$G$3:$H$64,2,0),"Revisar error" )))</f>
        <v>Actualizando información</v>
      </c>
    </row>
    <row r="406" spans="1:23" x14ac:dyDescent="0.25">
      <c r="A406" s="3">
        <v>2005</v>
      </c>
      <c r="B406" s="3" t="s">
        <v>501</v>
      </c>
      <c r="C406" s="3" t="s">
        <v>92</v>
      </c>
      <c r="D406" s="3" t="s">
        <v>36</v>
      </c>
      <c r="E406" s="3" t="s">
        <v>81</v>
      </c>
      <c r="F406" s="3" t="s">
        <v>311</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VLOOKUP(A406,Deflactor!$G$3:$H$64,2,0),"Revisar error" )))</f>
        <v>Actualizando información</v>
      </c>
    </row>
    <row r="407" spans="1:23" x14ac:dyDescent="0.25">
      <c r="A407" s="3">
        <v>2005</v>
      </c>
      <c r="B407" s="3" t="s">
        <v>502</v>
      </c>
      <c r="C407" s="3" t="s">
        <v>92</v>
      </c>
      <c r="D407" s="3" t="s">
        <v>36</v>
      </c>
      <c r="E407" s="3" t="s">
        <v>81</v>
      </c>
      <c r="F407" s="3" t="s">
        <v>330</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VLOOKUP(A407,Deflactor!$G$3:$H$64,2,0),"Revisar error" )))</f>
        <v>Actualizando información</v>
      </c>
    </row>
    <row r="408" spans="1:23" x14ac:dyDescent="0.25">
      <c r="A408" s="3">
        <v>2005</v>
      </c>
      <c r="B408" s="3" t="s">
        <v>503</v>
      </c>
      <c r="C408" s="3" t="s">
        <v>7</v>
      </c>
      <c r="D408" s="3" t="s">
        <v>40</v>
      </c>
      <c r="E408" s="3" t="s">
        <v>41</v>
      </c>
      <c r="F408" s="3" t="s">
        <v>352</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VLOOKUP(A408,Deflactor!$G$3:$H$64,2,0),"Revisar error" )))</f>
        <v>Actualizando información</v>
      </c>
    </row>
    <row r="409" spans="1:23" x14ac:dyDescent="0.25">
      <c r="A409" s="3">
        <v>2005</v>
      </c>
      <c r="B409" s="3" t="s">
        <v>504</v>
      </c>
      <c r="C409" s="3" t="s">
        <v>7</v>
      </c>
      <c r="D409" s="3" t="s">
        <v>40</v>
      </c>
      <c r="E409" s="3" t="s">
        <v>41</v>
      </c>
      <c r="F409" s="3" t="s">
        <v>330</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VLOOKUP(A409,Deflactor!$G$3:$H$64,2,0),"Revisar error" )))</f>
        <v>Actualizando información</v>
      </c>
    </row>
    <row r="410" spans="1:23" x14ac:dyDescent="0.25">
      <c r="A410" s="3">
        <v>2005</v>
      </c>
      <c r="B410" s="3" t="s">
        <v>505</v>
      </c>
      <c r="C410" s="3" t="s">
        <v>7</v>
      </c>
      <c r="D410" s="3" t="s">
        <v>12</v>
      </c>
      <c r="E410" s="3" t="s">
        <v>506</v>
      </c>
      <c r="F410" s="3" t="s">
        <v>309</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VLOOKUP(A410,Deflactor!$G$3:$H$64,2,0),"Revisar error" )))</f>
        <v>Actualizando información</v>
      </c>
    </row>
    <row r="411" spans="1:23" x14ac:dyDescent="0.25">
      <c r="A411" s="3">
        <v>2005</v>
      </c>
      <c r="B411" s="3" t="s">
        <v>507</v>
      </c>
      <c r="C411" s="3" t="s">
        <v>7</v>
      </c>
      <c r="D411" s="3" t="s">
        <v>40</v>
      </c>
      <c r="E411" s="3" t="s">
        <v>41</v>
      </c>
      <c r="F411" s="3" t="s">
        <v>311</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VLOOKUP(A411,Deflactor!$G$3:$H$64,2,0),"Revisar error" )))</f>
        <v>Actualizando información</v>
      </c>
    </row>
    <row r="412" spans="1:23" x14ac:dyDescent="0.25">
      <c r="A412" s="3">
        <v>2005</v>
      </c>
      <c r="B412" s="3" t="s">
        <v>508</v>
      </c>
      <c r="C412" s="3" t="s">
        <v>155</v>
      </c>
      <c r="D412" s="3" t="s">
        <v>8</v>
      </c>
      <c r="E412" s="3" t="s">
        <v>265</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VLOOKUP(A412,Deflactor!$G$3:$H$64,2,0),"Revisar error" )))</f>
        <v>Actualizando información</v>
      </c>
    </row>
    <row r="413" spans="1:23" x14ac:dyDescent="0.25">
      <c r="A413" s="3">
        <v>2005</v>
      </c>
      <c r="B413" s="3" t="s">
        <v>509</v>
      </c>
      <c r="C413" s="3" t="s">
        <v>7</v>
      </c>
      <c r="D413" s="3" t="s">
        <v>8</v>
      </c>
      <c r="E413" s="3" t="s">
        <v>214</v>
      </c>
      <c r="F413" s="3" t="s">
        <v>330</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VLOOKUP(A413,Deflactor!$G$3:$H$64,2,0),"Revisar error" )))</f>
        <v>Actualizando información</v>
      </c>
    </row>
    <row r="414" spans="1:23" x14ac:dyDescent="0.25">
      <c r="A414" s="3">
        <v>2005</v>
      </c>
      <c r="B414" s="3" t="s">
        <v>253</v>
      </c>
      <c r="C414" s="3" t="s">
        <v>7</v>
      </c>
      <c r="D414" s="3" t="s">
        <v>8</v>
      </c>
      <c r="E414" s="3" t="s">
        <v>51</v>
      </c>
      <c r="F414" s="3" t="s">
        <v>330</v>
      </c>
      <c r="G414" s="3"/>
      <c r="H414" s="12"/>
      <c r="I414" s="13"/>
      <c r="J414" s="10"/>
      <c r="K414" s="3"/>
      <c r="L414" s="3"/>
      <c r="M414" s="3"/>
      <c r="N414" s="3"/>
      <c r="O414" s="3"/>
      <c r="P414" s="3"/>
      <c r="Q414" s="3"/>
      <c r="R414" s="3"/>
      <c r="S414" s="3"/>
      <c r="T414" s="3"/>
      <c r="U414" s="3" t="s">
        <v>253</v>
      </c>
      <c r="V414" s="3"/>
      <c r="W414" s="10" t="str">
        <f>IF( J414="s.i", "s.i", IF(ISBLANK(J414),"Actualizando información",IFERROR(J414 / VLOOKUP(A414,Deflactor!$G$3:$H$64,2,0),"Revisar error" )))</f>
        <v>Actualizando información</v>
      </c>
    </row>
    <row r="415" spans="1:23" x14ac:dyDescent="0.25">
      <c r="A415" s="3">
        <v>2005</v>
      </c>
      <c r="B415" s="3" t="s">
        <v>510</v>
      </c>
      <c r="C415" s="3" t="s">
        <v>92</v>
      </c>
      <c r="D415" s="3" t="s">
        <v>8</v>
      </c>
      <c r="E415" s="3" t="s">
        <v>214</v>
      </c>
      <c r="F415" s="3" t="s">
        <v>311</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VLOOKUP(A415,Deflactor!$G$3:$H$64,2,0),"Revisar error" )))</f>
        <v>Actualizando información</v>
      </c>
    </row>
    <row r="416" spans="1:23" x14ac:dyDescent="0.25">
      <c r="A416" s="3">
        <v>2005</v>
      </c>
      <c r="B416" s="3" t="s">
        <v>511</v>
      </c>
      <c r="C416" s="3" t="s">
        <v>7</v>
      </c>
      <c r="D416" s="3" t="s">
        <v>216</v>
      </c>
      <c r="E416" s="3" t="s">
        <v>476</v>
      </c>
      <c r="F416" s="3" t="s">
        <v>311</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VLOOKUP(A416,Deflactor!$G$3:$H$64,2,0),"Revisar error" )))</f>
        <v>Actualizando información</v>
      </c>
    </row>
    <row r="417" spans="1:23" x14ac:dyDescent="0.25">
      <c r="A417" s="3">
        <v>2005</v>
      </c>
      <c r="B417" s="3" t="s">
        <v>512</v>
      </c>
      <c r="C417" s="3" t="s">
        <v>92</v>
      </c>
      <c r="D417" s="3" t="s">
        <v>36</v>
      </c>
      <c r="E417" s="3" t="s">
        <v>37</v>
      </c>
      <c r="F417" s="3" t="s">
        <v>330</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VLOOKUP(A417,Deflactor!$G$3:$H$64,2,0),"Revisar error" )))</f>
        <v>Actualizando información</v>
      </c>
    </row>
    <row r="418" spans="1:23" x14ac:dyDescent="0.25">
      <c r="A418" s="3">
        <v>2005</v>
      </c>
      <c r="B418" s="3" t="s">
        <v>513</v>
      </c>
      <c r="C418" s="3" t="s">
        <v>7</v>
      </c>
      <c r="D418" s="3" t="s">
        <v>36</v>
      </c>
      <c r="E418" s="3" t="s">
        <v>130</v>
      </c>
      <c r="F418" s="3" t="s">
        <v>352</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VLOOKUP(A418,Deflactor!$G$3:$H$64,2,0),"Revisar error" )))</f>
        <v>Actualizando información</v>
      </c>
    </row>
    <row r="419" spans="1:23" x14ac:dyDescent="0.25">
      <c r="A419" s="3">
        <v>2005</v>
      </c>
      <c r="B419" s="3" t="s">
        <v>514</v>
      </c>
      <c r="C419" s="3" t="s">
        <v>92</v>
      </c>
      <c r="D419" s="3" t="s">
        <v>36</v>
      </c>
      <c r="E419" s="3" t="s">
        <v>81</v>
      </c>
      <c r="F419" s="3" t="s">
        <v>330</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VLOOKUP(A419,Deflactor!$G$3:$H$64,2,0),"Revisar error" )))</f>
        <v>Actualizando información</v>
      </c>
    </row>
    <row r="420" spans="1:23" x14ac:dyDescent="0.25">
      <c r="A420" s="3">
        <v>2005</v>
      </c>
      <c r="B420" s="3" t="s">
        <v>515</v>
      </c>
      <c r="C420" s="3" t="s">
        <v>7</v>
      </c>
      <c r="D420" s="3" t="s">
        <v>71</v>
      </c>
      <c r="E420" s="3" t="s">
        <v>167</v>
      </c>
      <c r="F420" s="3" t="s">
        <v>352</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VLOOKUP(A420,Deflactor!$G$3:$H$64,2,0),"Revisar error" )))</f>
        <v>Actualizando información</v>
      </c>
    </row>
    <row r="421" spans="1:23" x14ac:dyDescent="0.25">
      <c r="A421" s="3">
        <v>2004</v>
      </c>
      <c r="B421" s="3" t="s">
        <v>516</v>
      </c>
      <c r="C421" s="3" t="s">
        <v>7</v>
      </c>
      <c r="D421" s="3" t="s">
        <v>25</v>
      </c>
      <c r="E421" s="3" t="s">
        <v>410</v>
      </c>
      <c r="F421" s="3" t="s">
        <v>330</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VLOOKUP(A421,Deflactor!$G$3:$H$64,2,0),"Revisar error" )))</f>
        <v>Actualizando información</v>
      </c>
    </row>
    <row r="422" spans="1:23" x14ac:dyDescent="0.25">
      <c r="A422" s="3">
        <v>2004</v>
      </c>
      <c r="B422" s="3" t="s">
        <v>517</v>
      </c>
      <c r="C422" s="3" t="s">
        <v>7</v>
      </c>
      <c r="D422" s="3" t="s">
        <v>45</v>
      </c>
      <c r="E422" s="3" t="s">
        <v>518</v>
      </c>
      <c r="F422" s="3" t="s">
        <v>330</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VLOOKUP(A422,Deflactor!$G$3:$H$64,2,0),"Revisar error" )))</f>
        <v>Actualizando información</v>
      </c>
    </row>
    <row r="423" spans="1:23" x14ac:dyDescent="0.25">
      <c r="A423" s="3">
        <v>2004</v>
      </c>
      <c r="B423" s="3" t="s">
        <v>519</v>
      </c>
      <c r="C423" s="3" t="s">
        <v>7</v>
      </c>
      <c r="D423" s="3" t="s">
        <v>45</v>
      </c>
      <c r="E423" s="3" t="s">
        <v>520</v>
      </c>
      <c r="F423" s="3" t="s">
        <v>400</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VLOOKUP(A423,Deflactor!$G$3:$H$64,2,0),"Revisar error" )))</f>
        <v>Actualizando información</v>
      </c>
    </row>
    <row r="424" spans="1:23" x14ac:dyDescent="0.25">
      <c r="A424" s="3">
        <v>2004</v>
      </c>
      <c r="B424" s="3" t="s">
        <v>521</v>
      </c>
      <c r="C424" s="3" t="s">
        <v>7</v>
      </c>
      <c r="D424" s="3" t="s">
        <v>25</v>
      </c>
      <c r="E424" s="3" t="s">
        <v>26</v>
      </c>
      <c r="F424" s="3" t="s">
        <v>311</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VLOOKUP(A424,Deflactor!$G$3:$H$64,2,0),"Revisar error" )))</f>
        <v>Actualizando información</v>
      </c>
    </row>
    <row r="425" spans="1:23" x14ac:dyDescent="0.25">
      <c r="A425" s="3">
        <v>2004</v>
      </c>
      <c r="B425" s="3" t="s">
        <v>522</v>
      </c>
      <c r="C425" s="3" t="s">
        <v>7</v>
      </c>
      <c r="D425" s="3" t="s">
        <v>36</v>
      </c>
      <c r="E425" s="3" t="s">
        <v>37</v>
      </c>
      <c r="F425" s="3" t="s">
        <v>330</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VLOOKUP(A425,Deflactor!$G$3:$H$64,2,0),"Revisar error" )))</f>
        <v>Actualizando información</v>
      </c>
    </row>
    <row r="426" spans="1:23" x14ac:dyDescent="0.25">
      <c r="A426" s="3">
        <v>2004</v>
      </c>
      <c r="B426" s="3" t="s">
        <v>523</v>
      </c>
      <c r="C426" s="3" t="s">
        <v>7</v>
      </c>
      <c r="D426" s="3" t="s">
        <v>36</v>
      </c>
      <c r="E426" s="3" t="s">
        <v>81</v>
      </c>
      <c r="F426" s="3" t="s">
        <v>352</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VLOOKUP(A426,Deflactor!$G$3:$H$64,2,0),"Revisar error" )))</f>
        <v>Actualizando información</v>
      </c>
    </row>
    <row r="427" spans="1:23" x14ac:dyDescent="0.25">
      <c r="A427" s="3">
        <v>2004</v>
      </c>
      <c r="B427" s="3" t="s">
        <v>524</v>
      </c>
      <c r="C427" s="3" t="s">
        <v>7</v>
      </c>
      <c r="D427" s="3" t="s">
        <v>445</v>
      </c>
      <c r="E427" s="3" t="s">
        <v>525</v>
      </c>
      <c r="F427" s="3" t="s">
        <v>330</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VLOOKUP(A427,Deflactor!$G$3:$H$64,2,0),"Revisar error" )))</f>
        <v>Actualizando información</v>
      </c>
    </row>
    <row r="428" spans="1:23" x14ac:dyDescent="0.25">
      <c r="A428" s="3">
        <v>2004</v>
      </c>
      <c r="B428" s="3" t="s">
        <v>526</v>
      </c>
      <c r="C428" s="3" t="s">
        <v>7</v>
      </c>
      <c r="D428" s="3" t="s">
        <v>291</v>
      </c>
      <c r="E428" s="3" t="s">
        <v>21</v>
      </c>
      <c r="F428" s="3" t="s">
        <v>311</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VLOOKUP(A428,Deflactor!$G$3:$H$64,2,0),"Revisar error" )))</f>
        <v>Actualizando información</v>
      </c>
    </row>
    <row r="429" spans="1:23" x14ac:dyDescent="0.25">
      <c r="A429" s="3">
        <v>2004</v>
      </c>
      <c r="B429" s="3" t="s">
        <v>527</v>
      </c>
      <c r="C429" s="3" t="s">
        <v>7</v>
      </c>
      <c r="D429" s="3" t="s">
        <v>71</v>
      </c>
      <c r="E429" s="3" t="s">
        <v>167</v>
      </c>
      <c r="F429" s="3" t="s">
        <v>311</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VLOOKUP(A429,Deflactor!$G$3:$H$64,2,0),"Revisar error" )))</f>
        <v>Actualizando información</v>
      </c>
    </row>
    <row r="430" spans="1:23" x14ac:dyDescent="0.25">
      <c r="A430" s="3">
        <v>2004</v>
      </c>
      <c r="B430" s="3" t="s">
        <v>528</v>
      </c>
      <c r="C430" s="3" t="s">
        <v>92</v>
      </c>
      <c r="D430" s="3" t="s">
        <v>64</v>
      </c>
      <c r="E430" s="3" t="s">
        <v>128</v>
      </c>
      <c r="F430" s="3" t="s">
        <v>311</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VLOOKUP(A430,Deflactor!$G$3:$H$64,2,0),"Revisar error" )))</f>
        <v>Actualizando información</v>
      </c>
    </row>
    <row r="431" spans="1:23" x14ac:dyDescent="0.25">
      <c r="A431" s="3">
        <v>2004</v>
      </c>
      <c r="B431" s="3" t="s">
        <v>529</v>
      </c>
      <c r="C431" s="3" t="s">
        <v>92</v>
      </c>
      <c r="D431" s="3" t="s">
        <v>12</v>
      </c>
      <c r="E431" s="3" t="s">
        <v>13</v>
      </c>
      <c r="F431" s="3" t="s">
        <v>311</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VLOOKUP(A431,Deflactor!$G$3:$H$64,2,0),"Revisar error" )))</f>
        <v>Actualizando información</v>
      </c>
    </row>
    <row r="432" spans="1:23" x14ac:dyDescent="0.25">
      <c r="A432" s="3">
        <v>2004</v>
      </c>
      <c r="B432" s="3" t="s">
        <v>530</v>
      </c>
      <c r="C432" s="3" t="s">
        <v>92</v>
      </c>
      <c r="D432" s="3" t="s">
        <v>20</v>
      </c>
      <c r="E432" s="3" t="s">
        <v>120</v>
      </c>
      <c r="F432" s="3" t="s">
        <v>330</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VLOOKUP(A432,Deflactor!$G$3:$H$64,2,0),"Revisar error" )))</f>
        <v>Actualizando información</v>
      </c>
    </row>
    <row r="433" spans="1:23" x14ac:dyDescent="0.25">
      <c r="A433" s="3">
        <v>2004</v>
      </c>
      <c r="B433" s="3" t="s">
        <v>531</v>
      </c>
      <c r="C433" s="3" t="s">
        <v>92</v>
      </c>
      <c r="D433" s="3" t="s">
        <v>12</v>
      </c>
      <c r="E433" s="3" t="s">
        <v>61</v>
      </c>
      <c r="F433" s="3" t="s">
        <v>311</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VLOOKUP(A433,Deflactor!$G$3:$H$64,2,0),"Revisar error" )))</f>
        <v>Actualizando información</v>
      </c>
    </row>
    <row r="434" spans="1:23" x14ac:dyDescent="0.25">
      <c r="A434" s="3">
        <v>2004</v>
      </c>
      <c r="B434" s="3" t="s">
        <v>532</v>
      </c>
      <c r="C434" s="3" t="s">
        <v>92</v>
      </c>
      <c r="D434" s="3" t="s">
        <v>8</v>
      </c>
      <c r="E434" s="3" t="s">
        <v>214</v>
      </c>
      <c r="F434" s="3" t="s">
        <v>311</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VLOOKUP(A434,Deflactor!$G$3:$H$64,2,0),"Revisar error" )))</f>
        <v>Actualizando información</v>
      </c>
    </row>
    <row r="435" spans="1:23" x14ac:dyDescent="0.25">
      <c r="A435" s="3">
        <v>2004</v>
      </c>
      <c r="B435" s="3" t="s">
        <v>533</v>
      </c>
      <c r="C435" s="3" t="s">
        <v>155</v>
      </c>
      <c r="D435" s="3" t="s">
        <v>291</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VLOOKUP(A435,Deflactor!$G$3:$H$64,2,0),"Revisar error" )))</f>
        <v>Actualizando información</v>
      </c>
    </row>
    <row r="436" spans="1:23" x14ac:dyDescent="0.25">
      <c r="A436" s="3">
        <v>2004</v>
      </c>
      <c r="B436" s="3" t="s">
        <v>534</v>
      </c>
      <c r="C436" s="3" t="s">
        <v>7</v>
      </c>
      <c r="D436" s="3" t="s">
        <v>234</v>
      </c>
      <c r="E436" s="3" t="s">
        <v>235</v>
      </c>
      <c r="F436" s="3" t="s">
        <v>330</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VLOOKUP(A436,Deflactor!$G$3:$H$64,2,0),"Revisar error" )))</f>
        <v>Actualizando información</v>
      </c>
    </row>
    <row r="437" spans="1:23" x14ac:dyDescent="0.25">
      <c r="A437" s="3">
        <v>2004</v>
      </c>
      <c r="B437" s="3" t="s">
        <v>535</v>
      </c>
      <c r="C437" s="3" t="s">
        <v>7</v>
      </c>
      <c r="D437" s="3" t="s">
        <v>32</v>
      </c>
      <c r="E437" s="3" t="s">
        <v>33</v>
      </c>
      <c r="F437" s="3" t="s">
        <v>400</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VLOOKUP(A437,Deflactor!$G$3:$H$64,2,0),"Revisar error" )))</f>
        <v>Actualizando información</v>
      </c>
    </row>
    <row r="438" spans="1:23" x14ac:dyDescent="0.25">
      <c r="A438" s="3">
        <v>2004</v>
      </c>
      <c r="B438" s="3" t="s">
        <v>536</v>
      </c>
      <c r="C438" s="3" t="s">
        <v>92</v>
      </c>
      <c r="D438" s="3" t="s">
        <v>54</v>
      </c>
      <c r="E438" s="3" t="s">
        <v>55</v>
      </c>
      <c r="F438" s="3" t="s">
        <v>330</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VLOOKUP(A438,Deflactor!$G$3:$H$64,2,0),"Revisar error" )))</f>
        <v>Actualizando información</v>
      </c>
    </row>
    <row r="439" spans="1:23" x14ac:dyDescent="0.25">
      <c r="A439" s="3">
        <v>2004</v>
      </c>
      <c r="B439" s="3" t="s">
        <v>537</v>
      </c>
      <c r="C439" s="3" t="s">
        <v>92</v>
      </c>
      <c r="D439" s="3" t="s">
        <v>54</v>
      </c>
      <c r="E439" s="3" t="s">
        <v>55</v>
      </c>
      <c r="F439" s="3" t="s">
        <v>330</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VLOOKUP(A439,Deflactor!$G$3:$H$64,2,0),"Revisar error" )))</f>
        <v>Actualizando información</v>
      </c>
    </row>
    <row r="440" spans="1:23" x14ac:dyDescent="0.25">
      <c r="A440" s="3">
        <v>2004</v>
      </c>
      <c r="B440" s="3" t="s">
        <v>538</v>
      </c>
      <c r="C440" s="3" t="s">
        <v>92</v>
      </c>
      <c r="D440" s="3" t="s">
        <v>54</v>
      </c>
      <c r="E440" s="3" t="s">
        <v>55</v>
      </c>
      <c r="F440" s="3" t="s">
        <v>330</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VLOOKUP(A440,Deflactor!$G$3:$H$64,2,0),"Revisar error" )))</f>
        <v>Actualizando información</v>
      </c>
    </row>
    <row r="441" spans="1:23" x14ac:dyDescent="0.25">
      <c r="A441" s="3">
        <v>2004</v>
      </c>
      <c r="B441" s="3" t="s">
        <v>539</v>
      </c>
      <c r="C441" s="3" t="s">
        <v>92</v>
      </c>
      <c r="D441" s="3" t="s">
        <v>54</v>
      </c>
      <c r="E441" s="3" t="s">
        <v>55</v>
      </c>
      <c r="F441" s="3" t="s">
        <v>352</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VLOOKUP(A441,Deflactor!$G$3:$H$64,2,0),"Revisar error" )))</f>
        <v>Actualizando información</v>
      </c>
    </row>
    <row r="442" spans="1:23" x14ac:dyDescent="0.25">
      <c r="A442" s="3">
        <v>2004</v>
      </c>
      <c r="B442" s="3" t="s">
        <v>540</v>
      </c>
      <c r="C442" s="3" t="s">
        <v>92</v>
      </c>
      <c r="D442" s="3" t="s">
        <v>54</v>
      </c>
      <c r="E442" s="3" t="s">
        <v>55</v>
      </c>
      <c r="F442" s="3" t="s">
        <v>311</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VLOOKUP(A442,Deflactor!$G$3:$H$64,2,0),"Revisar error" )))</f>
        <v>Actualizando información</v>
      </c>
    </row>
    <row r="443" spans="1:23" x14ac:dyDescent="0.25">
      <c r="A443" s="3">
        <v>2004</v>
      </c>
      <c r="B443" s="3" t="s">
        <v>541</v>
      </c>
      <c r="C443" s="3" t="s">
        <v>92</v>
      </c>
      <c r="D443" s="3" t="s">
        <v>54</v>
      </c>
      <c r="E443" s="3" t="s">
        <v>55</v>
      </c>
      <c r="F443" s="3" t="s">
        <v>352</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VLOOKUP(A443,Deflactor!$G$3:$H$64,2,0),"Revisar error" )))</f>
        <v>Actualizando información</v>
      </c>
    </row>
    <row r="444" spans="1:23" x14ac:dyDescent="0.25">
      <c r="A444" s="3">
        <v>2004</v>
      </c>
      <c r="B444" s="3" t="s">
        <v>542</v>
      </c>
      <c r="C444" s="3" t="s">
        <v>92</v>
      </c>
      <c r="D444" s="3" t="s">
        <v>64</v>
      </c>
      <c r="E444" s="3" t="s">
        <v>65</v>
      </c>
      <c r="F444" s="3" t="s">
        <v>330</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VLOOKUP(A444,Deflactor!$G$3:$H$64,2,0),"Revisar error" )))</f>
        <v>Actualizando información</v>
      </c>
    </row>
    <row r="445" spans="1:23" x14ac:dyDescent="0.25">
      <c r="A445" s="3">
        <v>2004</v>
      </c>
      <c r="B445" s="3" t="s">
        <v>543</v>
      </c>
      <c r="C445" s="3" t="s">
        <v>7</v>
      </c>
      <c r="D445" s="3" t="s">
        <v>64</v>
      </c>
      <c r="E445" s="3" t="s">
        <v>128</v>
      </c>
      <c r="F445" s="3" t="s">
        <v>352</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VLOOKUP(A445,Deflactor!$G$3:$H$64,2,0),"Revisar error" )))</f>
        <v>Actualizando información</v>
      </c>
    </row>
    <row r="446" spans="1:23" x14ac:dyDescent="0.25">
      <c r="A446" s="3">
        <v>2004</v>
      </c>
      <c r="B446" s="3" t="s">
        <v>544</v>
      </c>
      <c r="C446" s="3" t="s">
        <v>155</v>
      </c>
      <c r="D446" s="3" t="s">
        <v>445</v>
      </c>
      <c r="E446" s="3" t="s">
        <v>545</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VLOOKUP(A446,Deflactor!$G$3:$H$64,2,0),"Revisar error" )))</f>
        <v>Actualizando información</v>
      </c>
    </row>
    <row r="447" spans="1:23" x14ac:dyDescent="0.25">
      <c r="A447" s="3">
        <v>2004</v>
      </c>
      <c r="B447" s="3" t="s">
        <v>546</v>
      </c>
      <c r="C447" s="3" t="s">
        <v>155</v>
      </c>
      <c r="D447" s="3" t="s">
        <v>445</v>
      </c>
      <c r="E447" s="3" t="s">
        <v>547</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VLOOKUP(A447,Deflactor!$G$3:$H$64,2,0),"Revisar error" )))</f>
        <v>Actualizando información</v>
      </c>
    </row>
    <row r="448" spans="1:23" x14ac:dyDescent="0.25">
      <c r="A448" s="3">
        <v>2004</v>
      </c>
      <c r="B448" s="3" t="s">
        <v>548</v>
      </c>
      <c r="C448" s="3" t="s">
        <v>155</v>
      </c>
      <c r="D448" s="3" t="s">
        <v>445</v>
      </c>
      <c r="E448" s="3" t="s">
        <v>548</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VLOOKUP(A448,Deflactor!$G$3:$H$64,2,0),"Revisar error" )))</f>
        <v>Actualizando información</v>
      </c>
    </row>
    <row r="449" spans="1:23" x14ac:dyDescent="0.25">
      <c r="A449" s="3">
        <v>2004</v>
      </c>
      <c r="B449" s="3" t="s">
        <v>549</v>
      </c>
      <c r="C449" s="3" t="s">
        <v>92</v>
      </c>
      <c r="D449" s="3" t="s">
        <v>36</v>
      </c>
      <c r="E449" s="3" t="s">
        <v>37</v>
      </c>
      <c r="F449" s="3" t="s">
        <v>352</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VLOOKUP(A449,Deflactor!$G$3:$H$64,2,0),"Revisar error" )))</f>
        <v>Actualizando información</v>
      </c>
    </row>
    <row r="450" spans="1:23" x14ac:dyDescent="0.25">
      <c r="A450" s="3">
        <v>2004</v>
      </c>
      <c r="B450" s="3" t="s">
        <v>550</v>
      </c>
      <c r="C450" s="3" t="s">
        <v>92</v>
      </c>
      <c r="D450" s="3" t="s">
        <v>216</v>
      </c>
      <c r="E450" s="3" t="s">
        <v>457</v>
      </c>
      <c r="F450" s="3" t="s">
        <v>352</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VLOOKUP(A450,Deflactor!$G$3:$H$64,2,0),"Revisar error" )))</f>
        <v>Actualizando información</v>
      </c>
    </row>
    <row r="451" spans="1:23" x14ac:dyDescent="0.25">
      <c r="A451" s="3">
        <v>2004</v>
      </c>
      <c r="B451" s="3" t="s">
        <v>551</v>
      </c>
      <c r="C451" s="3" t="s">
        <v>7</v>
      </c>
      <c r="D451" s="3" t="s">
        <v>25</v>
      </c>
      <c r="E451" s="3" t="s">
        <v>26</v>
      </c>
      <c r="F451" s="3" t="s">
        <v>352</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VLOOKUP(A451,Deflactor!$G$3:$H$64,2,0),"Revisar error" )))</f>
        <v>Actualizando información</v>
      </c>
    </row>
    <row r="452" spans="1:23" x14ac:dyDescent="0.25">
      <c r="A452" s="3">
        <v>2003</v>
      </c>
      <c r="B452" s="3" t="s">
        <v>208</v>
      </c>
      <c r="C452" s="3" t="s">
        <v>7</v>
      </c>
      <c r="D452" s="3" t="s">
        <v>40</v>
      </c>
      <c r="E452" s="3" t="s">
        <v>160</v>
      </c>
      <c r="F452" s="3" t="s">
        <v>330</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VLOOKUP(A452,Deflactor!$G$3:$H$64,2,0),"Revisar error" )))</f>
        <v>Actualizando información</v>
      </c>
    </row>
    <row r="453" spans="1:23" x14ac:dyDescent="0.25">
      <c r="A453" s="3">
        <v>2003</v>
      </c>
      <c r="B453" s="3" t="s">
        <v>552</v>
      </c>
      <c r="C453" s="3" t="s">
        <v>7</v>
      </c>
      <c r="D453" s="3" t="s">
        <v>291</v>
      </c>
      <c r="E453" s="3" t="s">
        <v>553</v>
      </c>
      <c r="F453" s="3" t="s">
        <v>311</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VLOOKUP(A453,Deflactor!$G$3:$H$64,2,0),"Revisar error" )))</f>
        <v>Actualizando información</v>
      </c>
    </row>
    <row r="454" spans="1:23" x14ac:dyDescent="0.25">
      <c r="A454" s="3">
        <v>2003</v>
      </c>
      <c r="B454" s="3" t="s">
        <v>554</v>
      </c>
      <c r="C454" s="3" t="s">
        <v>7</v>
      </c>
      <c r="D454" s="3" t="s">
        <v>291</v>
      </c>
      <c r="E454" s="3" t="s">
        <v>176</v>
      </c>
      <c r="F454" s="3" t="s">
        <v>400</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VLOOKUP(A454,Deflactor!$G$3:$H$64,2,0),"Revisar error" )))</f>
        <v>Actualizando información</v>
      </c>
    </row>
    <row r="455" spans="1:23" x14ac:dyDescent="0.25">
      <c r="A455" s="3">
        <v>2003</v>
      </c>
      <c r="B455" s="3" t="s">
        <v>555</v>
      </c>
      <c r="C455" s="3" t="s">
        <v>7</v>
      </c>
      <c r="D455" s="3" t="s">
        <v>291</v>
      </c>
      <c r="E455" s="3" t="s">
        <v>176</v>
      </c>
      <c r="F455" s="3" t="s">
        <v>311</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VLOOKUP(A455,Deflactor!$G$3:$H$64,2,0),"Revisar error" )))</f>
        <v>Actualizando información</v>
      </c>
    </row>
    <row r="456" spans="1:23" x14ac:dyDescent="0.25">
      <c r="A456" s="3">
        <v>2003</v>
      </c>
      <c r="B456" s="3" t="s">
        <v>556</v>
      </c>
      <c r="C456" s="3" t="s">
        <v>92</v>
      </c>
      <c r="D456" s="3" t="s">
        <v>291</v>
      </c>
      <c r="E456" s="3" t="s">
        <v>120</v>
      </c>
      <c r="F456" s="3" t="s">
        <v>330</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VLOOKUP(A456,Deflactor!$G$3:$H$64,2,0),"Revisar error" )))</f>
        <v>Actualizando información</v>
      </c>
    </row>
    <row r="457" spans="1:23" x14ac:dyDescent="0.25">
      <c r="A457" s="3">
        <v>2003</v>
      </c>
      <c r="B457" s="3" t="s">
        <v>557</v>
      </c>
      <c r="C457" s="3" t="s">
        <v>7</v>
      </c>
      <c r="D457" s="3" t="s">
        <v>234</v>
      </c>
      <c r="E457" s="3" t="s">
        <v>345</v>
      </c>
      <c r="F457" s="3" t="s">
        <v>311</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VLOOKUP(A457,Deflactor!$G$3:$H$64,2,0),"Revisar error" )))</f>
        <v>Actualizando información</v>
      </c>
    </row>
    <row r="458" spans="1:23" x14ac:dyDescent="0.25">
      <c r="A458" s="3">
        <v>2003</v>
      </c>
      <c r="B458" s="3" t="s">
        <v>558</v>
      </c>
      <c r="C458" s="3" t="s">
        <v>7</v>
      </c>
      <c r="D458" s="3" t="s">
        <v>54</v>
      </c>
      <c r="E458" s="3" t="s">
        <v>244</v>
      </c>
      <c r="F458" s="3" t="s">
        <v>330</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VLOOKUP(A458,Deflactor!$G$3:$H$64,2,0),"Revisar error" )))</f>
        <v>Actualizando información</v>
      </c>
    </row>
    <row r="459" spans="1:23" x14ac:dyDescent="0.25">
      <c r="A459" s="3">
        <v>2003</v>
      </c>
      <c r="B459" s="3" t="s">
        <v>559</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VLOOKUP(A459,Deflactor!$G$3:$H$64,2,0),"Revisar error" )))</f>
        <v>Actualizando información</v>
      </c>
    </row>
    <row r="460" spans="1:23" x14ac:dyDescent="0.25">
      <c r="A460" s="3">
        <v>2003</v>
      </c>
      <c r="B460" s="3" t="s">
        <v>560</v>
      </c>
      <c r="C460" s="3" t="s">
        <v>155</v>
      </c>
      <c r="D460" s="3" t="s">
        <v>445</v>
      </c>
      <c r="E460" s="3" t="s">
        <v>560</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VLOOKUP(A460,Deflactor!$G$3:$H$64,2,0),"Revisar error" )))</f>
        <v>Actualizando información</v>
      </c>
    </row>
    <row r="461" spans="1:23" x14ac:dyDescent="0.25">
      <c r="A461" s="3">
        <v>2003</v>
      </c>
      <c r="B461" s="3" t="s">
        <v>561</v>
      </c>
      <c r="C461" s="3" t="s">
        <v>7</v>
      </c>
      <c r="D461" s="3" t="s">
        <v>40</v>
      </c>
      <c r="E461" s="3" t="s">
        <v>41</v>
      </c>
      <c r="F461" s="3" t="s">
        <v>309</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VLOOKUP(A461,Deflactor!$G$3:$H$64,2,0),"Revisar error" )))</f>
        <v>Actualizando información</v>
      </c>
    </row>
    <row r="462" spans="1:23" x14ac:dyDescent="0.25">
      <c r="A462" s="3">
        <v>2003</v>
      </c>
      <c r="B462" s="3" t="s">
        <v>562</v>
      </c>
      <c r="C462" s="3" t="s">
        <v>7</v>
      </c>
      <c r="D462" s="3" t="s">
        <v>36</v>
      </c>
      <c r="E462" s="3" t="s">
        <v>37</v>
      </c>
      <c r="F462" s="3" t="s">
        <v>330</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VLOOKUP(A462,Deflactor!$G$3:$H$64,2,0),"Revisar error" )))</f>
        <v>Actualizando información</v>
      </c>
    </row>
    <row r="463" spans="1:23" x14ac:dyDescent="0.25">
      <c r="A463" s="3">
        <v>2003</v>
      </c>
      <c r="B463" s="3" t="s">
        <v>563</v>
      </c>
      <c r="C463" s="3" t="s">
        <v>7</v>
      </c>
      <c r="D463" s="3" t="s">
        <v>36</v>
      </c>
      <c r="E463" s="3" t="s">
        <v>37</v>
      </c>
      <c r="F463" s="3" t="s">
        <v>311</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VLOOKUP(A463,Deflactor!$G$3:$H$64,2,0),"Revisar error" )))</f>
        <v>Actualizando información</v>
      </c>
    </row>
    <row r="464" spans="1:23" x14ac:dyDescent="0.25">
      <c r="A464" s="3">
        <v>2003</v>
      </c>
      <c r="B464" s="3" t="s">
        <v>564</v>
      </c>
      <c r="C464" s="3" t="s">
        <v>92</v>
      </c>
      <c r="D464" s="3" t="s">
        <v>25</v>
      </c>
      <c r="E464" s="3" t="s">
        <v>26</v>
      </c>
      <c r="F464" s="3" t="s">
        <v>309</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VLOOKUP(A464,Deflactor!$G$3:$H$64,2,0),"Revisar error" )))</f>
        <v>Actualizando información</v>
      </c>
    </row>
    <row r="465" spans="1:23" x14ac:dyDescent="0.25">
      <c r="A465" s="3">
        <v>2003</v>
      </c>
      <c r="B465" s="3" t="s">
        <v>565</v>
      </c>
      <c r="C465" s="3" t="s">
        <v>92</v>
      </c>
      <c r="D465" s="3" t="s">
        <v>25</v>
      </c>
      <c r="E465" s="3" t="s">
        <v>26</v>
      </c>
      <c r="F465" s="3" t="s">
        <v>311</v>
      </c>
      <c r="G465" s="3"/>
      <c r="H465" s="12"/>
      <c r="I465" s="13"/>
      <c r="J465" s="10"/>
      <c r="K465" s="3"/>
      <c r="L465" s="3"/>
      <c r="M465" s="3"/>
      <c r="N465" s="3"/>
      <c r="O465" s="3"/>
      <c r="P465" s="3"/>
      <c r="Q465" s="3"/>
      <c r="R465" s="3"/>
      <c r="S465" s="3"/>
      <c r="T465" s="3"/>
      <c r="U465" s="3" t="s">
        <v>565</v>
      </c>
      <c r="V465" s="3"/>
      <c r="W465" s="10" t="str">
        <f>IF( J465="s.i", "s.i", IF(ISBLANK(J465),"Actualizando información",IFERROR(J465 / VLOOKUP(A465,Deflactor!$G$3:$H$64,2,0),"Revisar error" )))</f>
        <v>Actualizando información</v>
      </c>
    </row>
    <row r="466" spans="1:23" x14ac:dyDescent="0.25">
      <c r="A466" s="3">
        <v>2003</v>
      </c>
      <c r="B466" s="3" t="s">
        <v>566</v>
      </c>
      <c r="C466" s="3" t="s">
        <v>7</v>
      </c>
      <c r="D466" s="3" t="s">
        <v>25</v>
      </c>
      <c r="E466" s="3" t="s">
        <v>26</v>
      </c>
      <c r="F466" s="3" t="s">
        <v>309</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VLOOKUP(A466,Deflactor!$G$3:$H$64,2,0),"Revisar error" )))</f>
        <v>Actualizando información</v>
      </c>
    </row>
    <row r="467" spans="1:23" x14ac:dyDescent="0.25">
      <c r="A467" s="3">
        <v>2003</v>
      </c>
      <c r="B467" s="3" t="s">
        <v>567</v>
      </c>
      <c r="C467" s="3" t="s">
        <v>7</v>
      </c>
      <c r="D467" s="3" t="s">
        <v>12</v>
      </c>
      <c r="E467" s="3" t="s">
        <v>404</v>
      </c>
      <c r="F467" s="3" t="s">
        <v>330</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VLOOKUP(A467,Deflactor!$G$3:$H$64,2,0),"Revisar error" )))</f>
        <v>Actualizando información</v>
      </c>
    </row>
    <row r="468" spans="1:23" x14ac:dyDescent="0.25">
      <c r="A468" s="3">
        <v>2003</v>
      </c>
      <c r="B468" s="3" t="s">
        <v>568</v>
      </c>
      <c r="C468" s="3" t="s">
        <v>7</v>
      </c>
      <c r="D468" s="3" t="s">
        <v>25</v>
      </c>
      <c r="E468" s="3" t="s">
        <v>151</v>
      </c>
      <c r="F468" s="3" t="s">
        <v>352</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VLOOKUP(A468,Deflactor!$G$3:$H$64,2,0),"Revisar error" )))</f>
        <v>Actualizando información</v>
      </c>
    </row>
    <row r="469" spans="1:23" x14ac:dyDescent="0.25">
      <c r="A469" s="3">
        <v>2003</v>
      </c>
      <c r="B469" s="3" t="s">
        <v>569</v>
      </c>
      <c r="C469" s="3" t="s">
        <v>92</v>
      </c>
      <c r="D469" s="3" t="s">
        <v>36</v>
      </c>
      <c r="E469" s="3" t="s">
        <v>37</v>
      </c>
      <c r="F469" s="3" t="s">
        <v>330</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VLOOKUP(A469,Deflactor!$G$3:$H$64,2,0),"Revisar error" )))</f>
        <v>Actualizando información</v>
      </c>
    </row>
    <row r="470" spans="1:23" x14ac:dyDescent="0.25">
      <c r="A470" s="3">
        <v>2003</v>
      </c>
      <c r="B470" s="3" t="s">
        <v>570</v>
      </c>
      <c r="C470" s="3" t="s">
        <v>7</v>
      </c>
      <c r="D470" s="3" t="s">
        <v>64</v>
      </c>
      <c r="E470" s="3" t="s">
        <v>571</v>
      </c>
      <c r="F470" s="3" t="s">
        <v>352</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VLOOKUP(A470,Deflactor!$G$3:$H$64,2,0),"Revisar error" )))</f>
        <v>Actualizando información</v>
      </c>
    </row>
    <row r="471" spans="1:23" x14ac:dyDescent="0.25">
      <c r="A471" s="3">
        <v>2002</v>
      </c>
      <c r="B471" s="3" t="s">
        <v>572</v>
      </c>
      <c r="C471" s="3" t="s">
        <v>7</v>
      </c>
      <c r="D471" s="3" t="s">
        <v>45</v>
      </c>
      <c r="E471" s="3" t="s">
        <v>520</v>
      </c>
      <c r="F471" s="3" t="s">
        <v>352</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VLOOKUP(A471,Deflactor!$G$3:$H$64,2,0),"Revisar error" )))</f>
        <v>Actualizando información</v>
      </c>
    </row>
    <row r="472" spans="1:23" x14ac:dyDescent="0.25">
      <c r="A472" s="3">
        <v>2002</v>
      </c>
      <c r="B472" s="3" t="s">
        <v>573</v>
      </c>
      <c r="C472" s="3" t="s">
        <v>7</v>
      </c>
      <c r="D472" s="3" t="s">
        <v>12</v>
      </c>
      <c r="E472" s="3" t="s">
        <v>472</v>
      </c>
      <c r="F472" s="3" t="s">
        <v>400</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VLOOKUP(A472,Deflactor!$G$3:$H$64,2,0),"Revisar error" )))</f>
        <v>Actualizando información</v>
      </c>
    </row>
    <row r="473" spans="1:23" x14ac:dyDescent="0.25">
      <c r="A473" s="3">
        <v>2002</v>
      </c>
      <c r="B473" s="3" t="s">
        <v>574</v>
      </c>
      <c r="C473" s="3" t="s">
        <v>7</v>
      </c>
      <c r="D473" s="3" t="s">
        <v>36</v>
      </c>
      <c r="E473" s="3" t="s">
        <v>37</v>
      </c>
      <c r="F473" s="3" t="s">
        <v>352</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VLOOKUP(A473,Deflactor!$G$3:$H$64,2,0),"Revisar error" )))</f>
        <v>Actualizando información</v>
      </c>
    </row>
    <row r="474" spans="1:23" x14ac:dyDescent="0.25">
      <c r="A474" s="3">
        <v>2002</v>
      </c>
      <c r="B474" s="3" t="s">
        <v>575</v>
      </c>
      <c r="C474" s="3" t="s">
        <v>7</v>
      </c>
      <c r="D474" s="3" t="s">
        <v>36</v>
      </c>
      <c r="E474" s="3" t="s">
        <v>37</v>
      </c>
      <c r="F474" s="3" t="s">
        <v>309</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VLOOKUP(A474,Deflactor!$G$3:$H$64,2,0),"Revisar error" )))</f>
        <v>Actualizando información</v>
      </c>
    </row>
    <row r="475" spans="1:23" x14ac:dyDescent="0.25">
      <c r="A475" s="3">
        <v>2002</v>
      </c>
      <c r="B475" s="3" t="s">
        <v>576</v>
      </c>
      <c r="C475" s="3" t="s">
        <v>155</v>
      </c>
      <c r="D475" s="3" t="s">
        <v>8</v>
      </c>
      <c r="E475" s="3" t="s">
        <v>265</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VLOOKUP(A475,Deflactor!$G$3:$H$64,2,0),"Revisar error" )))</f>
        <v>Actualizando información</v>
      </c>
    </row>
    <row r="476" spans="1:23" x14ac:dyDescent="0.25">
      <c r="A476" s="3">
        <v>2002</v>
      </c>
      <c r="B476" s="3" t="s">
        <v>577</v>
      </c>
      <c r="C476" s="3" t="s">
        <v>155</v>
      </c>
      <c r="D476" s="3" t="s">
        <v>8</v>
      </c>
      <c r="E476" s="3" t="s">
        <v>265</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VLOOKUP(A476,Deflactor!$G$3:$H$64,2,0),"Revisar error" )))</f>
        <v>Actualizando información</v>
      </c>
    </row>
    <row r="477" spans="1:23" x14ac:dyDescent="0.25">
      <c r="A477" s="3">
        <v>2002</v>
      </c>
      <c r="B477" s="3" t="s">
        <v>578</v>
      </c>
      <c r="C477" s="3" t="s">
        <v>155</v>
      </c>
      <c r="D477" s="3" t="s">
        <v>8</v>
      </c>
      <c r="E477" s="3" t="s">
        <v>265</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VLOOKUP(A477,Deflactor!$G$3:$H$64,2,0),"Revisar error" )))</f>
        <v>Actualizando información</v>
      </c>
    </row>
    <row r="478" spans="1:23" x14ac:dyDescent="0.25">
      <c r="A478" s="3">
        <v>2002</v>
      </c>
      <c r="B478" s="3" t="s">
        <v>579</v>
      </c>
      <c r="C478" s="3" t="s">
        <v>155</v>
      </c>
      <c r="D478" s="3" t="s">
        <v>8</v>
      </c>
      <c r="E478" s="3" t="s">
        <v>265</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VLOOKUP(A478,Deflactor!$G$3:$H$64,2,0),"Revisar error" )))</f>
        <v>Actualizando información</v>
      </c>
    </row>
    <row r="479" spans="1:23" x14ac:dyDescent="0.25">
      <c r="A479" s="3">
        <v>2002</v>
      </c>
      <c r="B479" s="3" t="s">
        <v>580</v>
      </c>
      <c r="C479" s="3" t="s">
        <v>155</v>
      </c>
      <c r="D479" s="3" t="s">
        <v>8</v>
      </c>
      <c r="E479" s="3" t="s">
        <v>265</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VLOOKUP(A479,Deflactor!$G$3:$H$64,2,0),"Revisar error" )))</f>
        <v>Actualizando información</v>
      </c>
    </row>
    <row r="480" spans="1:23" x14ac:dyDescent="0.25">
      <c r="A480" s="3">
        <v>2002</v>
      </c>
      <c r="B480" s="3" t="s">
        <v>581</v>
      </c>
      <c r="C480" s="3" t="s">
        <v>155</v>
      </c>
      <c r="D480" s="3" t="s">
        <v>8</v>
      </c>
      <c r="E480" s="3" t="s">
        <v>265</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VLOOKUP(A480,Deflactor!$G$3:$H$64,2,0),"Revisar error" )))</f>
        <v>Actualizando información</v>
      </c>
    </row>
    <row r="481" spans="1:23" x14ac:dyDescent="0.25">
      <c r="A481" s="3">
        <v>2002</v>
      </c>
      <c r="B481" s="3" t="s">
        <v>582</v>
      </c>
      <c r="C481" s="3" t="s">
        <v>7</v>
      </c>
      <c r="D481" s="3" t="s">
        <v>64</v>
      </c>
      <c r="E481" s="3" t="s">
        <v>583</v>
      </c>
      <c r="F481" s="3" t="s">
        <v>400</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VLOOKUP(A481,Deflactor!$G$3:$H$64,2,0),"Revisar error" )))</f>
        <v>Actualizando información</v>
      </c>
    </row>
    <row r="482" spans="1:23" x14ac:dyDescent="0.25">
      <c r="A482" s="3">
        <v>2002</v>
      </c>
      <c r="B482" s="3" t="s">
        <v>584</v>
      </c>
      <c r="C482" s="3" t="s">
        <v>7</v>
      </c>
      <c r="D482" s="3" t="s">
        <v>54</v>
      </c>
      <c r="E482" s="3" t="s">
        <v>237</v>
      </c>
      <c r="F482" s="3" t="s">
        <v>311</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VLOOKUP(A482,Deflactor!$G$3:$H$64,2,0),"Revisar error" )))</f>
        <v>Actualizando información</v>
      </c>
    </row>
    <row r="483" spans="1:23" x14ac:dyDescent="0.25">
      <c r="A483" s="3">
        <v>2002</v>
      </c>
      <c r="B483" s="3" t="s">
        <v>585</v>
      </c>
      <c r="C483" s="3" t="s">
        <v>92</v>
      </c>
      <c r="D483" s="3" t="s">
        <v>159</v>
      </c>
      <c r="E483" s="3" t="s">
        <v>160</v>
      </c>
      <c r="F483" s="3" t="s">
        <v>311</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VLOOKUP(A483,Deflactor!$G$3:$H$64,2,0),"Revisar error" )))</f>
        <v>Actualizando información</v>
      </c>
    </row>
    <row r="484" spans="1:23" x14ac:dyDescent="0.25">
      <c r="A484" s="3">
        <v>2002</v>
      </c>
      <c r="B484" s="3" t="s">
        <v>586</v>
      </c>
      <c r="C484" s="3" t="s">
        <v>7</v>
      </c>
      <c r="D484" s="3" t="s">
        <v>32</v>
      </c>
      <c r="E484" s="3" t="s">
        <v>33</v>
      </c>
      <c r="F484" s="3" t="s">
        <v>330</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VLOOKUP(A484,Deflactor!$G$3:$H$64,2,0),"Revisar error" )))</f>
        <v>Actualizando información</v>
      </c>
    </row>
    <row r="485" spans="1:23" x14ac:dyDescent="0.25">
      <c r="A485" s="3">
        <v>2002</v>
      </c>
      <c r="B485" s="3" t="s">
        <v>587</v>
      </c>
      <c r="C485" s="3" t="s">
        <v>7</v>
      </c>
      <c r="D485" s="3" t="s">
        <v>291</v>
      </c>
      <c r="E485" s="3" t="s">
        <v>120</v>
      </c>
      <c r="F485" s="3" t="s">
        <v>352</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VLOOKUP(A485,Deflactor!$G$3:$H$64,2,0),"Revisar error" )))</f>
        <v>Actualizando información</v>
      </c>
    </row>
    <row r="486" spans="1:23" x14ac:dyDescent="0.25">
      <c r="A486" s="3">
        <v>2002</v>
      </c>
      <c r="B486" s="3" t="s">
        <v>588</v>
      </c>
      <c r="C486" s="3" t="s">
        <v>7</v>
      </c>
      <c r="D486" s="3" t="s">
        <v>12</v>
      </c>
      <c r="E486" s="3" t="s">
        <v>13</v>
      </c>
      <c r="F486" s="3" t="s">
        <v>309</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VLOOKUP(A486,Deflactor!$G$3:$H$64,2,0),"Revisar error" )))</f>
        <v>Actualizando información</v>
      </c>
    </row>
    <row r="487" spans="1:23" x14ac:dyDescent="0.25">
      <c r="A487" s="3">
        <v>2002</v>
      </c>
      <c r="B487" s="3" t="s">
        <v>589</v>
      </c>
      <c r="C487" s="3" t="s">
        <v>92</v>
      </c>
      <c r="D487" s="3" t="s">
        <v>12</v>
      </c>
      <c r="E487" s="3" t="s">
        <v>13</v>
      </c>
      <c r="F487" s="3" t="s">
        <v>330</v>
      </c>
      <c r="G487" s="3"/>
      <c r="H487" s="12"/>
      <c r="I487" s="13"/>
      <c r="J487" s="10"/>
      <c r="K487" s="3"/>
      <c r="L487" s="3"/>
      <c r="M487" s="3"/>
      <c r="N487" s="3"/>
      <c r="O487" s="3"/>
      <c r="P487" s="3"/>
      <c r="Q487" s="3"/>
      <c r="R487" s="3"/>
      <c r="S487" s="3"/>
      <c r="T487" s="3"/>
      <c r="U487" s="3" t="s">
        <v>1325</v>
      </c>
      <c r="V487" s="3"/>
      <c r="W487" s="10" t="str">
        <f>IF( J487="s.i", "s.i", IF(ISBLANK(J487),"Actualizando información",IFERROR(J487 / VLOOKUP(A487,Deflactor!$G$3:$H$64,2,0),"Revisar error" )))</f>
        <v>Actualizando información</v>
      </c>
    </row>
    <row r="488" spans="1:23" x14ac:dyDescent="0.25">
      <c r="A488" s="3">
        <v>2002</v>
      </c>
      <c r="B488" s="3" t="s">
        <v>590</v>
      </c>
      <c r="C488" s="3" t="s">
        <v>7</v>
      </c>
      <c r="D488" s="3" t="s">
        <v>25</v>
      </c>
      <c r="E488" s="3" t="s">
        <v>26</v>
      </c>
      <c r="F488" s="3" t="s">
        <v>330</v>
      </c>
      <c r="G488" s="3"/>
      <c r="H488" s="12"/>
      <c r="I488" s="13"/>
      <c r="J488" s="10"/>
      <c r="K488" s="3" t="s">
        <v>2168</v>
      </c>
      <c r="L488" s="3"/>
      <c r="M488" s="3"/>
      <c r="N488" s="3"/>
      <c r="O488" s="3"/>
      <c r="P488" s="3"/>
      <c r="Q488" s="3"/>
      <c r="R488" s="3"/>
      <c r="S488" s="3"/>
      <c r="T488" s="3"/>
      <c r="U488" s="3" t="s">
        <v>1151</v>
      </c>
      <c r="V488" s="3"/>
      <c r="W488" s="10" t="str">
        <f>IF( J488="s.i", "s.i", IF(ISBLANK(J488),"Actualizando información",IFERROR(J488 / VLOOKUP(A488,Deflactor!$G$3:$H$64,2,0),"Revisar error" )))</f>
        <v>Actualizando información</v>
      </c>
    </row>
    <row r="489" spans="1:23" x14ac:dyDescent="0.25">
      <c r="A489" s="3">
        <v>2002</v>
      </c>
      <c r="B489" s="3" t="s">
        <v>591</v>
      </c>
      <c r="C489" s="3" t="s">
        <v>7</v>
      </c>
      <c r="D489" s="3" t="s">
        <v>216</v>
      </c>
      <c r="E489" s="3" t="s">
        <v>217</v>
      </c>
      <c r="F489" s="3" t="s">
        <v>330</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VLOOKUP(A489,Deflactor!$G$3:$H$64,2,0),"Revisar error" )))</f>
        <v>Actualizando información</v>
      </c>
    </row>
    <row r="490" spans="1:23" x14ac:dyDescent="0.25">
      <c r="A490" s="3">
        <v>2002</v>
      </c>
      <c r="B490" s="3" t="s">
        <v>592</v>
      </c>
      <c r="C490" s="3" t="s">
        <v>7</v>
      </c>
      <c r="D490" s="3" t="s">
        <v>36</v>
      </c>
      <c r="E490" s="3" t="s">
        <v>94</v>
      </c>
      <c r="F490" s="3" t="s">
        <v>352</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VLOOKUP(A490,Deflactor!$G$3:$H$64,2,0),"Revisar error" )))</f>
        <v>Actualizando información</v>
      </c>
    </row>
    <row r="491" spans="1:23" x14ac:dyDescent="0.25">
      <c r="A491" s="3">
        <v>2002</v>
      </c>
      <c r="B491" s="3" t="s">
        <v>479</v>
      </c>
      <c r="C491" s="3" t="s">
        <v>7</v>
      </c>
      <c r="D491" s="3" t="s">
        <v>32</v>
      </c>
      <c r="E491" s="3" t="s">
        <v>33</v>
      </c>
      <c r="F491" s="3" t="s">
        <v>330</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VLOOKUP(A491,Deflactor!$G$3:$H$64,2,0),"Revisar error" )))</f>
        <v>Actualizando información</v>
      </c>
    </row>
    <row r="492" spans="1:23" x14ac:dyDescent="0.25">
      <c r="A492" s="3">
        <v>2002</v>
      </c>
      <c r="B492" s="3" t="s">
        <v>593</v>
      </c>
      <c r="C492" s="3" t="s">
        <v>7</v>
      </c>
      <c r="D492" s="3" t="s">
        <v>234</v>
      </c>
      <c r="E492" s="3" t="s">
        <v>235</v>
      </c>
      <c r="F492" s="3" t="s">
        <v>330</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VLOOKUP(A492,Deflactor!$G$3:$H$64,2,0),"Revisar error" )))</f>
        <v>Actualizando información</v>
      </c>
    </row>
    <row r="493" spans="1:23" x14ac:dyDescent="0.25">
      <c r="A493" s="3">
        <v>2002</v>
      </c>
      <c r="B493" s="3" t="s">
        <v>594</v>
      </c>
      <c r="C493" s="3" t="s">
        <v>92</v>
      </c>
      <c r="D493" s="3" t="s">
        <v>25</v>
      </c>
      <c r="E493" s="3" t="s">
        <v>26</v>
      </c>
      <c r="F493" s="3" t="s">
        <v>352</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VLOOKUP(A493,Deflactor!$G$3:$H$64,2,0),"Revisar error" )))</f>
        <v>Actualizando información</v>
      </c>
    </row>
    <row r="494" spans="1:23" x14ac:dyDescent="0.25">
      <c r="A494" s="3">
        <v>2002</v>
      </c>
      <c r="B494" s="3" t="s">
        <v>595</v>
      </c>
      <c r="C494" s="3" t="s">
        <v>92</v>
      </c>
      <c r="D494" s="3" t="s">
        <v>45</v>
      </c>
      <c r="E494" s="3" t="s">
        <v>184</v>
      </c>
      <c r="F494" s="3" t="s">
        <v>330</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VLOOKUP(A494,Deflactor!$G$3:$H$64,2,0),"Revisar error" )))</f>
        <v>Actualizando información</v>
      </c>
    </row>
    <row r="495" spans="1:23" x14ac:dyDescent="0.25">
      <c r="A495" s="3">
        <v>2002</v>
      </c>
      <c r="B495" s="3" t="s">
        <v>596</v>
      </c>
      <c r="C495" s="3" t="s">
        <v>7</v>
      </c>
      <c r="D495" s="3" t="s">
        <v>45</v>
      </c>
      <c r="E495" s="3" t="s">
        <v>520</v>
      </c>
      <c r="F495" s="3" t="s">
        <v>352</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VLOOKUP(A495,Deflactor!$G$3:$H$64,2,0),"Revisar error" )))</f>
        <v>Actualizando información</v>
      </c>
    </row>
    <row r="496" spans="1:23" x14ac:dyDescent="0.25">
      <c r="A496" s="3">
        <v>2001</v>
      </c>
      <c r="B496" s="3" t="s">
        <v>597</v>
      </c>
      <c r="C496" s="3" t="s">
        <v>7</v>
      </c>
      <c r="D496" s="3" t="s">
        <v>12</v>
      </c>
      <c r="E496" s="3" t="s">
        <v>404</v>
      </c>
      <c r="F496" s="3" t="s">
        <v>330</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VLOOKUP(A496,Deflactor!$G$3:$H$64,2,0),"Revisar error" )))</f>
        <v>Actualizando información</v>
      </c>
    </row>
    <row r="497" spans="1:23" x14ac:dyDescent="0.25">
      <c r="A497" s="3">
        <v>2001</v>
      </c>
      <c r="B497" s="3" t="s">
        <v>598</v>
      </c>
      <c r="C497" s="3" t="s">
        <v>7</v>
      </c>
      <c r="D497" s="3" t="s">
        <v>291</v>
      </c>
      <c r="E497" s="3" t="s">
        <v>120</v>
      </c>
      <c r="F497" s="3" t="s">
        <v>330</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VLOOKUP(A497,Deflactor!$G$3:$H$64,2,0),"Revisar error" )))</f>
        <v>Actualizando información</v>
      </c>
    </row>
    <row r="498" spans="1:23" x14ac:dyDescent="0.25">
      <c r="A498" s="3">
        <v>2001</v>
      </c>
      <c r="B498" s="3" t="s">
        <v>599</v>
      </c>
      <c r="C498" s="3" t="s">
        <v>7</v>
      </c>
      <c r="D498" s="3" t="s">
        <v>12</v>
      </c>
      <c r="E498" s="3" t="s">
        <v>13</v>
      </c>
      <c r="F498" s="3" t="s">
        <v>330</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VLOOKUP(A498,Deflactor!$G$3:$H$64,2,0),"Revisar error" )))</f>
        <v>Actualizando información</v>
      </c>
    </row>
    <row r="499" spans="1:23" x14ac:dyDescent="0.25">
      <c r="A499" s="3">
        <v>2001</v>
      </c>
      <c r="B499" s="3" t="s">
        <v>600</v>
      </c>
      <c r="C499" s="3" t="s">
        <v>7</v>
      </c>
      <c r="D499" s="3" t="s">
        <v>36</v>
      </c>
      <c r="E499" s="3" t="s">
        <v>37</v>
      </c>
      <c r="F499" s="3" t="s">
        <v>309</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VLOOKUP(A499,Deflactor!$G$3:$H$64,2,0),"Revisar error" )))</f>
        <v>Actualizando información</v>
      </c>
    </row>
    <row r="500" spans="1:23" x14ac:dyDescent="0.25">
      <c r="A500" s="3">
        <v>2001</v>
      </c>
      <c r="B500" s="3" t="s">
        <v>601</v>
      </c>
      <c r="C500" s="3" t="s">
        <v>7</v>
      </c>
      <c r="D500" s="3" t="s">
        <v>71</v>
      </c>
      <c r="E500" s="3" t="s">
        <v>167</v>
      </c>
      <c r="F500" s="3" t="s">
        <v>311</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VLOOKUP(A500,Deflactor!$G$3:$H$64,2,0),"Revisar error" )))</f>
        <v>Actualizando información</v>
      </c>
    </row>
    <row r="501" spans="1:23" x14ac:dyDescent="0.25">
      <c r="A501" s="3">
        <v>2001</v>
      </c>
      <c r="B501" s="3" t="s">
        <v>602</v>
      </c>
      <c r="C501" s="3" t="s">
        <v>7</v>
      </c>
      <c r="D501" s="3" t="s">
        <v>64</v>
      </c>
      <c r="E501" s="3" t="s">
        <v>65</v>
      </c>
      <c r="F501" s="3" t="s">
        <v>352</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VLOOKUP(A501,Deflactor!$G$3:$H$64,2,0),"Revisar error" )))</f>
        <v>Actualizando información</v>
      </c>
    </row>
    <row r="502" spans="1:23" x14ac:dyDescent="0.25">
      <c r="A502" s="3">
        <v>2001</v>
      </c>
      <c r="B502" s="3" t="s">
        <v>603</v>
      </c>
      <c r="C502" s="3" t="s">
        <v>7</v>
      </c>
      <c r="D502" s="3" t="s">
        <v>32</v>
      </c>
      <c r="E502" s="3" t="s">
        <v>33</v>
      </c>
      <c r="F502" s="3" t="s">
        <v>311</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VLOOKUP(A502,Deflactor!$G$3:$H$64,2,0),"Revisar error" )))</f>
        <v>Actualizando información</v>
      </c>
    </row>
    <row r="503" spans="1:23" x14ac:dyDescent="0.25">
      <c r="A503" s="3">
        <v>2001</v>
      </c>
      <c r="B503" s="3" t="s">
        <v>604</v>
      </c>
      <c r="C503" s="3" t="s">
        <v>7</v>
      </c>
      <c r="D503" s="3" t="s">
        <v>291</v>
      </c>
      <c r="E503" s="3" t="s">
        <v>120</v>
      </c>
      <c r="F503" s="3" t="s">
        <v>330</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VLOOKUP(A503,Deflactor!$G$3:$H$64,2,0),"Revisar error" )))</f>
        <v>Actualizando información</v>
      </c>
    </row>
    <row r="504" spans="1:23" x14ac:dyDescent="0.25">
      <c r="A504" s="3">
        <v>2001</v>
      </c>
      <c r="B504" s="3" t="s">
        <v>605</v>
      </c>
      <c r="C504" s="3" t="s">
        <v>7</v>
      </c>
      <c r="D504" s="3" t="s">
        <v>398</v>
      </c>
      <c r="E504" s="3" t="s">
        <v>399</v>
      </c>
      <c r="F504" s="3" t="s">
        <v>352</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VLOOKUP(A504,Deflactor!$G$3:$H$64,2,0),"Revisar error" )))</f>
        <v>Actualizando información</v>
      </c>
    </row>
    <row r="505" spans="1:23" x14ac:dyDescent="0.25">
      <c r="A505" s="3">
        <v>2001</v>
      </c>
      <c r="B505" s="3" t="s">
        <v>606</v>
      </c>
      <c r="C505" s="3" t="s">
        <v>7</v>
      </c>
      <c r="D505" s="3" t="s">
        <v>398</v>
      </c>
      <c r="E505" s="3" t="s">
        <v>399</v>
      </c>
      <c r="F505" s="3" t="s">
        <v>352</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VLOOKUP(A505,Deflactor!$G$3:$H$64,2,0),"Revisar error" )))</f>
        <v>Actualizando información</v>
      </c>
    </row>
    <row r="506" spans="1:23" x14ac:dyDescent="0.25">
      <c r="A506" s="3">
        <v>2001</v>
      </c>
      <c r="B506" s="3" t="s">
        <v>607</v>
      </c>
      <c r="C506" s="3" t="s">
        <v>92</v>
      </c>
      <c r="D506" s="3" t="s">
        <v>291</v>
      </c>
      <c r="E506" s="3" t="s">
        <v>21</v>
      </c>
      <c r="F506" s="3" t="s">
        <v>330</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VLOOKUP(A506,Deflactor!$G$3:$H$64,2,0),"Revisar error" )))</f>
        <v>Actualizando información</v>
      </c>
    </row>
    <row r="507" spans="1:23" x14ac:dyDescent="0.25">
      <c r="A507" s="3">
        <v>2001</v>
      </c>
      <c r="B507" s="3" t="s">
        <v>608</v>
      </c>
      <c r="C507" s="3" t="s">
        <v>92</v>
      </c>
      <c r="D507" s="3" t="s">
        <v>48</v>
      </c>
      <c r="E507" s="3" t="s">
        <v>88</v>
      </c>
      <c r="F507" s="3" t="s">
        <v>330</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VLOOKUP(A507,Deflactor!$G$3:$H$64,2,0),"Revisar error" )))</f>
        <v>Actualizando información</v>
      </c>
    </row>
    <row r="508" spans="1:23" x14ac:dyDescent="0.25">
      <c r="A508" s="3">
        <v>2001</v>
      </c>
      <c r="B508" s="3" t="s">
        <v>609</v>
      </c>
      <c r="C508" s="3" t="s">
        <v>7</v>
      </c>
      <c r="D508" s="3" t="s">
        <v>54</v>
      </c>
      <c r="E508" s="3" t="s">
        <v>55</v>
      </c>
      <c r="F508" s="3" t="s">
        <v>311</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VLOOKUP(A508,Deflactor!$G$3:$H$64,2,0),"Revisar error" )))</f>
        <v>Actualizando información</v>
      </c>
    </row>
    <row r="509" spans="1:23" x14ac:dyDescent="0.25">
      <c r="A509" s="3">
        <v>2001</v>
      </c>
      <c r="B509" s="3" t="s">
        <v>610</v>
      </c>
      <c r="C509" s="3" t="s">
        <v>7</v>
      </c>
      <c r="D509" s="3" t="s">
        <v>64</v>
      </c>
      <c r="E509" s="3" t="s">
        <v>65</v>
      </c>
      <c r="F509" s="3" t="s">
        <v>311</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VLOOKUP(A509,Deflactor!$G$3:$H$64,2,0),"Revisar error" )))</f>
        <v>Actualizando información</v>
      </c>
    </row>
    <row r="510" spans="1:23" x14ac:dyDescent="0.25">
      <c r="A510" s="3">
        <v>2001</v>
      </c>
      <c r="B510" s="3" t="s">
        <v>611</v>
      </c>
      <c r="C510" s="3" t="s">
        <v>7</v>
      </c>
      <c r="D510" s="3" t="s">
        <v>64</v>
      </c>
      <c r="E510" s="3" t="s">
        <v>65</v>
      </c>
      <c r="F510" s="3" t="s">
        <v>330</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VLOOKUP(A510,Deflactor!$G$3:$H$64,2,0),"Revisar error" )))</f>
        <v>Actualizando información</v>
      </c>
    </row>
    <row r="511" spans="1:23" x14ac:dyDescent="0.25">
      <c r="A511" s="3">
        <v>2001</v>
      </c>
      <c r="B511" s="3" t="s">
        <v>612</v>
      </c>
      <c r="C511" s="3" t="s">
        <v>7</v>
      </c>
      <c r="D511" s="3" t="s">
        <v>164</v>
      </c>
      <c r="E511" s="3" t="s">
        <v>165</v>
      </c>
      <c r="F511" s="3" t="s">
        <v>309</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VLOOKUP(A511,Deflactor!$G$3:$H$64,2,0),"Revisar error" )))</f>
        <v>Actualizando información</v>
      </c>
    </row>
    <row r="512" spans="1:23" x14ac:dyDescent="0.25">
      <c r="A512" s="3">
        <v>2001</v>
      </c>
      <c r="B512" s="3" t="s">
        <v>613</v>
      </c>
      <c r="C512" s="3" t="s">
        <v>7</v>
      </c>
      <c r="D512" s="3" t="s">
        <v>8</v>
      </c>
      <c r="E512" s="3" t="s">
        <v>156</v>
      </c>
      <c r="F512" s="3" t="s">
        <v>352</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VLOOKUP(A512,Deflactor!$G$3:$H$64,2,0),"Revisar error" )))</f>
        <v>Actualizando información</v>
      </c>
    </row>
    <row r="513" spans="1:23" x14ac:dyDescent="0.25">
      <c r="A513" s="3">
        <v>2001</v>
      </c>
      <c r="B513" s="3" t="s">
        <v>614</v>
      </c>
      <c r="C513" s="3" t="s">
        <v>7</v>
      </c>
      <c r="D513" s="3" t="s">
        <v>71</v>
      </c>
      <c r="E513" s="3" t="s">
        <v>615</v>
      </c>
      <c r="F513" s="3" t="s">
        <v>352</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VLOOKUP(A513,Deflactor!$G$3:$H$64,2,0),"Revisar error" )))</f>
        <v>Actualizando información</v>
      </c>
    </row>
    <row r="514" spans="1:23" x14ac:dyDescent="0.25">
      <c r="A514" s="3">
        <v>2001</v>
      </c>
      <c r="B514" s="3" t="s">
        <v>616</v>
      </c>
      <c r="C514" s="3" t="s">
        <v>7</v>
      </c>
      <c r="D514" s="3" t="s">
        <v>36</v>
      </c>
      <c r="E514" s="3" t="s">
        <v>37</v>
      </c>
      <c r="F514" s="3" t="s">
        <v>309</v>
      </c>
      <c r="G514" s="3"/>
      <c r="H514" s="12"/>
      <c r="I514" s="13"/>
      <c r="J514" s="10"/>
      <c r="K514" s="3" t="s">
        <v>2163</v>
      </c>
      <c r="L514" s="3"/>
      <c r="M514" s="3"/>
      <c r="N514" s="3"/>
      <c r="O514" s="3"/>
      <c r="P514" s="3"/>
      <c r="Q514" s="3"/>
      <c r="R514" s="3"/>
      <c r="S514" s="3"/>
      <c r="T514" s="3"/>
      <c r="U514" s="3"/>
      <c r="V514" s="3"/>
      <c r="W514" s="10" t="str">
        <f>IF( J514="s.i", "s.i", IF(ISBLANK(J514),"Actualizando información",IFERROR(J514 / VLOOKUP(A514,Deflactor!$G$3:$H$64,2,0),"Revisar error" )))</f>
        <v>Actualizando información</v>
      </c>
    </row>
    <row r="515" spans="1:23" x14ac:dyDescent="0.25">
      <c r="A515" s="3">
        <v>2001</v>
      </c>
      <c r="B515" s="3" t="s">
        <v>617</v>
      </c>
      <c r="C515" s="3" t="s">
        <v>7</v>
      </c>
      <c r="D515" s="3" t="s">
        <v>36</v>
      </c>
      <c r="E515" s="3" t="s">
        <v>37</v>
      </c>
      <c r="F515" s="3" t="s">
        <v>330</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VLOOKUP(A515,Deflactor!$G$3:$H$64,2,0),"Revisar error" )))</f>
        <v>Actualizando información</v>
      </c>
    </row>
    <row r="516" spans="1:23" x14ac:dyDescent="0.25">
      <c r="A516" s="3">
        <v>2001</v>
      </c>
      <c r="B516" s="3" t="s">
        <v>618</v>
      </c>
      <c r="C516" s="3" t="s">
        <v>7</v>
      </c>
      <c r="D516" s="3" t="s">
        <v>12</v>
      </c>
      <c r="E516" s="3" t="s">
        <v>404</v>
      </c>
      <c r="F516" s="3" t="s">
        <v>330</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VLOOKUP(A516,Deflactor!$G$3:$H$64,2,0),"Revisar error" )))</f>
        <v>Actualizando información</v>
      </c>
    </row>
    <row r="517" spans="1:23" x14ac:dyDescent="0.25">
      <c r="A517" s="3">
        <v>2000</v>
      </c>
      <c r="B517" s="3" t="s">
        <v>619</v>
      </c>
      <c r="C517" s="3" t="s">
        <v>7</v>
      </c>
      <c r="D517" s="3" t="s">
        <v>36</v>
      </c>
      <c r="E517" s="3" t="s">
        <v>37</v>
      </c>
      <c r="F517" s="3" t="s">
        <v>352</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VLOOKUP(A517,Deflactor!$G$3:$H$64,2,0),"Revisar error" )))</f>
        <v>Actualizando información</v>
      </c>
    </row>
    <row r="518" spans="1:23" x14ac:dyDescent="0.25">
      <c r="A518" s="3">
        <v>2000</v>
      </c>
      <c r="B518" s="3" t="s">
        <v>620</v>
      </c>
      <c r="C518" s="3" t="s">
        <v>7</v>
      </c>
      <c r="D518" s="3" t="s">
        <v>36</v>
      </c>
      <c r="E518" s="3" t="s">
        <v>37</v>
      </c>
      <c r="F518" s="3" t="s">
        <v>352</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VLOOKUP(A518,Deflactor!$G$3:$H$64,2,0),"Revisar error" )))</f>
        <v>Actualizando información</v>
      </c>
    </row>
    <row r="519" spans="1:23" x14ac:dyDescent="0.25">
      <c r="A519" s="3">
        <v>2000</v>
      </c>
      <c r="B519" s="3" t="s">
        <v>621</v>
      </c>
      <c r="C519" s="3" t="s">
        <v>7</v>
      </c>
      <c r="D519" s="3" t="s">
        <v>36</v>
      </c>
      <c r="E519" s="3" t="s">
        <v>37</v>
      </c>
      <c r="F519" s="3" t="s">
        <v>311</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VLOOKUP(A519,Deflactor!$G$3:$H$64,2,0),"Revisar error" )))</f>
        <v>Actualizando información</v>
      </c>
    </row>
    <row r="520" spans="1:23" x14ac:dyDescent="0.25">
      <c r="A520" s="3">
        <v>2000</v>
      </c>
      <c r="B520" s="3" t="s">
        <v>622</v>
      </c>
      <c r="C520" s="3" t="s">
        <v>7</v>
      </c>
      <c r="D520" s="3" t="s">
        <v>45</v>
      </c>
      <c r="E520" s="3" t="s">
        <v>408</v>
      </c>
      <c r="F520" s="3" t="s">
        <v>330</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VLOOKUP(A520,Deflactor!$G$3:$H$64,2,0),"Revisar error" )))</f>
        <v>Actualizando información</v>
      </c>
    </row>
    <row r="521" spans="1:23" x14ac:dyDescent="0.25">
      <c r="A521" s="3">
        <v>2000</v>
      </c>
      <c r="B521" s="3" t="s">
        <v>623</v>
      </c>
      <c r="C521" s="3" t="s">
        <v>7</v>
      </c>
      <c r="D521" s="3" t="s">
        <v>398</v>
      </c>
      <c r="E521" s="3" t="s">
        <v>399</v>
      </c>
      <c r="F521" s="3" t="s">
        <v>624</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VLOOKUP(A521,Deflactor!$G$3:$H$64,2,0),"Revisar error" )))</f>
        <v>Actualizando información</v>
      </c>
    </row>
    <row r="522" spans="1:23" x14ac:dyDescent="0.25">
      <c r="A522" s="3">
        <v>2000</v>
      </c>
      <c r="B522" s="3" t="s">
        <v>625</v>
      </c>
      <c r="C522" s="3" t="s">
        <v>7</v>
      </c>
      <c r="D522" s="3" t="s">
        <v>32</v>
      </c>
      <c r="E522" s="3" t="s">
        <v>33</v>
      </c>
      <c r="F522" s="3" t="s">
        <v>311</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VLOOKUP(A522,Deflactor!$G$3:$H$64,2,0),"Revisar error" )))</f>
        <v>Actualizando información</v>
      </c>
    </row>
    <row r="523" spans="1:23" x14ac:dyDescent="0.25">
      <c r="A523" s="3">
        <v>2000</v>
      </c>
      <c r="B523" s="3" t="s">
        <v>206</v>
      </c>
      <c r="C523" s="3" t="s">
        <v>7</v>
      </c>
      <c r="D523" s="3" t="s">
        <v>36</v>
      </c>
      <c r="E523" s="3" t="s">
        <v>81</v>
      </c>
      <c r="F523" s="3" t="s">
        <v>330</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VLOOKUP(A523,Deflactor!$G$3:$H$64,2,0),"Revisar error" )))</f>
        <v>Actualizando información</v>
      </c>
    </row>
    <row r="524" spans="1:23" x14ac:dyDescent="0.25">
      <c r="A524" s="3">
        <v>2000</v>
      </c>
      <c r="B524" s="3" t="s">
        <v>626</v>
      </c>
      <c r="C524" s="3" t="s">
        <v>7</v>
      </c>
      <c r="D524" s="3" t="s">
        <v>445</v>
      </c>
      <c r="E524" s="3" t="s">
        <v>627</v>
      </c>
      <c r="F524" s="3" t="s">
        <v>330</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VLOOKUP(A524,Deflactor!$G$3:$H$64,2,0),"Revisar error" )))</f>
        <v>Actualizando información</v>
      </c>
    </row>
    <row r="525" spans="1:23" x14ac:dyDescent="0.25">
      <c r="A525" s="3">
        <v>2000</v>
      </c>
      <c r="B525" s="3" t="s">
        <v>628</v>
      </c>
      <c r="C525" s="3" t="s">
        <v>7</v>
      </c>
      <c r="D525" s="3" t="s">
        <v>54</v>
      </c>
      <c r="E525" s="3" t="s">
        <v>244</v>
      </c>
      <c r="F525" s="3" t="s">
        <v>330</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VLOOKUP(A525,Deflactor!$G$3:$H$64,2,0),"Revisar error" )))</f>
        <v>Actualizando información</v>
      </c>
    </row>
    <row r="526" spans="1:23" x14ac:dyDescent="0.25">
      <c r="A526" s="3">
        <v>2000</v>
      </c>
      <c r="B526" s="3" t="s">
        <v>629</v>
      </c>
      <c r="C526" s="3" t="s">
        <v>7</v>
      </c>
      <c r="D526" s="3" t="s">
        <v>40</v>
      </c>
      <c r="E526" s="3" t="s">
        <v>43</v>
      </c>
      <c r="F526" s="3" t="s">
        <v>330</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VLOOKUP(A526,Deflactor!$G$3:$H$64,2,0),"Revisar error" )))</f>
        <v>Actualizando información</v>
      </c>
    </row>
    <row r="527" spans="1:23" x14ac:dyDescent="0.25">
      <c r="A527" s="3">
        <v>2000</v>
      </c>
      <c r="B527" s="3" t="s">
        <v>630</v>
      </c>
      <c r="C527" s="3" t="s">
        <v>7</v>
      </c>
      <c r="D527" s="3" t="s">
        <v>291</v>
      </c>
      <c r="E527" s="3" t="s">
        <v>176</v>
      </c>
      <c r="F527" s="3" t="s">
        <v>311</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VLOOKUP(A527,Deflactor!$G$3:$H$64,2,0),"Revisar error" )))</f>
        <v>Actualizando información</v>
      </c>
    </row>
    <row r="528" spans="1:23" x14ac:dyDescent="0.25">
      <c r="A528" s="3">
        <v>2000</v>
      </c>
      <c r="B528" s="3" t="s">
        <v>631</v>
      </c>
      <c r="C528" s="3" t="s">
        <v>7</v>
      </c>
      <c r="D528" s="3" t="s">
        <v>234</v>
      </c>
      <c r="E528" s="3" t="s">
        <v>235</v>
      </c>
      <c r="F528" s="3" t="s">
        <v>352</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VLOOKUP(A528,Deflactor!$G$3:$H$64,2,0),"Revisar error" )))</f>
        <v>Actualizando información</v>
      </c>
    </row>
    <row r="529" spans="1:23" x14ac:dyDescent="0.25">
      <c r="A529" s="3">
        <v>2000</v>
      </c>
      <c r="B529" s="3" t="s">
        <v>632</v>
      </c>
      <c r="C529" s="3" t="s">
        <v>7</v>
      </c>
      <c r="D529" s="3" t="s">
        <v>32</v>
      </c>
      <c r="E529" s="3" t="s">
        <v>33</v>
      </c>
      <c r="F529" s="3" t="s">
        <v>311</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VLOOKUP(A529,Deflactor!$G$3:$H$64,2,0),"Revisar error" )))</f>
        <v>Actualizando información</v>
      </c>
    </row>
    <row r="530" spans="1:23" x14ac:dyDescent="0.25">
      <c r="A530" s="3">
        <v>2000</v>
      </c>
      <c r="B530" s="3" t="s">
        <v>633</v>
      </c>
      <c r="C530" s="3" t="s">
        <v>7</v>
      </c>
      <c r="D530" s="3" t="s">
        <v>25</v>
      </c>
      <c r="E530" s="3" t="s">
        <v>29</v>
      </c>
      <c r="F530" s="3" t="s">
        <v>330</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VLOOKUP(A530,Deflactor!$G$3:$H$64,2,0),"Revisar error" )))</f>
        <v>Actualizando información</v>
      </c>
    </row>
    <row r="531" spans="1:23" x14ac:dyDescent="0.25">
      <c r="A531" s="3">
        <v>2000</v>
      </c>
      <c r="B531" s="3" t="s">
        <v>634</v>
      </c>
      <c r="C531" s="3" t="s">
        <v>7</v>
      </c>
      <c r="D531" s="3" t="s">
        <v>32</v>
      </c>
      <c r="E531" s="3" t="s">
        <v>33</v>
      </c>
      <c r="F531" s="3" t="s">
        <v>311</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VLOOKUP(A531,Deflactor!$G$3:$H$64,2,0),"Revisar error" )))</f>
        <v>Actualizando información</v>
      </c>
    </row>
    <row r="532" spans="1:23" x14ac:dyDescent="0.25">
      <c r="A532" s="3">
        <v>2000</v>
      </c>
      <c r="B532" s="3" t="s">
        <v>635</v>
      </c>
      <c r="C532" s="3" t="s">
        <v>7</v>
      </c>
      <c r="D532" s="3" t="s">
        <v>54</v>
      </c>
      <c r="E532" s="3" t="s">
        <v>237</v>
      </c>
      <c r="F532" s="3" t="s">
        <v>330</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VLOOKUP(A532,Deflactor!$G$3:$H$64,2,0),"Revisar error" )))</f>
        <v>Actualizando información</v>
      </c>
    </row>
    <row r="533" spans="1:23" x14ac:dyDescent="0.25">
      <c r="A533" s="3">
        <v>2000</v>
      </c>
      <c r="B533" s="3" t="s">
        <v>636</v>
      </c>
      <c r="C533" s="3" t="s">
        <v>7</v>
      </c>
      <c r="D533" s="3" t="s">
        <v>8</v>
      </c>
      <c r="E533" s="3" t="s">
        <v>51</v>
      </c>
      <c r="F533" s="3" t="s">
        <v>352</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VLOOKUP(A533,Deflactor!$G$3:$H$64,2,0),"Revisar error" )))</f>
        <v>Actualizando información</v>
      </c>
    </row>
    <row r="534" spans="1:23" x14ac:dyDescent="0.25">
      <c r="A534" s="3">
        <v>2000</v>
      </c>
      <c r="B534" s="3" t="s">
        <v>637</v>
      </c>
      <c r="C534" s="3" t="s">
        <v>7</v>
      </c>
      <c r="D534" s="3" t="s">
        <v>71</v>
      </c>
      <c r="E534" s="3" t="s">
        <v>167</v>
      </c>
      <c r="F534" s="3" t="s">
        <v>311</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VLOOKUP(A534,Deflactor!$G$3:$H$64,2,0),"Revisar error" )))</f>
        <v>Actualizando información</v>
      </c>
    </row>
    <row r="535" spans="1:23" x14ac:dyDescent="0.25">
      <c r="A535" s="3">
        <v>2000</v>
      </c>
      <c r="B535" s="3" t="s">
        <v>638</v>
      </c>
      <c r="C535" s="3" t="s">
        <v>7</v>
      </c>
      <c r="D535" s="3" t="s">
        <v>71</v>
      </c>
      <c r="E535" s="3" t="s">
        <v>167</v>
      </c>
      <c r="F535" s="3" t="s">
        <v>330</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VLOOKUP(A535,Deflactor!$G$3:$H$64,2,0),"Revisar error" )))</f>
        <v>Actualizando información</v>
      </c>
    </row>
    <row r="536" spans="1:23" x14ac:dyDescent="0.25">
      <c r="A536" s="3">
        <v>2000</v>
      </c>
      <c r="B536" s="3" t="s">
        <v>639</v>
      </c>
      <c r="C536" s="3" t="s">
        <v>7</v>
      </c>
      <c r="D536" s="3" t="s">
        <v>445</v>
      </c>
      <c r="E536" s="3" t="s">
        <v>640</v>
      </c>
      <c r="F536" s="3" t="s">
        <v>624</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VLOOKUP(A536,Deflactor!$G$3:$H$64,2,0),"Revisar error" )))</f>
        <v>Actualizando información</v>
      </c>
    </row>
    <row r="537" spans="1:23" x14ac:dyDescent="0.25">
      <c r="A537" s="3">
        <v>1999</v>
      </c>
      <c r="B537" s="3" t="s">
        <v>641</v>
      </c>
      <c r="C537" s="3" t="s">
        <v>7</v>
      </c>
      <c r="D537" s="3" t="s">
        <v>40</v>
      </c>
      <c r="E537" s="3" t="s">
        <v>43</v>
      </c>
      <c r="F537" s="3" t="s">
        <v>624</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VLOOKUP(A537,Deflactor!$G$3:$H$64,2,0),"Revisar error" )))</f>
        <v>Actualizando información</v>
      </c>
    </row>
    <row r="538" spans="1:23" x14ac:dyDescent="0.25">
      <c r="A538" s="3">
        <v>1999</v>
      </c>
      <c r="B538" s="3" t="s">
        <v>642</v>
      </c>
      <c r="C538" s="3" t="s">
        <v>7</v>
      </c>
      <c r="D538" s="3" t="s">
        <v>291</v>
      </c>
      <c r="E538" s="3" t="s">
        <v>21</v>
      </c>
      <c r="F538" s="3" t="s">
        <v>624</v>
      </c>
      <c r="G538" s="3" t="s">
        <v>904</v>
      </c>
      <c r="H538" s="12">
        <v>1994</v>
      </c>
      <c r="I538" s="13">
        <v>2011</v>
      </c>
      <c r="J538" s="10">
        <f xml:space="preserve"> (898000 + 462000) * 1000</f>
        <v>1360000000</v>
      </c>
      <c r="K538" s="3" t="s">
        <v>862</v>
      </c>
      <c r="L538" s="3" t="s">
        <v>930</v>
      </c>
      <c r="M538" s="3" t="s">
        <v>931</v>
      </c>
      <c r="N538" s="3" t="s">
        <v>932</v>
      </c>
      <c r="O538" s="3" t="s">
        <v>933</v>
      </c>
      <c r="P538" s="3" t="s">
        <v>934</v>
      </c>
      <c r="Q538" s="3"/>
      <c r="R538" s="11" t="s">
        <v>935</v>
      </c>
      <c r="S538" s="11" t="s">
        <v>936</v>
      </c>
      <c r="T538" s="3"/>
      <c r="U538" s="3" t="s">
        <v>1143</v>
      </c>
      <c r="V538" s="3"/>
      <c r="W538" s="10">
        <f>IF( J538="s.i", "s.i", IF(ISBLANK(J538),"Actualizando información",IFERROR(J538 / VLOOKUP(A538,Deflactor!$G$3:$H$64,2,0),"Revisar error" )))</f>
        <v>2647413713.3990426</v>
      </c>
    </row>
    <row r="539" spans="1:23" x14ac:dyDescent="0.25">
      <c r="A539" s="3">
        <v>1999</v>
      </c>
      <c r="B539" s="3" t="s">
        <v>643</v>
      </c>
      <c r="C539" s="3" t="s">
        <v>7</v>
      </c>
      <c r="D539" s="3" t="s">
        <v>291</v>
      </c>
      <c r="E539" s="3" t="s">
        <v>120</v>
      </c>
      <c r="F539" s="3" t="s">
        <v>624</v>
      </c>
      <c r="G539" s="3"/>
      <c r="H539" s="12"/>
      <c r="I539" s="13"/>
      <c r="J539" s="10"/>
      <c r="K539" s="3" t="s">
        <v>1763</v>
      </c>
      <c r="L539" s="3"/>
      <c r="M539" s="3"/>
      <c r="N539" s="3"/>
      <c r="O539" s="3"/>
      <c r="P539" s="3"/>
      <c r="Q539" s="3"/>
      <c r="R539" s="3"/>
      <c r="S539" s="3"/>
      <c r="T539" s="3"/>
      <c r="U539" s="3"/>
      <c r="V539" s="3"/>
      <c r="W539" s="10" t="str">
        <f>IF( J539="s.i", "s.i", IF(ISBLANK(J539),"Actualizando información",IFERROR(J539 / VLOOKUP(A539,Deflactor!$G$3:$H$64,2,0),"Revisar error" )))</f>
        <v>Actualizando información</v>
      </c>
    </row>
    <row r="540" spans="1:23" x14ac:dyDescent="0.25">
      <c r="A540" s="3">
        <v>1999</v>
      </c>
      <c r="B540" s="3" t="s">
        <v>491</v>
      </c>
      <c r="C540" s="3" t="s">
        <v>7</v>
      </c>
      <c r="D540" s="3" t="s">
        <v>291</v>
      </c>
      <c r="E540" s="3" t="s">
        <v>292</v>
      </c>
      <c r="F540" s="3" t="s">
        <v>624</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VLOOKUP(A540,Deflactor!$G$3:$H$64,2,0),"Revisar error" )))</f>
        <v>Actualizando información</v>
      </c>
    </row>
    <row r="541" spans="1:23" x14ac:dyDescent="0.25">
      <c r="A541" s="3">
        <v>1999</v>
      </c>
      <c r="B541" s="3" t="s">
        <v>644</v>
      </c>
      <c r="C541" s="3" t="s">
        <v>7</v>
      </c>
      <c r="D541" s="3" t="s">
        <v>54</v>
      </c>
      <c r="E541" s="3" t="s">
        <v>237</v>
      </c>
      <c r="F541" s="3" t="s">
        <v>624</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VLOOKUP(A541,Deflactor!$G$3:$H$64,2,0),"Revisar error" )))</f>
        <v>Actualizando información</v>
      </c>
    </row>
    <row r="542" spans="1:23" x14ac:dyDescent="0.25">
      <c r="A542" s="3">
        <v>1999</v>
      </c>
      <c r="B542" s="3" t="s">
        <v>645</v>
      </c>
      <c r="C542" s="3" t="s">
        <v>7</v>
      </c>
      <c r="D542" s="3" t="s">
        <v>54</v>
      </c>
      <c r="E542" s="3" t="s">
        <v>646</v>
      </c>
      <c r="F542" s="3" t="s">
        <v>624</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VLOOKUP(A542,Deflactor!$G$3:$H$64,2,0),"Revisar error" )))</f>
        <v>Actualizando información</v>
      </c>
    </row>
    <row r="543" spans="1:23" x14ac:dyDescent="0.25">
      <c r="A543" s="3">
        <v>1999</v>
      </c>
      <c r="B543" s="3" t="s">
        <v>647</v>
      </c>
      <c r="C543" s="3" t="s">
        <v>7</v>
      </c>
      <c r="D543" s="3" t="s">
        <v>8</v>
      </c>
      <c r="E543" s="3" t="s">
        <v>214</v>
      </c>
      <c r="F543" s="3" t="s">
        <v>624</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VLOOKUP(A543,Deflactor!$G$3:$H$64,2,0),"Revisar error" )))</f>
        <v>Actualizando información</v>
      </c>
    </row>
    <row r="544" spans="1:23" x14ac:dyDescent="0.25">
      <c r="A544" s="3">
        <v>1999</v>
      </c>
      <c r="B544" s="3" t="s">
        <v>648</v>
      </c>
      <c r="C544" s="3" t="s">
        <v>7</v>
      </c>
      <c r="D544" s="3" t="s">
        <v>8</v>
      </c>
      <c r="E544" s="3" t="s">
        <v>51</v>
      </c>
      <c r="F544" s="3" t="s">
        <v>624</v>
      </c>
      <c r="G544" s="3"/>
      <c r="H544" s="12"/>
      <c r="I544" s="13"/>
      <c r="J544" s="10"/>
      <c r="K544" s="3"/>
      <c r="L544" s="3"/>
      <c r="M544" s="3"/>
      <c r="N544" s="3"/>
      <c r="O544" s="3"/>
      <c r="P544" s="3"/>
      <c r="Q544" s="3"/>
      <c r="R544" s="3"/>
      <c r="S544" s="3"/>
      <c r="T544" s="3"/>
      <c r="U544" s="3"/>
      <c r="V544" s="3" t="s">
        <v>1219</v>
      </c>
      <c r="W544" s="10" t="str">
        <f>IF( J544="s.i", "s.i", IF(ISBLANK(J544),"Actualizando información",IFERROR(J544 / VLOOKUP(A544,Deflactor!$G$3:$H$64,2,0),"Revisar error" )))</f>
        <v>Actualizando información</v>
      </c>
    </row>
    <row r="545" spans="1:23" x14ac:dyDescent="0.25">
      <c r="A545" s="3">
        <v>1999</v>
      </c>
      <c r="B545" s="3" t="s">
        <v>649</v>
      </c>
      <c r="C545" s="3" t="s">
        <v>7</v>
      </c>
      <c r="D545" s="3" t="s">
        <v>445</v>
      </c>
      <c r="E545" s="3" t="s">
        <v>640</v>
      </c>
      <c r="F545" s="3" t="s">
        <v>624</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VLOOKUP(A545,Deflactor!$G$3:$H$64,2,0),"Revisar error" )))</f>
        <v>Actualizando información</v>
      </c>
    </row>
    <row r="546" spans="1:23" x14ac:dyDescent="0.25">
      <c r="A546" s="3">
        <v>1999</v>
      </c>
      <c r="B546" s="3" t="s">
        <v>650</v>
      </c>
      <c r="C546" s="3" t="s">
        <v>7</v>
      </c>
      <c r="D546" s="3" t="s">
        <v>40</v>
      </c>
      <c r="E546" s="3" t="s">
        <v>43</v>
      </c>
      <c r="F546" s="3" t="s">
        <v>624</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VLOOKUP(A546,Deflactor!$G$3:$H$64,2,0),"Revisar error" )))</f>
        <v>Actualizando información</v>
      </c>
    </row>
    <row r="547" spans="1:23" x14ac:dyDescent="0.25">
      <c r="A547" s="3">
        <v>1999</v>
      </c>
      <c r="B547" s="3" t="s">
        <v>651</v>
      </c>
      <c r="C547" s="3" t="s">
        <v>7</v>
      </c>
      <c r="D547" s="3" t="s">
        <v>36</v>
      </c>
      <c r="E547" s="3" t="s">
        <v>37</v>
      </c>
      <c r="F547" s="3" t="s">
        <v>624</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VLOOKUP(A547,Deflactor!$G$3:$H$64,2,0),"Revisar error" )))</f>
        <v>Actualizando información</v>
      </c>
    </row>
    <row r="548" spans="1:23" x14ac:dyDescent="0.25">
      <c r="A548" s="3">
        <v>1999</v>
      </c>
      <c r="B548" s="3" t="s">
        <v>652</v>
      </c>
      <c r="C548" s="3" t="s">
        <v>7</v>
      </c>
      <c r="D548" s="3" t="s">
        <v>36</v>
      </c>
      <c r="E548" s="3" t="s">
        <v>37</v>
      </c>
      <c r="F548" s="3" t="s">
        <v>624</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VLOOKUP(A548,Deflactor!$G$3:$H$64,2,0),"Revisar error" )))</f>
        <v>Actualizando información</v>
      </c>
    </row>
    <row r="549" spans="1:23" x14ac:dyDescent="0.25">
      <c r="A549" s="3">
        <v>1999</v>
      </c>
      <c r="B549" s="3" t="s">
        <v>653</v>
      </c>
      <c r="C549" s="3" t="s">
        <v>7</v>
      </c>
      <c r="D549" s="3" t="s">
        <v>25</v>
      </c>
      <c r="E549" s="3" t="s">
        <v>151</v>
      </c>
      <c r="F549" s="3" t="s">
        <v>624</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VLOOKUP(A549,Deflactor!$G$3:$H$64,2,0),"Revisar error" )))</f>
        <v>Actualizando información</v>
      </c>
    </row>
    <row r="550" spans="1:23" x14ac:dyDescent="0.25">
      <c r="A550" s="3">
        <v>1999</v>
      </c>
      <c r="B550" s="3" t="s">
        <v>565</v>
      </c>
      <c r="C550" s="3" t="s">
        <v>7</v>
      </c>
      <c r="D550" s="3" t="s">
        <v>25</v>
      </c>
      <c r="E550" s="3" t="s">
        <v>26</v>
      </c>
      <c r="F550" s="3" t="s">
        <v>624</v>
      </c>
      <c r="G550" s="3"/>
      <c r="H550" s="12"/>
      <c r="I550" s="13"/>
      <c r="J550" s="10"/>
      <c r="K550" s="3"/>
      <c r="L550" s="3"/>
      <c r="M550" s="3"/>
      <c r="N550" s="3"/>
      <c r="O550" s="3"/>
      <c r="P550" s="3"/>
      <c r="Q550" s="3"/>
      <c r="R550" s="3"/>
      <c r="S550" s="3"/>
      <c r="T550" s="3"/>
      <c r="U550" s="3" t="s">
        <v>565</v>
      </c>
      <c r="V550" s="3"/>
      <c r="W550" s="10" t="str">
        <f>IF( J550="s.i", "s.i", IF(ISBLANK(J550),"Actualizando información",IFERROR(J550 / VLOOKUP(A550,Deflactor!$G$3:$H$64,2,0),"Revisar error" )))</f>
        <v>Actualizando información</v>
      </c>
    </row>
    <row r="551" spans="1:23" x14ac:dyDescent="0.25">
      <c r="A551" s="3">
        <v>1999</v>
      </c>
      <c r="B551" s="3" t="s">
        <v>654</v>
      </c>
      <c r="C551" s="3" t="s">
        <v>7</v>
      </c>
      <c r="D551" s="3" t="s">
        <v>12</v>
      </c>
      <c r="E551" s="3" t="s">
        <v>13</v>
      </c>
      <c r="F551" s="3" t="s">
        <v>624</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VLOOKUP(A551,Deflactor!$G$3:$H$64,2,0),"Revisar error" )))</f>
        <v>Actualizando información</v>
      </c>
    </row>
    <row r="552" spans="1:23" x14ac:dyDescent="0.25">
      <c r="A552" s="3">
        <v>1999</v>
      </c>
      <c r="B552" s="3" t="s">
        <v>655</v>
      </c>
      <c r="C552" s="3" t="s">
        <v>7</v>
      </c>
      <c r="D552" s="3" t="s">
        <v>291</v>
      </c>
      <c r="E552" s="3" t="s">
        <v>120</v>
      </c>
      <c r="F552" s="3" t="s">
        <v>624</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VLOOKUP(A552,Deflactor!$G$3:$H$64,2,0),"Revisar error" )))</f>
        <v>Actualizando información</v>
      </c>
    </row>
    <row r="553" spans="1:23" x14ac:dyDescent="0.25">
      <c r="A553" s="3">
        <v>1999</v>
      </c>
      <c r="B553" s="3" t="s">
        <v>656</v>
      </c>
      <c r="C553" s="3" t="s">
        <v>7</v>
      </c>
      <c r="D553" s="3" t="s">
        <v>32</v>
      </c>
      <c r="E553" s="3" t="s">
        <v>33</v>
      </c>
      <c r="F553" s="3" t="s">
        <v>624</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VLOOKUP(A553,Deflactor!$G$3:$H$64,2,0),"Revisar error" )))</f>
        <v>Actualizando información</v>
      </c>
    </row>
    <row r="554" spans="1:23" x14ac:dyDescent="0.25">
      <c r="A554" s="3">
        <v>1999</v>
      </c>
      <c r="B554" s="3" t="s">
        <v>657</v>
      </c>
      <c r="C554" s="3" t="s">
        <v>7</v>
      </c>
      <c r="D554" s="3" t="s">
        <v>54</v>
      </c>
      <c r="E554" s="3" t="s">
        <v>237</v>
      </c>
      <c r="F554" s="3" t="s">
        <v>624</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VLOOKUP(A554,Deflactor!$G$3:$H$64,2,0),"Revisar error" )))</f>
        <v>Actualizando información</v>
      </c>
    </row>
    <row r="555" spans="1:23" x14ac:dyDescent="0.25">
      <c r="A555" s="3">
        <v>1999</v>
      </c>
      <c r="B555" s="3" t="s">
        <v>658</v>
      </c>
      <c r="C555" s="3" t="s">
        <v>7</v>
      </c>
      <c r="D555" s="3" t="s">
        <v>54</v>
      </c>
      <c r="E555" s="3" t="s">
        <v>237</v>
      </c>
      <c r="F555" s="3" t="s">
        <v>624</v>
      </c>
      <c r="G555" s="3"/>
      <c r="H555" s="12"/>
      <c r="I555" s="13"/>
      <c r="J555" s="10"/>
      <c r="K555" s="3" t="s">
        <v>1763</v>
      </c>
      <c r="L555" s="3"/>
      <c r="M555" s="3"/>
      <c r="N555" s="3"/>
      <c r="O555" s="3"/>
      <c r="P555" s="3"/>
      <c r="Q555" s="3"/>
      <c r="R555" s="3"/>
      <c r="S555" s="3"/>
      <c r="T555" s="3"/>
      <c r="U555" s="3"/>
      <c r="V555" s="3"/>
      <c r="W555" s="10" t="str">
        <f>IF( J555="s.i", "s.i", IF(ISBLANK(J555),"Actualizando información",IFERROR(J555 / VLOOKUP(A555,Deflactor!$G$3:$H$64,2,0),"Revisar error" )))</f>
        <v>Actualizando información</v>
      </c>
    </row>
    <row r="556" spans="1:23" x14ac:dyDescent="0.25">
      <c r="A556" s="3">
        <v>1999</v>
      </c>
      <c r="B556" s="3" t="s">
        <v>659</v>
      </c>
      <c r="C556" s="3" t="s">
        <v>7</v>
      </c>
      <c r="D556" s="3" t="s">
        <v>12</v>
      </c>
      <c r="E556" s="3" t="s">
        <v>13</v>
      </c>
      <c r="F556" s="3" t="s">
        <v>624</v>
      </c>
      <c r="G556" s="3"/>
      <c r="H556" s="12"/>
      <c r="I556" s="13"/>
      <c r="J556" s="10"/>
      <c r="K556" s="3"/>
      <c r="L556" s="3"/>
      <c r="M556" s="3"/>
      <c r="N556" s="3"/>
      <c r="O556" s="3"/>
      <c r="P556" s="3"/>
      <c r="Q556" s="3"/>
      <c r="R556" s="3"/>
      <c r="S556" s="3"/>
      <c r="T556" s="3"/>
      <c r="U556" s="3" t="s">
        <v>1325</v>
      </c>
      <c r="V556" s="3"/>
      <c r="W556" s="10" t="str">
        <f>IF( J556="s.i", "s.i", IF(ISBLANK(J556),"Actualizando información",IFERROR(J556 / VLOOKUP(A556,Deflactor!$G$3:$H$64,2,0),"Revisar error" )))</f>
        <v>Actualizando información</v>
      </c>
    </row>
    <row r="557" spans="1:23" x14ac:dyDescent="0.25">
      <c r="A557" s="3">
        <v>1999</v>
      </c>
      <c r="B557" s="3" t="s">
        <v>660</v>
      </c>
      <c r="C557" s="3" t="s">
        <v>7</v>
      </c>
      <c r="D557" s="3" t="s">
        <v>12</v>
      </c>
      <c r="E557" s="3" t="s">
        <v>404</v>
      </c>
      <c r="F557" s="3" t="s">
        <v>624</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VLOOKUP(A557,Deflactor!$G$3:$H$64,2,0),"Revisar error" )))</f>
        <v>Actualizando información</v>
      </c>
    </row>
    <row r="558" spans="1:23" x14ac:dyDescent="0.25">
      <c r="A558" s="3">
        <v>1998</v>
      </c>
      <c r="B558" s="3" t="s">
        <v>661</v>
      </c>
      <c r="C558" s="3" t="s">
        <v>7</v>
      </c>
      <c r="D558" s="3" t="s">
        <v>12</v>
      </c>
      <c r="E558" s="3" t="s">
        <v>13</v>
      </c>
      <c r="F558" s="3" t="s">
        <v>624</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VLOOKUP(A558,Deflactor!$G$3:$H$64,2,0),"Revisar error" )))</f>
        <v>Actualizando información</v>
      </c>
    </row>
    <row r="559" spans="1:23" x14ac:dyDescent="0.25">
      <c r="A559" s="3">
        <v>1998</v>
      </c>
      <c r="B559" s="3" t="s">
        <v>662</v>
      </c>
      <c r="C559" s="3" t="s">
        <v>7</v>
      </c>
      <c r="D559" s="3" t="s">
        <v>32</v>
      </c>
      <c r="E559" s="3" t="s">
        <v>33</v>
      </c>
      <c r="F559" s="3" t="s">
        <v>624</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VLOOKUP(A559,Deflactor!$G$3:$H$64,2,0),"Revisar error" )))</f>
        <v>Actualizando información</v>
      </c>
    </row>
    <row r="560" spans="1:23" x14ac:dyDescent="0.25">
      <c r="A560" s="3">
        <v>1998</v>
      </c>
      <c r="B560" s="3" t="s">
        <v>663</v>
      </c>
      <c r="C560" s="3" t="s">
        <v>7</v>
      </c>
      <c r="D560" s="3" t="s">
        <v>234</v>
      </c>
      <c r="E560" s="3" t="s">
        <v>345</v>
      </c>
      <c r="F560" s="3" t="s">
        <v>624</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VLOOKUP(A560,Deflactor!$G$3:$H$64,2,0),"Revisar error" )))</f>
        <v>Actualizando información</v>
      </c>
    </row>
    <row r="561" spans="1:23" x14ac:dyDescent="0.25">
      <c r="A561" s="3">
        <v>1998</v>
      </c>
      <c r="B561" s="3" t="s">
        <v>664</v>
      </c>
      <c r="C561" s="3" t="s">
        <v>7</v>
      </c>
      <c r="D561" s="3" t="s">
        <v>291</v>
      </c>
      <c r="E561" s="3" t="s">
        <v>292</v>
      </c>
      <c r="F561" s="3" t="s">
        <v>624</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VLOOKUP(A561,Deflactor!$G$3:$H$64,2,0),"Revisar error" )))</f>
        <v>Actualizando información</v>
      </c>
    </row>
    <row r="562" spans="1:23" x14ac:dyDescent="0.25">
      <c r="A562" s="3">
        <v>1998</v>
      </c>
      <c r="B562" s="3" t="s">
        <v>587</v>
      </c>
      <c r="C562" s="3" t="s">
        <v>7</v>
      </c>
      <c r="D562" s="3" t="s">
        <v>291</v>
      </c>
      <c r="E562" s="3" t="s">
        <v>120</v>
      </c>
      <c r="F562" s="3" t="s">
        <v>624</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VLOOKUP(A562,Deflactor!$G$3:$H$64,2,0),"Revisar error" )))</f>
        <v>Actualizando información</v>
      </c>
    </row>
    <row r="563" spans="1:23" x14ac:dyDescent="0.25">
      <c r="A563" s="3">
        <v>1998</v>
      </c>
      <c r="B563" s="3" t="s">
        <v>665</v>
      </c>
      <c r="C563" s="3" t="s">
        <v>7</v>
      </c>
      <c r="D563" s="3" t="s">
        <v>291</v>
      </c>
      <c r="E563" s="3" t="s">
        <v>120</v>
      </c>
      <c r="F563" s="3" t="s">
        <v>624</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VLOOKUP(A563,Deflactor!$G$3:$H$64,2,0),"Revisar error" )))</f>
        <v>Actualizando información</v>
      </c>
    </row>
    <row r="564" spans="1:23" x14ac:dyDescent="0.25">
      <c r="A564" s="3">
        <v>1998</v>
      </c>
      <c r="B564" s="3" t="s">
        <v>394</v>
      </c>
      <c r="C564" s="3" t="s">
        <v>7</v>
      </c>
      <c r="D564" s="3" t="s">
        <v>291</v>
      </c>
      <c r="E564" s="3" t="s">
        <v>21</v>
      </c>
      <c r="F564" s="3" t="s">
        <v>624</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VLOOKUP(A564,Deflactor!$G$3:$H$64,2,0),"Revisar error" )))</f>
        <v>Actualizando información</v>
      </c>
    </row>
    <row r="565" spans="1:23" x14ac:dyDescent="0.25">
      <c r="A565" s="3">
        <v>1998</v>
      </c>
      <c r="B565" s="3" t="s">
        <v>666</v>
      </c>
      <c r="C565" s="3" t="s">
        <v>7</v>
      </c>
      <c r="D565" s="3" t="s">
        <v>291</v>
      </c>
      <c r="E565" s="3" t="s">
        <v>396</v>
      </c>
      <c r="F565" s="3" t="s">
        <v>624</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VLOOKUP(A565,Deflactor!$G$3:$H$64,2,0),"Revisar error" )))</f>
        <v>Actualizando información</v>
      </c>
    </row>
    <row r="566" spans="1:23" x14ac:dyDescent="0.25">
      <c r="A566" s="3">
        <v>1998</v>
      </c>
      <c r="B566" s="3" t="s">
        <v>208</v>
      </c>
      <c r="C566" s="3" t="s">
        <v>7</v>
      </c>
      <c r="D566" s="3" t="s">
        <v>40</v>
      </c>
      <c r="E566" s="3" t="s">
        <v>160</v>
      </c>
      <c r="F566" s="3" t="s">
        <v>624</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VLOOKUP(A566,Deflactor!$G$3:$H$64,2,0),"Revisar error" )))</f>
        <v>Actualizando información</v>
      </c>
    </row>
    <row r="567" spans="1:23" x14ac:dyDescent="0.25">
      <c r="A567" s="3">
        <v>1998</v>
      </c>
      <c r="B567" s="3" t="s">
        <v>667</v>
      </c>
      <c r="C567" s="3" t="s">
        <v>7</v>
      </c>
      <c r="D567" s="3" t="s">
        <v>36</v>
      </c>
      <c r="E567" s="3" t="s">
        <v>68</v>
      </c>
      <c r="F567" s="3" t="s">
        <v>624</v>
      </c>
      <c r="G567" s="3"/>
      <c r="H567" s="12"/>
      <c r="I567" s="13"/>
      <c r="J567" s="10"/>
      <c r="K567" s="3"/>
      <c r="L567" s="3"/>
      <c r="M567" s="3"/>
      <c r="N567" s="3"/>
      <c r="O567" s="3"/>
      <c r="P567" s="3"/>
      <c r="Q567" s="3"/>
      <c r="R567" s="3"/>
      <c r="S567" s="3"/>
      <c r="T567" s="3"/>
      <c r="U567" s="3" t="s">
        <v>1148</v>
      </c>
      <c r="V567" s="3"/>
      <c r="W567" s="10" t="str">
        <f>IF( J567="s.i", "s.i", IF(ISBLANK(J567),"Actualizando información",IFERROR(J567 / VLOOKUP(A567,Deflactor!$G$3:$H$64,2,0),"Revisar error" )))</f>
        <v>Actualizando información</v>
      </c>
    </row>
    <row r="568" spans="1:23" x14ac:dyDescent="0.25">
      <c r="A568" s="3">
        <v>1998</v>
      </c>
      <c r="B568" s="3" t="s">
        <v>668</v>
      </c>
      <c r="C568" s="3" t="s">
        <v>7</v>
      </c>
      <c r="D568" s="3" t="s">
        <v>25</v>
      </c>
      <c r="E568" s="3" t="s">
        <v>26</v>
      </c>
      <c r="F568" s="3" t="s">
        <v>624</v>
      </c>
      <c r="G568" s="3"/>
      <c r="H568" s="12"/>
      <c r="I568" s="13"/>
      <c r="J568" s="10"/>
      <c r="K568" s="3" t="s">
        <v>2304</v>
      </c>
      <c r="L568" s="3"/>
      <c r="M568" s="3"/>
      <c r="N568" s="3"/>
      <c r="O568" s="3"/>
      <c r="P568" s="3"/>
      <c r="Q568" s="3"/>
      <c r="R568" s="3"/>
      <c r="S568" s="3"/>
      <c r="T568" s="3"/>
      <c r="U568" s="3"/>
      <c r="V568" s="3"/>
      <c r="W568" s="10" t="str">
        <f>IF( J568="s.i", "s.i", IF(ISBLANK(J568),"Actualizando información",IFERROR(J568 / VLOOKUP(A568,Deflactor!$G$3:$H$64,2,0),"Revisar error" )))</f>
        <v>Actualizando información</v>
      </c>
    </row>
    <row r="569" spans="1:23" x14ac:dyDescent="0.25">
      <c r="A569" s="3">
        <v>1998</v>
      </c>
      <c r="B569" s="3" t="s">
        <v>669</v>
      </c>
      <c r="C569" s="3" t="s">
        <v>7</v>
      </c>
      <c r="D569" s="3" t="s">
        <v>12</v>
      </c>
      <c r="E569" s="3" t="s">
        <v>404</v>
      </c>
      <c r="F569" s="3" t="s">
        <v>624</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VLOOKUP(A569,Deflactor!$G$3:$H$64,2,0),"Revisar error" )))</f>
        <v>Actualizando información</v>
      </c>
    </row>
    <row r="570" spans="1:23" x14ac:dyDescent="0.25">
      <c r="A570" s="3">
        <v>1998</v>
      </c>
      <c r="B570" s="3" t="s">
        <v>670</v>
      </c>
      <c r="C570" s="3" t="s">
        <v>7</v>
      </c>
      <c r="D570" s="3" t="s">
        <v>12</v>
      </c>
      <c r="E570" s="3" t="s">
        <v>404</v>
      </c>
      <c r="F570" s="3" t="s">
        <v>624</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VLOOKUP(A570,Deflactor!$G$3:$H$64,2,0),"Revisar error" )))</f>
        <v>Actualizando información</v>
      </c>
    </row>
    <row r="571" spans="1:23" x14ac:dyDescent="0.25">
      <c r="A571" s="3">
        <v>1998</v>
      </c>
      <c r="B571" s="3" t="s">
        <v>344</v>
      </c>
      <c r="C571" s="3" t="s">
        <v>7</v>
      </c>
      <c r="D571" s="3" t="s">
        <v>234</v>
      </c>
      <c r="E571" s="3" t="s">
        <v>345</v>
      </c>
      <c r="F571" s="3" t="s">
        <v>624</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VLOOKUP(A571,Deflactor!$G$3:$H$64,2,0),"Revisar error" )))</f>
        <v>Actualizando información</v>
      </c>
    </row>
    <row r="572" spans="1:23" x14ac:dyDescent="0.25">
      <c r="A572" s="3">
        <v>1998</v>
      </c>
      <c r="B572" s="3" t="s">
        <v>671</v>
      </c>
      <c r="C572" s="3" t="s">
        <v>7</v>
      </c>
      <c r="D572" s="3" t="s">
        <v>234</v>
      </c>
      <c r="E572" s="3" t="s">
        <v>235</v>
      </c>
      <c r="F572" s="3" t="s">
        <v>624</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VLOOKUP(A572,Deflactor!$G$3:$H$64,2,0),"Revisar error" )))</f>
        <v>Actualizando información</v>
      </c>
    </row>
    <row r="573" spans="1:23" x14ac:dyDescent="0.25">
      <c r="A573" s="3">
        <v>1998</v>
      </c>
      <c r="B573" s="3" t="s">
        <v>672</v>
      </c>
      <c r="C573" s="3" t="s">
        <v>7</v>
      </c>
      <c r="D573" s="3" t="s">
        <v>32</v>
      </c>
      <c r="E573" s="3" t="s">
        <v>33</v>
      </c>
      <c r="F573" s="3" t="s">
        <v>624</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VLOOKUP(A573,Deflactor!$G$3:$H$64,2,0),"Revisar error" )))</f>
        <v>Actualizando información</v>
      </c>
    </row>
    <row r="574" spans="1:23" x14ac:dyDescent="0.25">
      <c r="A574" s="3">
        <v>1998</v>
      </c>
      <c r="B574" s="3" t="s">
        <v>673</v>
      </c>
      <c r="C574" s="3" t="s">
        <v>7</v>
      </c>
      <c r="D574" s="3" t="s">
        <v>54</v>
      </c>
      <c r="E574" s="3" t="s">
        <v>55</v>
      </c>
      <c r="F574" s="3" t="s">
        <v>624</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VLOOKUP(A574,Deflactor!$G$3:$H$64,2,0),"Revisar error" )))</f>
        <v>Actualizando información</v>
      </c>
    </row>
    <row r="575" spans="1:23" x14ac:dyDescent="0.25">
      <c r="A575" s="3">
        <v>1998</v>
      </c>
      <c r="B575" s="3" t="s">
        <v>674</v>
      </c>
      <c r="C575" s="3" t="s">
        <v>7</v>
      </c>
      <c r="D575" s="3" t="s">
        <v>8</v>
      </c>
      <c r="E575" s="3" t="s">
        <v>51</v>
      </c>
      <c r="F575" s="3" t="s">
        <v>624</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VLOOKUP(A575,Deflactor!$G$3:$H$64,2,0),"Revisar error" )))</f>
        <v>Actualizando información</v>
      </c>
    </row>
    <row r="576" spans="1:23" x14ac:dyDescent="0.25">
      <c r="A576" s="3">
        <v>1998</v>
      </c>
      <c r="B576" s="3" t="s">
        <v>675</v>
      </c>
      <c r="C576" s="3" t="s">
        <v>7</v>
      </c>
      <c r="D576" s="3" t="s">
        <v>71</v>
      </c>
      <c r="E576" s="3" t="s">
        <v>167</v>
      </c>
      <c r="F576" s="3" t="s">
        <v>624</v>
      </c>
      <c r="G576" s="3"/>
      <c r="H576" s="12"/>
      <c r="I576" s="13"/>
      <c r="J576" s="10"/>
      <c r="K576" s="3" t="s">
        <v>2168</v>
      </c>
      <c r="L576" s="3"/>
      <c r="M576" s="3"/>
      <c r="N576" s="3"/>
      <c r="O576" s="3"/>
      <c r="P576" s="3"/>
      <c r="Q576" s="3"/>
      <c r="R576" s="3"/>
      <c r="S576" s="3"/>
      <c r="T576" s="3"/>
      <c r="U576" s="3"/>
      <c r="V576" s="3"/>
      <c r="W576" s="10" t="str">
        <f>IF( J576="s.i", "s.i", IF(ISBLANK(J576),"Actualizando información",IFERROR(J576 / VLOOKUP(A576,Deflactor!$G$3:$H$64,2,0),"Revisar error" )))</f>
        <v>Actualizando información</v>
      </c>
    </row>
    <row r="577" spans="1:23" x14ac:dyDescent="0.25">
      <c r="A577" s="3">
        <v>1998</v>
      </c>
      <c r="B577" s="3" t="s">
        <v>676</v>
      </c>
      <c r="C577" s="3" t="s">
        <v>7</v>
      </c>
      <c r="D577" s="3" t="s">
        <v>445</v>
      </c>
      <c r="E577" s="3" t="s">
        <v>640</v>
      </c>
      <c r="F577" s="3" t="s">
        <v>624</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VLOOKUP(A577,Deflactor!$G$3:$H$64,2,0),"Revisar error" )))</f>
        <v>Actualizando información</v>
      </c>
    </row>
    <row r="578" spans="1:23" x14ac:dyDescent="0.25">
      <c r="A578" s="3">
        <v>1998</v>
      </c>
      <c r="B578" s="3" t="s">
        <v>437</v>
      </c>
      <c r="C578" s="3" t="s">
        <v>7</v>
      </c>
      <c r="D578" s="3" t="s">
        <v>445</v>
      </c>
      <c r="E578" s="3" t="s">
        <v>545</v>
      </c>
      <c r="F578" s="3" t="s">
        <v>624</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VLOOKUP(A578,Deflactor!$G$3:$H$64,2,0),"Revisar error" )))</f>
        <v>Actualizando información</v>
      </c>
    </row>
    <row r="579" spans="1:23" x14ac:dyDescent="0.25">
      <c r="A579" s="3">
        <v>1998</v>
      </c>
      <c r="B579" s="3" t="s">
        <v>677</v>
      </c>
      <c r="C579" s="3" t="s">
        <v>7</v>
      </c>
      <c r="D579" s="3" t="s">
        <v>25</v>
      </c>
      <c r="E579" s="3" t="s">
        <v>26</v>
      </c>
      <c r="F579" s="3" t="s">
        <v>624</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VLOOKUP(A579,Deflactor!$G$3:$H$64,2,0),"Revisar error" )))</f>
        <v>Actualizando información</v>
      </c>
    </row>
    <row r="580" spans="1:23" x14ac:dyDescent="0.25">
      <c r="A580" s="3">
        <v>1998</v>
      </c>
      <c r="B580" s="3" t="s">
        <v>678</v>
      </c>
      <c r="C580" s="3" t="s">
        <v>7</v>
      </c>
      <c r="D580" s="3" t="s">
        <v>12</v>
      </c>
      <c r="E580" s="3" t="s">
        <v>404</v>
      </c>
      <c r="F580" s="3" t="s">
        <v>624</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VLOOKUP(A580,Deflactor!$G$3:$H$64,2,0),"Revisar error" )))</f>
        <v>Actualizando información</v>
      </c>
    </row>
    <row r="581" spans="1:23" x14ac:dyDescent="0.25">
      <c r="A581" s="3">
        <v>1998</v>
      </c>
      <c r="B581" s="3" t="s">
        <v>679</v>
      </c>
      <c r="C581" s="3" t="s">
        <v>7</v>
      </c>
      <c r="D581" s="3" t="s">
        <v>45</v>
      </c>
      <c r="E581" s="3" t="s">
        <v>184</v>
      </c>
      <c r="F581" s="3" t="s">
        <v>624</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VLOOKUP(A581,Deflactor!$G$3:$H$64,2,0),"Revisar error" )))</f>
        <v>Actualizando información</v>
      </c>
    </row>
    <row r="582" spans="1:23" x14ac:dyDescent="0.25">
      <c r="A582" s="3">
        <v>1998</v>
      </c>
      <c r="B582" s="3" t="s">
        <v>516</v>
      </c>
      <c r="C582" s="3" t="s">
        <v>7</v>
      </c>
      <c r="D582" s="3" t="s">
        <v>25</v>
      </c>
      <c r="E582" s="3" t="s">
        <v>410</v>
      </c>
      <c r="F582" s="3" t="s">
        <v>624</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VLOOKUP(A582,Deflactor!$G$3:$H$64,2,0),"Revisar error" )))</f>
        <v>Actualizando información</v>
      </c>
    </row>
    <row r="583" spans="1:23" x14ac:dyDescent="0.25">
      <c r="A583" s="3">
        <v>1998</v>
      </c>
      <c r="B583" s="3" t="s">
        <v>680</v>
      </c>
      <c r="C583" s="3" t="s">
        <v>7</v>
      </c>
      <c r="D583" s="3" t="s">
        <v>25</v>
      </c>
      <c r="E583" s="3" t="s">
        <v>26</v>
      </c>
      <c r="F583" s="3" t="s">
        <v>624</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VLOOKUP(A583,Deflactor!$G$3:$H$64,2,0),"Revisar error" )))</f>
        <v>Actualizando información</v>
      </c>
    </row>
    <row r="584" spans="1:23" x14ac:dyDescent="0.25">
      <c r="A584" s="3">
        <v>1998</v>
      </c>
      <c r="B584" s="3" t="s">
        <v>681</v>
      </c>
      <c r="C584" s="3" t="s">
        <v>7</v>
      </c>
      <c r="D584" s="3" t="s">
        <v>25</v>
      </c>
      <c r="E584" s="3" t="s">
        <v>26</v>
      </c>
      <c r="F584" s="3" t="s">
        <v>624</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VLOOKUP(A584,Deflactor!$G$3:$H$64,2,0),"Revisar error" )))</f>
        <v>Actualizando información</v>
      </c>
    </row>
    <row r="585" spans="1:23" x14ac:dyDescent="0.25">
      <c r="A585" s="3">
        <v>1998</v>
      </c>
      <c r="B585" s="3" t="s">
        <v>682</v>
      </c>
      <c r="C585" s="3" t="s">
        <v>7</v>
      </c>
      <c r="D585" s="3" t="s">
        <v>36</v>
      </c>
      <c r="E585" s="3" t="s">
        <v>37</v>
      </c>
      <c r="F585" s="3" t="s">
        <v>624</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VLOOKUP(A585,Deflactor!$G$3:$H$64,2,0),"Revisar error" )))</f>
        <v>Actualizando información</v>
      </c>
    </row>
    <row r="586" spans="1:23" x14ac:dyDescent="0.25">
      <c r="A586" s="3">
        <v>1998</v>
      </c>
      <c r="B586" s="3" t="s">
        <v>683</v>
      </c>
      <c r="C586" s="3" t="s">
        <v>7</v>
      </c>
      <c r="D586" s="3" t="s">
        <v>36</v>
      </c>
      <c r="E586" s="3" t="s">
        <v>94</v>
      </c>
      <c r="F586" s="3" t="s">
        <v>624</v>
      </c>
      <c r="G586" s="3"/>
      <c r="H586" s="12"/>
      <c r="I586" s="13"/>
      <c r="J586" s="10"/>
      <c r="K586" s="3"/>
      <c r="L586" s="3"/>
      <c r="M586" s="3"/>
      <c r="N586" s="3"/>
      <c r="O586" s="3"/>
      <c r="P586" s="3"/>
      <c r="Q586" s="3"/>
      <c r="R586" s="3"/>
      <c r="S586" s="3"/>
      <c r="T586" s="3"/>
      <c r="U586" s="3" t="s">
        <v>1150</v>
      </c>
      <c r="V586" s="3"/>
      <c r="W586" s="10" t="str">
        <f>IF( J586="s.i", "s.i", IF(ISBLANK(J586),"Actualizando información",IFERROR(J586 / VLOOKUP(A586,Deflactor!$G$3:$H$64,2,0),"Revisar error" )))</f>
        <v>Actualizando información</v>
      </c>
    </row>
    <row r="587" spans="1:23" x14ac:dyDescent="0.25">
      <c r="A587" s="3">
        <v>1998</v>
      </c>
      <c r="B587" s="3" t="s">
        <v>684</v>
      </c>
      <c r="C587" s="3" t="s">
        <v>7</v>
      </c>
      <c r="D587" s="3" t="s">
        <v>36</v>
      </c>
      <c r="E587" s="3" t="s">
        <v>98</v>
      </c>
      <c r="F587" s="3" t="s">
        <v>624</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VLOOKUP(A587,Deflactor!$G$3:$H$64,2,0),"Revisar error" )))</f>
        <v>Actualizando información</v>
      </c>
    </row>
    <row r="588" spans="1:23" x14ac:dyDescent="0.25">
      <c r="A588" s="3">
        <v>1998</v>
      </c>
      <c r="B588" s="3" t="s">
        <v>685</v>
      </c>
      <c r="C588" s="3" t="s">
        <v>7</v>
      </c>
      <c r="D588" s="3" t="s">
        <v>36</v>
      </c>
      <c r="E588" s="3" t="s">
        <v>98</v>
      </c>
      <c r="F588" s="3" t="s">
        <v>624</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VLOOKUP(A588,Deflactor!$G$3:$H$64,2,0),"Revisar error" )))</f>
        <v>Actualizando información</v>
      </c>
    </row>
    <row r="589" spans="1:23" x14ac:dyDescent="0.25">
      <c r="A589" s="3">
        <v>1998</v>
      </c>
      <c r="B589" s="3" t="s">
        <v>686</v>
      </c>
      <c r="C589" s="3" t="s">
        <v>7</v>
      </c>
      <c r="D589" s="3" t="s">
        <v>40</v>
      </c>
      <c r="E589" s="3" t="s">
        <v>41</v>
      </c>
      <c r="F589" s="3" t="s">
        <v>624</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VLOOKUP(A589,Deflactor!$G$3:$H$64,2,0),"Revisar error" )))</f>
        <v>Actualizando información</v>
      </c>
    </row>
    <row r="590" spans="1:23" x14ac:dyDescent="0.25">
      <c r="A590" s="3">
        <v>1998</v>
      </c>
      <c r="B590" s="3" t="s">
        <v>687</v>
      </c>
      <c r="C590" s="3" t="s">
        <v>7</v>
      </c>
      <c r="D590" s="3" t="s">
        <v>40</v>
      </c>
      <c r="E590" s="3" t="s">
        <v>41</v>
      </c>
      <c r="F590" s="3" t="s">
        <v>624</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VLOOKUP(A590,Deflactor!$G$3:$H$64,2,0),"Revisar error" )))</f>
        <v>Actualizando información</v>
      </c>
    </row>
    <row r="591" spans="1:23" x14ac:dyDescent="0.25">
      <c r="A591" s="3">
        <v>1998</v>
      </c>
      <c r="B591" s="3" t="s">
        <v>688</v>
      </c>
      <c r="C591" s="3" t="s">
        <v>7</v>
      </c>
      <c r="D591" s="3" t="s">
        <v>40</v>
      </c>
      <c r="E591" s="3" t="s">
        <v>41</v>
      </c>
      <c r="F591" s="3" t="s">
        <v>624</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VLOOKUP(A591,Deflactor!$G$3:$H$64,2,0),"Revisar error" )))</f>
        <v>Actualizando información</v>
      </c>
    </row>
    <row r="592" spans="1:23" x14ac:dyDescent="0.25">
      <c r="A592" s="3">
        <v>1998</v>
      </c>
      <c r="B592" s="3" t="s">
        <v>689</v>
      </c>
      <c r="C592" s="3" t="s">
        <v>7</v>
      </c>
      <c r="D592" s="3" t="s">
        <v>36</v>
      </c>
      <c r="E592" s="3" t="s">
        <v>81</v>
      </c>
      <c r="F592" s="3" t="s">
        <v>624</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VLOOKUP(A592,Deflactor!$G$3:$H$64,2,0),"Revisar error" )))</f>
        <v>Actualizando información</v>
      </c>
    </row>
    <row r="593" spans="1:23" x14ac:dyDescent="0.25">
      <c r="A593" s="3">
        <v>1998</v>
      </c>
      <c r="B593" s="3" t="s">
        <v>690</v>
      </c>
      <c r="C593" s="3" t="s">
        <v>7</v>
      </c>
      <c r="D593" s="3" t="s">
        <v>36</v>
      </c>
      <c r="E593" s="3" t="s">
        <v>98</v>
      </c>
      <c r="F593" s="3" t="s">
        <v>624</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VLOOKUP(A593,Deflactor!$G$3:$H$64,2,0),"Revisar error" )))</f>
        <v>Actualizando información</v>
      </c>
    </row>
    <row r="594" spans="1:23" x14ac:dyDescent="0.25">
      <c r="A594" s="3">
        <v>1998</v>
      </c>
      <c r="B594" s="3" t="s">
        <v>691</v>
      </c>
      <c r="C594" s="3" t="s">
        <v>7</v>
      </c>
      <c r="D594" s="3" t="s">
        <v>40</v>
      </c>
      <c r="E594" s="3" t="s">
        <v>41</v>
      </c>
      <c r="F594" s="3" t="s">
        <v>624</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VLOOKUP(A594,Deflactor!$G$3:$H$64,2,0),"Revisar error" )))</f>
        <v>Actualizando información</v>
      </c>
    </row>
    <row r="595" spans="1:23" x14ac:dyDescent="0.25">
      <c r="A595" s="3">
        <v>1998</v>
      </c>
      <c r="B595" s="3" t="s">
        <v>692</v>
      </c>
      <c r="C595" s="3" t="s">
        <v>7</v>
      </c>
      <c r="D595" s="3" t="s">
        <v>8</v>
      </c>
      <c r="E595" s="3" t="s">
        <v>693</v>
      </c>
      <c r="F595" s="3" t="s">
        <v>624</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VLOOKUP(A595,Deflactor!$G$3:$H$64,2,0),"Revisar error" )))</f>
        <v>Actualizando información</v>
      </c>
    </row>
    <row r="596" spans="1:23" x14ac:dyDescent="0.25">
      <c r="A596" s="3">
        <v>1998</v>
      </c>
      <c r="B596" s="3" t="s">
        <v>694</v>
      </c>
      <c r="C596" s="3" t="s">
        <v>7</v>
      </c>
      <c r="D596" s="3" t="s">
        <v>8</v>
      </c>
      <c r="E596" s="3" t="s">
        <v>51</v>
      </c>
      <c r="F596" s="3" t="s">
        <v>624</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VLOOKUP(A596,Deflactor!$G$3:$H$64,2,0),"Revisar error" )))</f>
        <v>Actualizando información</v>
      </c>
    </row>
    <row r="597" spans="1:23" x14ac:dyDescent="0.25">
      <c r="A597" s="3">
        <v>1998</v>
      </c>
      <c r="B597" s="3" t="s">
        <v>663</v>
      </c>
      <c r="C597" s="3" t="s">
        <v>7</v>
      </c>
      <c r="D597" s="3" t="s">
        <v>64</v>
      </c>
      <c r="E597" s="3" t="s">
        <v>571</v>
      </c>
      <c r="F597" s="3" t="s">
        <v>624</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VLOOKUP(A597,Deflactor!$G$3:$H$64,2,0),"Revisar error" )))</f>
        <v>Actualizando información</v>
      </c>
    </row>
    <row r="598" spans="1:23" x14ac:dyDescent="0.25">
      <c r="A598" s="3">
        <v>1998</v>
      </c>
      <c r="B598" s="3" t="s">
        <v>695</v>
      </c>
      <c r="C598" s="3" t="s">
        <v>7</v>
      </c>
      <c r="D598" s="3" t="s">
        <v>64</v>
      </c>
      <c r="E598" s="3" t="s">
        <v>65</v>
      </c>
      <c r="F598" s="3" t="s">
        <v>624</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VLOOKUP(A598,Deflactor!$G$3:$H$64,2,0),"Revisar error" )))</f>
        <v>Actualizando información</v>
      </c>
    </row>
    <row r="599" spans="1:23" x14ac:dyDescent="0.25">
      <c r="A599" s="3">
        <v>1998</v>
      </c>
      <c r="B599" s="3" t="s">
        <v>696</v>
      </c>
      <c r="C599" s="3" t="s">
        <v>7</v>
      </c>
      <c r="D599" s="3" t="s">
        <v>54</v>
      </c>
      <c r="E599" s="3" t="s">
        <v>244</v>
      </c>
      <c r="F599" s="3" t="s">
        <v>624</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VLOOKUP(A599,Deflactor!$G$3:$H$64,2,0),"Revisar error" )))</f>
        <v>Actualizando información</v>
      </c>
    </row>
    <row r="600" spans="1:23" x14ac:dyDescent="0.25">
      <c r="A600" s="3">
        <v>1998</v>
      </c>
      <c r="B600" s="3" t="s">
        <v>697</v>
      </c>
      <c r="C600" s="3" t="s">
        <v>7</v>
      </c>
      <c r="D600" s="3" t="s">
        <v>54</v>
      </c>
      <c r="E600" s="3" t="s">
        <v>646</v>
      </c>
      <c r="F600" s="3" t="s">
        <v>624</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VLOOKUP(A600,Deflactor!$G$3:$H$64,2,0),"Revisar error" )))</f>
        <v>Actualizando información</v>
      </c>
    </row>
    <row r="601" spans="1:23" x14ac:dyDescent="0.25">
      <c r="A601" s="3">
        <v>1998</v>
      </c>
      <c r="B601" s="3" t="s">
        <v>698</v>
      </c>
      <c r="C601" s="3" t="s">
        <v>7</v>
      </c>
      <c r="D601" s="3" t="s">
        <v>54</v>
      </c>
      <c r="E601" s="3" t="s">
        <v>237</v>
      </c>
      <c r="F601" s="3" t="s">
        <v>624</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VLOOKUP(A601,Deflactor!$G$3:$H$64,2,0),"Revisar error" )))</f>
        <v>Actualizando información</v>
      </c>
    </row>
    <row r="602" spans="1:23" x14ac:dyDescent="0.25">
      <c r="A602" s="3">
        <v>1998</v>
      </c>
      <c r="B602" s="3" t="s">
        <v>699</v>
      </c>
      <c r="C602" s="3" t="s">
        <v>7</v>
      </c>
      <c r="D602" s="3" t="s">
        <v>32</v>
      </c>
      <c r="E602" s="3" t="s">
        <v>33</v>
      </c>
      <c r="F602" s="3" t="s">
        <v>624</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VLOOKUP(A602,Deflactor!$G$3:$H$64,2,0),"Revisar error" )))</f>
        <v>Actualizando información</v>
      </c>
    </row>
    <row r="603" spans="1:23" x14ac:dyDescent="0.25">
      <c r="A603" s="3">
        <v>1997</v>
      </c>
      <c r="B603" s="3" t="s">
        <v>700</v>
      </c>
      <c r="C603" s="3" t="s">
        <v>7</v>
      </c>
      <c r="D603" s="3" t="s">
        <v>8</v>
      </c>
      <c r="E603" s="3" t="s">
        <v>51</v>
      </c>
      <c r="F603" s="3" t="s">
        <v>624</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VLOOKUP(A603,Deflactor!$G$3:$H$64,2,0),"Revisar error" )))</f>
        <v>Actualizando información</v>
      </c>
    </row>
    <row r="604" spans="1:23" x14ac:dyDescent="0.25">
      <c r="A604" s="3">
        <v>1997</v>
      </c>
      <c r="B604" s="3" t="s">
        <v>701</v>
      </c>
      <c r="C604" s="3" t="s">
        <v>7</v>
      </c>
      <c r="D604" s="3" t="s">
        <v>71</v>
      </c>
      <c r="E604" s="3" t="s">
        <v>167</v>
      </c>
      <c r="F604" s="3" t="s">
        <v>624</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VLOOKUP(A604,Deflactor!$G$3:$H$64,2,0),"Revisar error" )))</f>
        <v>Actualizando información</v>
      </c>
    </row>
    <row r="605" spans="1:23" x14ac:dyDescent="0.25">
      <c r="A605" s="3">
        <v>1997</v>
      </c>
      <c r="B605" s="3" t="s">
        <v>702</v>
      </c>
      <c r="C605" s="3" t="s">
        <v>7</v>
      </c>
      <c r="D605" s="3" t="s">
        <v>36</v>
      </c>
      <c r="E605" s="3" t="s">
        <v>81</v>
      </c>
      <c r="F605" s="3" t="s">
        <v>624</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VLOOKUP(A605,Deflactor!$G$3:$H$64,2,0),"Revisar error" )))</f>
        <v>Actualizando información</v>
      </c>
    </row>
    <row r="606" spans="1:23" x14ac:dyDescent="0.25">
      <c r="A606" s="3">
        <v>1997</v>
      </c>
      <c r="B606" s="3" t="s">
        <v>703</v>
      </c>
      <c r="C606" s="3" t="s">
        <v>7</v>
      </c>
      <c r="D606" s="3" t="s">
        <v>36</v>
      </c>
      <c r="E606" s="3" t="s">
        <v>37</v>
      </c>
      <c r="F606" s="3" t="s">
        <v>624</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VLOOKUP(A606,Deflactor!$G$3:$H$64,2,0),"Revisar error" )))</f>
        <v>Actualizando información</v>
      </c>
    </row>
    <row r="607" spans="1:23" x14ac:dyDescent="0.25">
      <c r="A607" s="3">
        <v>1997</v>
      </c>
      <c r="B607" s="3" t="s">
        <v>617</v>
      </c>
      <c r="C607" s="3" t="s">
        <v>7</v>
      </c>
      <c r="D607" s="3" t="s">
        <v>36</v>
      </c>
      <c r="E607" s="3" t="s">
        <v>37</v>
      </c>
      <c r="F607" s="3" t="s">
        <v>624</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VLOOKUP(A607,Deflactor!$G$3:$H$64,2,0),"Revisar error" )))</f>
        <v>Actualizando información</v>
      </c>
    </row>
    <row r="608" spans="1:23" x14ac:dyDescent="0.25">
      <c r="A608" s="3">
        <v>1997</v>
      </c>
      <c r="B608" s="3" t="s">
        <v>704</v>
      </c>
      <c r="C608" s="3" t="s">
        <v>7</v>
      </c>
      <c r="D608" s="3" t="s">
        <v>25</v>
      </c>
      <c r="E608" s="3" t="s">
        <v>26</v>
      </c>
      <c r="F608" s="3" t="s">
        <v>624</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VLOOKUP(A608,Deflactor!$G$3:$H$64,2,0),"Revisar error" )))</f>
        <v>Actualizando información</v>
      </c>
    </row>
    <row r="609" spans="1:23" x14ac:dyDescent="0.25">
      <c r="A609" s="3">
        <v>1997</v>
      </c>
      <c r="B609" s="3" t="s">
        <v>705</v>
      </c>
      <c r="C609" s="3" t="s">
        <v>7</v>
      </c>
      <c r="D609" s="3" t="s">
        <v>12</v>
      </c>
      <c r="E609" s="3" t="s">
        <v>13</v>
      </c>
      <c r="F609" s="3" t="s">
        <v>624</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VLOOKUP(A609,Deflactor!$G$3:$H$64,2,0),"Revisar error" )))</f>
        <v>Actualizando información</v>
      </c>
    </row>
    <row r="610" spans="1:23" x14ac:dyDescent="0.25">
      <c r="A610" s="3">
        <v>1997</v>
      </c>
      <c r="B610" s="3" t="s">
        <v>706</v>
      </c>
      <c r="C610" s="3" t="s">
        <v>7</v>
      </c>
      <c r="D610" s="3" t="s">
        <v>64</v>
      </c>
      <c r="E610" s="3" t="s">
        <v>203</v>
      </c>
      <c r="F610" s="3" t="s">
        <v>624</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VLOOKUP(A610,Deflactor!$G$3:$H$64,2,0),"Revisar error" )))</f>
        <v>Actualizando información</v>
      </c>
    </row>
    <row r="611" spans="1:23" x14ac:dyDescent="0.25">
      <c r="A611" s="3">
        <v>1997</v>
      </c>
      <c r="B611" s="3" t="s">
        <v>707</v>
      </c>
      <c r="C611" s="3" t="s">
        <v>7</v>
      </c>
      <c r="D611" s="3" t="s">
        <v>32</v>
      </c>
      <c r="E611" s="3" t="s">
        <v>33</v>
      </c>
      <c r="F611" s="3" t="s">
        <v>624</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VLOOKUP(A611,Deflactor!$G$3:$H$64,2,0),"Revisar error" )))</f>
        <v>Actualizando información</v>
      </c>
    </row>
    <row r="612" spans="1:23" x14ac:dyDescent="0.25">
      <c r="A612" s="3">
        <v>1997</v>
      </c>
      <c r="B612" s="3" t="s">
        <v>708</v>
      </c>
      <c r="C612" s="3" t="s">
        <v>7</v>
      </c>
      <c r="D612" s="3" t="s">
        <v>291</v>
      </c>
      <c r="E612" s="3" t="s">
        <v>120</v>
      </c>
      <c r="F612" s="3" t="s">
        <v>624</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VLOOKUP(A612,Deflactor!$G$3:$H$64,2,0),"Revisar error" )))</f>
        <v>Actualizando información</v>
      </c>
    </row>
    <row r="613" spans="1:23" x14ac:dyDescent="0.25">
      <c r="A613" s="3">
        <v>1997</v>
      </c>
      <c r="B613" s="3" t="s">
        <v>709</v>
      </c>
      <c r="C613" s="3" t="s">
        <v>7</v>
      </c>
      <c r="D613" s="3" t="s">
        <v>291</v>
      </c>
      <c r="E613" s="3" t="s">
        <v>120</v>
      </c>
      <c r="F613" s="3" t="s">
        <v>624</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VLOOKUP(A613,Deflactor!$G$3:$H$64,2,0),"Revisar error" )))</f>
        <v>Actualizando información</v>
      </c>
    </row>
    <row r="614" spans="1:23" x14ac:dyDescent="0.25">
      <c r="A614" s="3">
        <v>1997</v>
      </c>
      <c r="B614" s="3" t="s">
        <v>710</v>
      </c>
      <c r="C614" s="3" t="s">
        <v>7</v>
      </c>
      <c r="D614" s="3" t="s">
        <v>291</v>
      </c>
      <c r="E614" s="3" t="s">
        <v>176</v>
      </c>
      <c r="F614" s="3" t="s">
        <v>624</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VLOOKUP(A614,Deflactor!$G$3:$H$64,2,0),"Revisar error" )))</f>
        <v>Actualizando información</v>
      </c>
    </row>
    <row r="615" spans="1:23" x14ac:dyDescent="0.25">
      <c r="A615" s="3">
        <v>1997</v>
      </c>
      <c r="B615" s="3" t="s">
        <v>711</v>
      </c>
      <c r="C615" s="3" t="s">
        <v>7</v>
      </c>
      <c r="D615" s="3" t="s">
        <v>8</v>
      </c>
      <c r="E615" s="3" t="s">
        <v>9</v>
      </c>
      <c r="F615" s="3" t="s">
        <v>624</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VLOOKUP(A615,Deflactor!$G$3:$H$64,2,0),"Revisar error" )))</f>
        <v>Actualizando información</v>
      </c>
    </row>
    <row r="616" spans="1:23" x14ac:dyDescent="0.25">
      <c r="A616" s="3">
        <v>1997</v>
      </c>
      <c r="B616" s="3" t="s">
        <v>712</v>
      </c>
      <c r="C616" s="3" t="s">
        <v>7</v>
      </c>
      <c r="D616" s="3" t="s">
        <v>32</v>
      </c>
      <c r="E616" s="3" t="s">
        <v>33</v>
      </c>
      <c r="F616" s="3" t="s">
        <v>624</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VLOOKUP(A616,Deflactor!$G$3:$H$64,2,0),"Revisar error" )))</f>
        <v>Actualizando información</v>
      </c>
    </row>
    <row r="617" spans="1:23" x14ac:dyDescent="0.25">
      <c r="A617" s="3">
        <v>1997</v>
      </c>
      <c r="B617" s="3" t="s">
        <v>713</v>
      </c>
      <c r="C617" s="3" t="s">
        <v>7</v>
      </c>
      <c r="D617" s="3" t="s">
        <v>159</v>
      </c>
      <c r="E617" s="3" t="s">
        <v>160</v>
      </c>
      <c r="F617" s="3" t="s">
        <v>624</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VLOOKUP(A617,Deflactor!$G$3:$H$64,2,0),"Revisar error" )))</f>
        <v>Actualizando información</v>
      </c>
    </row>
    <row r="618" spans="1:23" x14ac:dyDescent="0.25">
      <c r="A618" s="3">
        <v>1997</v>
      </c>
      <c r="B618" s="3" t="s">
        <v>714</v>
      </c>
      <c r="C618" s="3" t="s">
        <v>7</v>
      </c>
      <c r="D618" s="3" t="s">
        <v>164</v>
      </c>
      <c r="E618" s="3" t="s">
        <v>165</v>
      </c>
      <c r="F618" s="3" t="s">
        <v>624</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VLOOKUP(A618,Deflactor!$G$3:$H$64,2,0),"Revisar error" )))</f>
        <v>Actualizando información</v>
      </c>
    </row>
    <row r="619" spans="1:23" x14ac:dyDescent="0.25">
      <c r="A619" s="3">
        <v>1997</v>
      </c>
      <c r="B619" s="3" t="s">
        <v>715</v>
      </c>
      <c r="C619" s="3" t="s">
        <v>7</v>
      </c>
      <c r="D619" s="3" t="s">
        <v>54</v>
      </c>
      <c r="E619" s="3" t="s">
        <v>646</v>
      </c>
      <c r="F619" s="3" t="s">
        <v>624</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VLOOKUP(A619,Deflactor!$G$3:$H$64,2,0),"Revisar error" )))</f>
        <v>Actualizando información</v>
      </c>
    </row>
    <row r="620" spans="1:23" x14ac:dyDescent="0.25">
      <c r="A620" s="3">
        <v>1997</v>
      </c>
      <c r="B620" s="3" t="s">
        <v>716</v>
      </c>
      <c r="C620" s="3" t="s">
        <v>7</v>
      </c>
      <c r="D620" s="3" t="s">
        <v>54</v>
      </c>
      <c r="E620" s="3" t="s">
        <v>646</v>
      </c>
      <c r="F620" s="3" t="s">
        <v>624</v>
      </c>
      <c r="G620" s="3"/>
      <c r="H620" s="12"/>
      <c r="I620" s="13"/>
      <c r="J620" s="10"/>
      <c r="K620" s="3"/>
      <c r="L620" s="3"/>
      <c r="M620" s="3"/>
      <c r="N620" s="3"/>
      <c r="O620" s="3"/>
      <c r="P620" s="3"/>
      <c r="Q620" s="3"/>
      <c r="R620" s="3"/>
      <c r="S620" s="3"/>
      <c r="T620" s="3"/>
      <c r="U620" s="3" t="s">
        <v>1326</v>
      </c>
      <c r="V620" s="3"/>
      <c r="W620" s="10" t="str">
        <f>IF( J620="s.i", "s.i", IF(ISBLANK(J620),"Actualizando información",IFERROR(J620 / VLOOKUP(A620,Deflactor!$G$3:$H$64,2,0),"Revisar error" )))</f>
        <v>Actualizando información</v>
      </c>
    </row>
    <row r="621" spans="1:23" x14ac:dyDescent="0.25">
      <c r="A621" s="3">
        <v>1997</v>
      </c>
      <c r="B621" s="3" t="s">
        <v>717</v>
      </c>
      <c r="C621" s="3" t="s">
        <v>7</v>
      </c>
      <c r="D621" s="3" t="s">
        <v>64</v>
      </c>
      <c r="E621" s="3" t="s">
        <v>203</v>
      </c>
      <c r="F621" s="3" t="s">
        <v>624</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VLOOKUP(A621,Deflactor!$G$3:$H$64,2,0),"Revisar error" )))</f>
        <v>Actualizando información</v>
      </c>
    </row>
    <row r="622" spans="1:23" x14ac:dyDescent="0.25">
      <c r="A622" s="3">
        <v>1997</v>
      </c>
      <c r="B622" s="3" t="s">
        <v>718</v>
      </c>
      <c r="C622" s="3" t="s">
        <v>7</v>
      </c>
      <c r="D622" s="3" t="s">
        <v>32</v>
      </c>
      <c r="E622" s="3" t="s">
        <v>33</v>
      </c>
      <c r="F622" s="3" t="s">
        <v>624</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VLOOKUP(A622,Deflactor!$G$3:$H$64,2,0),"Revisar error" )))</f>
        <v>Actualizando información</v>
      </c>
    </row>
  </sheetData>
  <autoFilter ref="A1:AS622" xr:uid="{ABDF6ED0-5D3E-4C07-9B0E-7BC101B91C41}"/>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s>
  <pageMargins left="0.7" right="0.7" top="0.75" bottom="0.75" header="0.3" footer="0.3"/>
  <pageSetup paperSize="9" orientation="portrait" horizontalDpi="300" verticalDpi="300" r:id="rId255"/>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20"/>
  <sheetViews>
    <sheetView topLeftCell="N1" workbookViewId="0">
      <selection activeCell="W1" sqref="W1"/>
    </sheetView>
  </sheetViews>
  <sheetFormatPr baseColWidth="10" defaultRowHeight="15" x14ac:dyDescent="0.25"/>
  <cols>
    <col min="1" max="1" width="10.140625" bestFit="1" customWidth="1"/>
    <col min="3" max="3" width="12.140625" bestFit="1" customWidth="1"/>
    <col min="4" max="4" width="14.28515625" customWidth="1"/>
    <col min="5" max="5" width="14.140625" customWidth="1"/>
    <col min="13" max="13" width="11.42578125" style="38"/>
    <col min="15" max="15" width="42.85546875" bestFit="1" customWidth="1"/>
    <col min="16" max="16" width="26.5703125" customWidth="1"/>
    <col min="17" max="17" width="22" bestFit="1" customWidth="1"/>
    <col min="19" max="19" width="22" bestFit="1" customWidth="1"/>
    <col min="20" max="20" width="14.5703125" bestFit="1" customWidth="1"/>
  </cols>
  <sheetData>
    <row r="1" spans="1:22" x14ac:dyDescent="0.25">
      <c r="A1" t="s">
        <v>2346</v>
      </c>
      <c r="B1" t="s">
        <v>2339</v>
      </c>
      <c r="C1" t="s">
        <v>2340</v>
      </c>
      <c r="D1" t="s">
        <v>2341</v>
      </c>
      <c r="E1" t="s">
        <v>2342</v>
      </c>
      <c r="F1" t="s">
        <v>2343</v>
      </c>
      <c r="N1" t="s">
        <v>2340</v>
      </c>
      <c r="O1" t="s">
        <v>2345</v>
      </c>
    </row>
    <row r="2" spans="1:22" x14ac:dyDescent="0.25">
      <c r="A2">
        <v>1</v>
      </c>
      <c r="B2" s="42">
        <v>44152</v>
      </c>
      <c r="C2" t="s">
        <v>2334</v>
      </c>
      <c r="D2" t="s">
        <v>2335</v>
      </c>
      <c r="E2" t="s">
        <v>2336</v>
      </c>
      <c r="F2" t="s">
        <v>2344</v>
      </c>
      <c r="N2" t="s">
        <v>2347</v>
      </c>
      <c r="O2" t="s">
        <v>0</v>
      </c>
      <c r="P2" t="s">
        <v>1</v>
      </c>
      <c r="Q2" t="s">
        <v>3</v>
      </c>
      <c r="R2" t="s">
        <v>4</v>
      </c>
      <c r="S2" t="s">
        <v>720</v>
      </c>
      <c r="T2" t="s">
        <v>2349</v>
      </c>
      <c r="U2" t="s">
        <v>2350</v>
      </c>
      <c r="V2" t="s">
        <v>2351</v>
      </c>
    </row>
    <row r="3" spans="1:22" x14ac:dyDescent="0.25">
      <c r="A3">
        <v>2</v>
      </c>
      <c r="B3" s="42">
        <v>44152</v>
      </c>
      <c r="C3" t="s">
        <v>2337</v>
      </c>
      <c r="O3">
        <v>2017</v>
      </c>
      <c r="P3" t="s">
        <v>86</v>
      </c>
      <c r="Q3" t="s">
        <v>87</v>
      </c>
      <c r="R3" t="s">
        <v>88</v>
      </c>
      <c r="S3" s="2">
        <v>13058655000000</v>
      </c>
      <c r="T3" s="2">
        <f xml:space="preserve"> 11725662 * 1000</f>
        <v>11725662000</v>
      </c>
      <c r="U3" s="4" t="s">
        <v>2348</v>
      </c>
      <c r="V3" s="4" t="s">
        <v>2352</v>
      </c>
    </row>
    <row r="4" spans="1:22" x14ac:dyDescent="0.25">
      <c r="A4">
        <v>3</v>
      </c>
      <c r="B4" s="42">
        <v>44152</v>
      </c>
      <c r="D4" t="s">
        <v>2338</v>
      </c>
      <c r="O4">
        <v>2017</v>
      </c>
      <c r="P4" t="s">
        <v>99</v>
      </c>
      <c r="Q4" t="s">
        <v>36</v>
      </c>
      <c r="R4" t="s">
        <v>81</v>
      </c>
      <c r="S4" s="2">
        <v>27041864000000</v>
      </c>
      <c r="T4" s="43">
        <f xml:space="preserve"> 26854830 * 1000</f>
        <v>26854830000</v>
      </c>
      <c r="U4" s="4" t="s">
        <v>2354</v>
      </c>
      <c r="V4" s="4" t="s">
        <v>2353</v>
      </c>
    </row>
    <row r="5" spans="1:22" x14ac:dyDescent="0.25">
      <c r="O5">
        <v>2017</v>
      </c>
      <c r="P5" t="s">
        <v>100</v>
      </c>
      <c r="Q5" t="s">
        <v>87</v>
      </c>
      <c r="R5" t="s">
        <v>88</v>
      </c>
      <c r="S5" s="2">
        <v>20334675000000</v>
      </c>
      <c r="T5" s="43">
        <f xml:space="preserve"> 19446013 * 1000</f>
        <v>19446013000</v>
      </c>
      <c r="U5" s="4" t="s">
        <v>2356</v>
      </c>
      <c r="V5" s="4" t="s">
        <v>2355</v>
      </c>
    </row>
    <row r="6" spans="1:22" x14ac:dyDescent="0.25">
      <c r="O6">
        <v>2017</v>
      </c>
      <c r="P6" t="s">
        <v>113</v>
      </c>
      <c r="Q6" t="s">
        <v>54</v>
      </c>
      <c r="R6" t="s">
        <v>55</v>
      </c>
      <c r="S6" s="2">
        <v>17015612000000</v>
      </c>
      <c r="T6" s="43">
        <f xml:space="preserve"> 3679767 * 1000</f>
        <v>3679767000</v>
      </c>
      <c r="U6" s="4" t="s">
        <v>2358</v>
      </c>
      <c r="V6" s="4" t="s">
        <v>2361</v>
      </c>
    </row>
    <row r="7" spans="1:22" x14ac:dyDescent="0.25">
      <c r="O7">
        <v>2017</v>
      </c>
      <c r="P7" t="s">
        <v>114</v>
      </c>
      <c r="Q7" t="s">
        <v>54</v>
      </c>
      <c r="R7" t="s">
        <v>55</v>
      </c>
      <c r="S7" s="2">
        <v>26622592000000</v>
      </c>
      <c r="T7" s="43">
        <f xml:space="preserve"> 17640975 * 1000</f>
        <v>17640975000</v>
      </c>
      <c r="U7" s="4" t="s">
        <v>2354</v>
      </c>
      <c r="V7" s="4" t="s">
        <v>2357</v>
      </c>
    </row>
    <row r="8" spans="1:22" x14ac:dyDescent="0.25">
      <c r="O8">
        <v>2017</v>
      </c>
      <c r="P8" t="s">
        <v>116</v>
      </c>
      <c r="Q8" t="s">
        <v>25</v>
      </c>
      <c r="R8" t="s">
        <v>117</v>
      </c>
      <c r="S8" s="44">
        <v>38171814000000</v>
      </c>
      <c r="T8" s="45">
        <f xml:space="preserve"> 40684039 * 1000</f>
        <v>40684039000</v>
      </c>
      <c r="U8" s="46" t="s">
        <v>2348</v>
      </c>
      <c r="V8" s="46" t="s">
        <v>2359</v>
      </c>
    </row>
    <row r="9" spans="1:22" x14ac:dyDescent="0.25">
      <c r="O9">
        <v>2017</v>
      </c>
      <c r="P9" t="s">
        <v>118</v>
      </c>
      <c r="Q9" t="s">
        <v>25</v>
      </c>
      <c r="R9" t="s">
        <v>117</v>
      </c>
      <c r="S9" s="44">
        <v>38171814000000</v>
      </c>
      <c r="T9" s="45"/>
      <c r="U9" s="46"/>
      <c r="V9" s="46"/>
    </row>
    <row r="10" spans="1:22" x14ac:dyDescent="0.25">
      <c r="O10">
        <v>2016</v>
      </c>
      <c r="P10" t="s">
        <v>143</v>
      </c>
      <c r="Q10" t="s">
        <v>12</v>
      </c>
      <c r="R10" t="s">
        <v>105</v>
      </c>
      <c r="S10" s="44">
        <v>4899869000000000</v>
      </c>
      <c r="T10" s="43">
        <f xml:space="preserve"> 4899869  * 1000</f>
        <v>4899869000</v>
      </c>
      <c r="U10" s="4" t="s">
        <v>2354</v>
      </c>
      <c r="V10" s="4" t="s">
        <v>2362</v>
      </c>
    </row>
    <row r="11" spans="1:22" x14ac:dyDescent="0.25">
      <c r="O11">
        <v>2015</v>
      </c>
      <c r="P11" t="s">
        <v>180</v>
      </c>
      <c r="Q11" t="s">
        <v>25</v>
      </c>
      <c r="R11" t="s">
        <v>181</v>
      </c>
      <c r="S11" s="2">
        <v>17169605000000</v>
      </c>
      <c r="T11" s="43">
        <f xml:space="preserve"> 15439654  * 1000</f>
        <v>15439654000</v>
      </c>
      <c r="U11" s="4" t="s">
        <v>2348</v>
      </c>
      <c r="V11" s="4" t="s">
        <v>2363</v>
      </c>
    </row>
    <row r="12" spans="1:22" x14ac:dyDescent="0.25">
      <c r="O12">
        <v>2015</v>
      </c>
      <c r="P12" t="s">
        <v>185</v>
      </c>
      <c r="Q12" t="s">
        <v>36</v>
      </c>
      <c r="R12" t="s">
        <v>98</v>
      </c>
      <c r="S12" s="2">
        <v>293866943000000</v>
      </c>
      <c r="T12" s="43">
        <f xml:space="preserve"> 253201137  * 1000</f>
        <v>253201137000</v>
      </c>
      <c r="U12" s="4" t="s">
        <v>2356</v>
      </c>
      <c r="V12" s="4" t="s">
        <v>2364</v>
      </c>
    </row>
    <row r="13" spans="1:22" x14ac:dyDescent="0.25">
      <c r="O13">
        <v>2014</v>
      </c>
      <c r="P13" t="s">
        <v>192</v>
      </c>
      <c r="Q13" t="s">
        <v>36</v>
      </c>
      <c r="R13" t="s">
        <v>37</v>
      </c>
      <c r="S13" s="2">
        <v>27310036000000</v>
      </c>
      <c r="T13" s="43">
        <f xml:space="preserve"> 26852009 * 1000</f>
        <v>26852009000</v>
      </c>
      <c r="U13" s="4" t="s">
        <v>2348</v>
      </c>
      <c r="V13" s="4" t="s">
        <v>2365</v>
      </c>
    </row>
    <row r="14" spans="1:22" x14ac:dyDescent="0.25">
      <c r="O14">
        <v>2014</v>
      </c>
      <c r="P14" t="s">
        <v>198</v>
      </c>
      <c r="Q14" t="s">
        <v>54</v>
      </c>
      <c r="R14" t="s">
        <v>55</v>
      </c>
      <c r="S14" s="2">
        <v>46130757000000</v>
      </c>
      <c r="T14" s="43">
        <f xml:space="preserve"> 44468210 * 1000</f>
        <v>44468210000</v>
      </c>
      <c r="U14" s="4" t="s">
        <v>2366</v>
      </c>
    </row>
    <row r="15" spans="1:22" x14ac:dyDescent="0.25">
      <c r="O15">
        <v>2014</v>
      </c>
      <c r="P15" t="s">
        <v>199</v>
      </c>
      <c r="Q15" t="s">
        <v>32</v>
      </c>
      <c r="R15" t="s">
        <v>33</v>
      </c>
      <c r="S15" s="44">
        <v>215848343000000</v>
      </c>
      <c r="T15" t="s">
        <v>2360</v>
      </c>
      <c r="U15" s="4"/>
    </row>
    <row r="16" spans="1:22" x14ac:dyDescent="0.25">
      <c r="O16">
        <v>2012</v>
      </c>
      <c r="P16" t="s">
        <v>250</v>
      </c>
      <c r="Q16" t="s">
        <v>20</v>
      </c>
      <c r="R16" t="s">
        <v>23</v>
      </c>
      <c r="S16" s="44">
        <v>3.5827751E+16</v>
      </c>
      <c r="T16" t="s">
        <v>2360</v>
      </c>
      <c r="U16" s="4"/>
    </row>
    <row r="17" spans="14:22" x14ac:dyDescent="0.25">
      <c r="O17">
        <v>2012</v>
      </c>
      <c r="P17" t="s">
        <v>262</v>
      </c>
      <c r="Q17" t="s">
        <v>64</v>
      </c>
      <c r="R17" t="s">
        <v>263</v>
      </c>
      <c r="S17" s="2">
        <v>1713932000000000</v>
      </c>
      <c r="T17" s="43">
        <f xml:space="preserve"> 1420550 * 1000</f>
        <v>1420550000</v>
      </c>
      <c r="U17" s="4" t="s">
        <v>2348</v>
      </c>
      <c r="V17" s="4" t="s">
        <v>2367</v>
      </c>
    </row>
    <row r="18" spans="14:22" x14ac:dyDescent="0.25">
      <c r="O18">
        <v>2010</v>
      </c>
      <c r="P18" t="s">
        <v>312</v>
      </c>
      <c r="Q18" t="s">
        <v>36</v>
      </c>
      <c r="R18" t="s">
        <v>37</v>
      </c>
      <c r="S18" s="44">
        <v>141370509000000</v>
      </c>
      <c r="T18" t="s">
        <v>2360</v>
      </c>
      <c r="U18" s="4"/>
    </row>
    <row r="20" spans="14:22" x14ac:dyDescent="0.25">
      <c r="N20" t="s">
        <v>2368</v>
      </c>
      <c r="O20" t="s">
        <v>2370</v>
      </c>
      <c r="P20" s="4" t="s">
        <v>2369</v>
      </c>
      <c r="Q20" t="s">
        <v>2371</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54"/>
  <sheetViews>
    <sheetView workbookViewId="0">
      <selection activeCell="A2" sqref="A2"/>
    </sheetView>
  </sheetViews>
  <sheetFormatPr baseColWidth="10" defaultRowHeight="15" x14ac:dyDescent="0.25"/>
  <cols>
    <col min="1" max="1" width="41.140625" customWidth="1"/>
    <col min="2" max="2" width="48"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1317</v>
      </c>
      <c r="E1" s="5" t="s">
        <v>5</v>
      </c>
      <c r="F1" s="6" t="s">
        <v>1611</v>
      </c>
      <c r="I1" s="5" t="s">
        <v>719</v>
      </c>
      <c r="J1" s="6" t="s">
        <v>1611</v>
      </c>
      <c r="M1" s="5" t="s">
        <v>720</v>
      </c>
      <c r="N1" s="6" t="s">
        <v>1611</v>
      </c>
    </row>
    <row r="2" spans="1:14" x14ac:dyDescent="0.25">
      <c r="A2" t="s">
        <v>7</v>
      </c>
      <c r="B2" t="s">
        <v>1318</v>
      </c>
      <c r="E2" t="s">
        <v>624</v>
      </c>
      <c r="F2" t="s">
        <v>1610</v>
      </c>
      <c r="I2" t="s">
        <v>624</v>
      </c>
      <c r="J2" t="s">
        <v>1610</v>
      </c>
      <c r="M2" t="s">
        <v>624</v>
      </c>
      <c r="N2" t="s">
        <v>1610</v>
      </c>
    </row>
    <row r="3" spans="1:14" x14ac:dyDescent="0.25">
      <c r="A3" t="s">
        <v>67</v>
      </c>
      <c r="B3" t="s">
        <v>1319</v>
      </c>
    </row>
    <row r="4" spans="1:14" x14ac:dyDescent="0.25">
      <c r="A4" t="s">
        <v>92</v>
      </c>
      <c r="B4" t="s">
        <v>1320</v>
      </c>
    </row>
    <row r="5" spans="1:14" x14ac:dyDescent="0.25">
      <c r="A5" t="s">
        <v>155</v>
      </c>
      <c r="B5" t="s">
        <v>1321</v>
      </c>
    </row>
    <row r="6" spans="1:14" x14ac:dyDescent="0.25">
      <c r="A6" t="s">
        <v>284</v>
      </c>
      <c r="B6" t="s">
        <v>1322</v>
      </c>
    </row>
    <row r="9" spans="1:14" x14ac:dyDescent="0.25">
      <c r="A9" s="4" t="s">
        <v>1678</v>
      </c>
    </row>
    <row r="11" spans="1:14" x14ac:dyDescent="0.25">
      <c r="A11" s="5" t="s">
        <v>2314</v>
      </c>
      <c r="B11" s="6" t="s">
        <v>2315</v>
      </c>
    </row>
    <row r="12" spans="1:14" x14ac:dyDescent="0.25">
      <c r="A12" t="s">
        <v>0</v>
      </c>
      <c r="B12" t="s">
        <v>2316</v>
      </c>
    </row>
    <row r="13" spans="1:14" x14ac:dyDescent="0.25">
      <c r="A13" t="s">
        <v>1</v>
      </c>
      <c r="B13" t="s">
        <v>2317</v>
      </c>
    </row>
    <row r="14" spans="1:14" x14ac:dyDescent="0.25">
      <c r="A14" t="s">
        <v>2</v>
      </c>
      <c r="B14" t="s">
        <v>2318</v>
      </c>
    </row>
    <row r="15" spans="1:14" x14ac:dyDescent="0.25">
      <c r="A15" t="s">
        <v>3</v>
      </c>
      <c r="B15" t="s">
        <v>2319</v>
      </c>
    </row>
    <row r="16" spans="1:14" x14ac:dyDescent="0.25">
      <c r="A16" t="s">
        <v>4</v>
      </c>
      <c r="B16" t="s">
        <v>2320</v>
      </c>
    </row>
    <row r="17" spans="1:2" x14ac:dyDescent="0.25">
      <c r="A17" t="s">
        <v>5</v>
      </c>
      <c r="B17" t="s">
        <v>2325</v>
      </c>
    </row>
    <row r="18" spans="1:2" x14ac:dyDescent="0.25">
      <c r="A18" t="s">
        <v>719</v>
      </c>
      <c r="B18" t="s">
        <v>2321</v>
      </c>
    </row>
    <row r="19" spans="1:2" x14ac:dyDescent="0.25">
      <c r="A19" t="s">
        <v>721</v>
      </c>
      <c r="B19" t="s">
        <v>2322</v>
      </c>
    </row>
    <row r="20" spans="1:2" x14ac:dyDescent="0.25">
      <c r="A20" t="s">
        <v>722</v>
      </c>
      <c r="B20" t="s">
        <v>2323</v>
      </c>
    </row>
    <row r="21" spans="1:2" x14ac:dyDescent="0.25">
      <c r="A21" t="s">
        <v>720</v>
      </c>
      <c r="B21" t="s">
        <v>2324</v>
      </c>
    </row>
    <row r="22" spans="1:2" x14ac:dyDescent="0.25">
      <c r="A22" s="41" t="s">
        <v>723</v>
      </c>
      <c r="B22" s="41" t="s">
        <v>2333</v>
      </c>
    </row>
    <row r="23" spans="1:2" x14ac:dyDescent="0.25">
      <c r="A23" t="s">
        <v>725</v>
      </c>
      <c r="B23" s="47" t="s">
        <v>2326</v>
      </c>
    </row>
    <row r="24" spans="1:2" x14ac:dyDescent="0.25">
      <c r="A24" t="s">
        <v>726</v>
      </c>
      <c r="B24" s="47"/>
    </row>
    <row r="25" spans="1:2" x14ac:dyDescent="0.25">
      <c r="A25" t="s">
        <v>727</v>
      </c>
      <c r="B25" s="47"/>
    </row>
    <row r="26" spans="1:2" x14ac:dyDescent="0.25">
      <c r="A26" t="s">
        <v>728</v>
      </c>
      <c r="B26" s="47"/>
    </row>
    <row r="27" spans="1:2" x14ac:dyDescent="0.25">
      <c r="A27" t="s">
        <v>729</v>
      </c>
      <c r="B27" s="47"/>
    </row>
    <row r="28" spans="1:2" x14ac:dyDescent="0.25">
      <c r="A28" t="s">
        <v>735</v>
      </c>
      <c r="B28" t="s">
        <v>2327</v>
      </c>
    </row>
    <row r="29" spans="1:2" x14ac:dyDescent="0.25">
      <c r="A29" t="s">
        <v>737</v>
      </c>
      <c r="B29" s="47" t="s">
        <v>2328</v>
      </c>
    </row>
    <row r="30" spans="1:2" x14ac:dyDescent="0.25">
      <c r="A30" t="s">
        <v>738</v>
      </c>
      <c r="B30" s="47"/>
    </row>
    <row r="31" spans="1:2" x14ac:dyDescent="0.25">
      <c r="A31" t="s">
        <v>739</v>
      </c>
      <c r="B31" s="47"/>
    </row>
    <row r="32" spans="1:2" x14ac:dyDescent="0.25">
      <c r="A32" s="41" t="s">
        <v>1141</v>
      </c>
      <c r="B32" s="41" t="s">
        <v>2329</v>
      </c>
    </row>
    <row r="33" spans="1:2" x14ac:dyDescent="0.25">
      <c r="A33" t="s">
        <v>1149</v>
      </c>
      <c r="B33" t="s">
        <v>2330</v>
      </c>
    </row>
    <row r="34" spans="1:2" x14ac:dyDescent="0.25">
      <c r="A34" t="s">
        <v>1648</v>
      </c>
      <c r="B34" t="s">
        <v>2331</v>
      </c>
    </row>
    <row r="35" spans="1:2" x14ac:dyDescent="0.25">
      <c r="A35" t="s">
        <v>1701</v>
      </c>
      <c r="B35" s="47" t="s">
        <v>2332</v>
      </c>
    </row>
    <row r="36" spans="1:2" x14ac:dyDescent="0.25">
      <c r="A36" t="s">
        <v>1702</v>
      </c>
      <c r="B36" s="47"/>
    </row>
    <row r="37" spans="1:2" x14ac:dyDescent="0.25">
      <c r="A37" t="s">
        <v>1703</v>
      </c>
      <c r="B37" s="47"/>
    </row>
    <row r="38" spans="1:2" x14ac:dyDescent="0.25">
      <c r="A38" t="s">
        <v>1704</v>
      </c>
      <c r="B38" s="47"/>
    </row>
    <row r="39" spans="1:2" x14ac:dyDescent="0.25">
      <c r="A39" t="s">
        <v>1705</v>
      </c>
      <c r="B39" s="47"/>
    </row>
    <row r="40" spans="1:2" x14ac:dyDescent="0.25">
      <c r="A40" t="s">
        <v>1706</v>
      </c>
      <c r="B40" s="47"/>
    </row>
    <row r="41" spans="1:2" x14ac:dyDescent="0.25">
      <c r="A41" t="s">
        <v>1707</v>
      </c>
      <c r="B41" s="47"/>
    </row>
    <row r="42" spans="1:2" x14ac:dyDescent="0.25">
      <c r="A42" t="s">
        <v>1728</v>
      </c>
      <c r="B42" s="47"/>
    </row>
    <row r="43" spans="1:2" x14ac:dyDescent="0.25">
      <c r="A43" t="s">
        <v>1745</v>
      </c>
      <c r="B43" s="47"/>
    </row>
    <row r="44" spans="1:2" x14ac:dyDescent="0.25">
      <c r="A44" t="s">
        <v>1746</v>
      </c>
      <c r="B44" s="47"/>
    </row>
    <row r="45" spans="1:2" x14ac:dyDescent="0.25">
      <c r="A45" t="s">
        <v>1747</v>
      </c>
      <c r="B45" s="47"/>
    </row>
    <row r="46" spans="1:2" x14ac:dyDescent="0.25">
      <c r="A46" t="s">
        <v>1748</v>
      </c>
      <c r="B46" s="47"/>
    </row>
    <row r="47" spans="1:2" x14ac:dyDescent="0.25">
      <c r="A47" t="s">
        <v>1749</v>
      </c>
      <c r="B47" s="47"/>
    </row>
    <row r="48" spans="1:2" x14ac:dyDescent="0.25">
      <c r="A48" t="s">
        <v>1769</v>
      </c>
      <c r="B48" s="47"/>
    </row>
    <row r="49" spans="1:2" x14ac:dyDescent="0.25">
      <c r="A49" t="s">
        <v>1918</v>
      </c>
      <c r="B49" s="47"/>
    </row>
    <row r="50" spans="1:2" x14ac:dyDescent="0.25">
      <c r="A50" t="s">
        <v>1919</v>
      </c>
      <c r="B50" s="47"/>
    </row>
    <row r="51" spans="1:2" x14ac:dyDescent="0.25">
      <c r="A51" t="s">
        <v>1920</v>
      </c>
      <c r="B51" s="47"/>
    </row>
    <row r="52" spans="1:2" x14ac:dyDescent="0.25">
      <c r="A52" t="s">
        <v>2034</v>
      </c>
      <c r="B52" s="47"/>
    </row>
    <row r="53" spans="1:2" x14ac:dyDescent="0.25">
      <c r="A53" t="s">
        <v>2035</v>
      </c>
      <c r="B53" s="47"/>
    </row>
    <row r="54" spans="1:2" x14ac:dyDescent="0.25">
      <c r="A54" t="s">
        <v>2036</v>
      </c>
      <c r="B54" s="47"/>
    </row>
  </sheetData>
  <mergeCells count="3">
    <mergeCell ref="B23:B27"/>
    <mergeCell ref="B29:B31"/>
    <mergeCell ref="B35:B54"/>
  </mergeCells>
  <hyperlinks>
    <hyperlink ref="A9" r:id="rId1" xr:uid="{FF873AD5-B61C-4DF0-BB8F-92070B55A6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AQ64"/>
  <sheetViews>
    <sheetView topLeftCell="A46" workbookViewId="0">
      <selection activeCell="H57" sqref="H57"/>
    </sheetView>
  </sheetViews>
  <sheetFormatPr baseColWidth="10" defaultRowHeight="15" x14ac:dyDescent="0.25"/>
  <sheetData>
    <row r="1" spans="1:43" x14ac:dyDescent="0.25">
      <c r="A1" s="17" t="s">
        <v>1613</v>
      </c>
      <c r="D1" s="17" t="s">
        <v>1616</v>
      </c>
      <c r="J1" s="17" t="s">
        <v>1619</v>
      </c>
      <c r="M1" s="17" t="s">
        <v>1620</v>
      </c>
      <c r="P1" s="17" t="s">
        <v>1635</v>
      </c>
      <c r="S1" s="17" t="s">
        <v>1619</v>
      </c>
      <c r="V1" s="17" t="s">
        <v>1620</v>
      </c>
      <c r="Y1" s="4" t="s">
        <v>1634</v>
      </c>
      <c r="AQ1" s="4" t="s">
        <v>1647</v>
      </c>
    </row>
    <row r="3" spans="1:43" ht="45" x14ac:dyDescent="0.25">
      <c r="A3" s="18" t="s">
        <v>1614</v>
      </c>
      <c r="B3" s="19" t="s">
        <v>1615</v>
      </c>
      <c r="D3" s="18" t="s">
        <v>1614</v>
      </c>
      <c r="E3" s="19" t="s">
        <v>1617</v>
      </c>
      <c r="G3" s="18" t="s">
        <v>1614</v>
      </c>
      <c r="H3" s="19" t="s">
        <v>1618</v>
      </c>
      <c r="J3" s="24" t="s">
        <v>1621</v>
      </c>
      <c r="K3" s="25" t="s">
        <v>1616</v>
      </c>
      <c r="M3" s="18" t="s">
        <v>1620</v>
      </c>
      <c r="N3" s="19"/>
      <c r="P3" s="18" t="s">
        <v>1614</v>
      </c>
      <c r="Q3" s="19" t="s">
        <v>1636</v>
      </c>
      <c r="S3" s="24" t="s">
        <v>1621</v>
      </c>
      <c r="T3" s="25" t="s">
        <v>1635</v>
      </c>
      <c r="V3" s="18" t="s">
        <v>1620</v>
      </c>
      <c r="W3" s="19"/>
    </row>
    <row r="4" spans="1:43" x14ac:dyDescent="0.25">
      <c r="A4" s="20">
        <v>21916</v>
      </c>
      <c r="B4" s="21">
        <v>4.5209932029445397E-3</v>
      </c>
      <c r="D4" s="20">
        <v>21916</v>
      </c>
      <c r="E4" s="21">
        <v>15939.1402467885</v>
      </c>
      <c r="G4" s="28">
        <f>YEAR(A4)</f>
        <v>1960</v>
      </c>
      <c r="H4" s="22">
        <f>B4/E4</f>
        <v>2.8364097014928097E-7</v>
      </c>
      <c r="J4" s="26" t="s">
        <v>1622</v>
      </c>
      <c r="K4" s="26" t="s">
        <v>1623</v>
      </c>
      <c r="M4" t="s">
        <v>1633</v>
      </c>
      <c r="P4" s="23">
        <v>43101</v>
      </c>
      <c r="Q4" s="21">
        <v>98.98</v>
      </c>
      <c r="S4" s="26" t="s">
        <v>1622</v>
      </c>
      <c r="T4" s="26" t="s">
        <v>1637</v>
      </c>
      <c r="V4" s="3" t="s">
        <v>1646</v>
      </c>
    </row>
    <row r="5" spans="1:43" x14ac:dyDescent="0.25">
      <c r="A5" s="20">
        <v>22282</v>
      </c>
      <c r="B5" s="21">
        <v>5.0706704041814602E-3</v>
      </c>
      <c r="D5" s="20">
        <v>22282</v>
      </c>
      <c r="E5" s="21">
        <v>16775.191489039102</v>
      </c>
      <c r="G5" s="28">
        <f t="shared" ref="G5:G63" si="0">YEAR(A5)</f>
        <v>1961</v>
      </c>
      <c r="H5" s="22">
        <f t="shared" ref="H5:H63" si="1">B5/E5</f>
        <v>3.0227198345214911E-7</v>
      </c>
      <c r="J5" s="26" t="s">
        <v>1624</v>
      </c>
      <c r="K5" s="26" t="s">
        <v>1625</v>
      </c>
      <c r="P5" s="23">
        <v>43132</v>
      </c>
      <c r="Q5" s="21">
        <v>99.08</v>
      </c>
      <c r="S5" s="26" t="s">
        <v>1624</v>
      </c>
      <c r="T5" s="26" t="s">
        <v>1638</v>
      </c>
    </row>
    <row r="6" spans="1:43" x14ac:dyDescent="0.25">
      <c r="A6" s="20">
        <v>22647</v>
      </c>
      <c r="B6" s="21">
        <v>5.9578934617919802E-3</v>
      </c>
      <c r="D6" s="20">
        <v>22647</v>
      </c>
      <c r="E6" s="21">
        <v>17450.675713235702</v>
      </c>
      <c r="G6" s="28">
        <f t="shared" si="0"/>
        <v>1962</v>
      </c>
      <c r="H6" s="22">
        <f t="shared" si="1"/>
        <v>3.414133389272219E-7</v>
      </c>
      <c r="J6" s="26" t="s">
        <v>1316</v>
      </c>
      <c r="K6" s="26" t="s">
        <v>1626</v>
      </c>
      <c r="P6" s="23">
        <v>43160</v>
      </c>
      <c r="Q6" s="21">
        <v>99.28</v>
      </c>
      <c r="S6" s="26" t="s">
        <v>1316</v>
      </c>
      <c r="T6" s="26" t="s">
        <v>1639</v>
      </c>
    </row>
    <row r="7" spans="1:43" x14ac:dyDescent="0.25">
      <c r="A7" s="20">
        <v>23012</v>
      </c>
      <c r="B7" s="21">
        <v>9.0691295315124005E-3</v>
      </c>
      <c r="D7" s="20">
        <v>23012</v>
      </c>
      <c r="E7" s="21">
        <v>18469.819629671099</v>
      </c>
      <c r="G7" s="28">
        <f t="shared" si="0"/>
        <v>1963</v>
      </c>
      <c r="H7" s="22">
        <f t="shared" si="1"/>
        <v>4.910242608402721E-7</v>
      </c>
      <c r="J7" s="26" t="s">
        <v>1627</v>
      </c>
      <c r="K7" s="26">
        <v>2013</v>
      </c>
      <c r="P7" s="23">
        <v>43191</v>
      </c>
      <c r="Q7" s="21">
        <v>99.55</v>
      </c>
      <c r="S7" s="26" t="s">
        <v>1640</v>
      </c>
      <c r="T7" s="26" t="s">
        <v>1641</v>
      </c>
    </row>
    <row r="8" spans="1:43" x14ac:dyDescent="0.25">
      <c r="A8" s="20">
        <v>23377</v>
      </c>
      <c r="B8" s="21">
        <v>1.3759390903476099E-2</v>
      </c>
      <c r="D8" s="20">
        <v>23377</v>
      </c>
      <c r="E8" s="21">
        <v>18942.133651366701</v>
      </c>
      <c r="G8" s="28">
        <f t="shared" si="0"/>
        <v>1964</v>
      </c>
      <c r="H8" s="22">
        <f t="shared" si="1"/>
        <v>7.2639076234600109E-7</v>
      </c>
      <c r="J8" s="26" t="s">
        <v>1628</v>
      </c>
      <c r="K8" s="27">
        <v>43908</v>
      </c>
      <c r="P8" s="23">
        <v>43221</v>
      </c>
      <c r="Q8" s="21">
        <v>99.81</v>
      </c>
      <c r="S8" s="26" t="s">
        <v>1627</v>
      </c>
      <c r="T8" s="26" t="s">
        <v>1642</v>
      </c>
    </row>
    <row r="9" spans="1:43" x14ac:dyDescent="0.25">
      <c r="A9" s="20">
        <v>23743</v>
      </c>
      <c r="B9" s="21">
        <v>1.9285068092797199E-2</v>
      </c>
      <c r="D9" s="20">
        <v>23743</v>
      </c>
      <c r="E9" s="21">
        <v>19122.135539409399</v>
      </c>
      <c r="G9" s="28">
        <f t="shared" si="0"/>
        <v>1965</v>
      </c>
      <c r="H9" s="22">
        <f t="shared" si="1"/>
        <v>1.0085206253795247E-6</v>
      </c>
      <c r="J9" s="26" t="s">
        <v>1629</v>
      </c>
      <c r="K9" s="26">
        <v>1960</v>
      </c>
      <c r="P9" s="23">
        <v>43252</v>
      </c>
      <c r="Q9" s="21">
        <v>99.9</v>
      </c>
      <c r="S9" s="26" t="s">
        <v>1628</v>
      </c>
      <c r="T9" s="27">
        <v>44082</v>
      </c>
    </row>
    <row r="10" spans="1:43" x14ac:dyDescent="0.25">
      <c r="A10" s="20">
        <v>24108</v>
      </c>
      <c r="B10" s="21">
        <v>2.7583282831624902E-2</v>
      </c>
      <c r="D10" s="20">
        <v>24108</v>
      </c>
      <c r="E10" s="21">
        <v>21270.7450507541</v>
      </c>
      <c r="G10" s="28">
        <f t="shared" si="0"/>
        <v>1966</v>
      </c>
      <c r="H10" s="22">
        <f t="shared" si="1"/>
        <v>1.2967708825341314E-6</v>
      </c>
      <c r="J10" s="26" t="s">
        <v>1630</v>
      </c>
      <c r="K10" s="26">
        <v>2019</v>
      </c>
      <c r="P10" s="23">
        <v>43282</v>
      </c>
      <c r="Q10" s="21">
        <v>100.22</v>
      </c>
      <c r="S10" s="26" t="s">
        <v>1629</v>
      </c>
      <c r="T10" s="26" t="s">
        <v>1643</v>
      </c>
    </row>
    <row r="11" spans="1:43" x14ac:dyDescent="0.25">
      <c r="A11" s="20">
        <v>24473</v>
      </c>
      <c r="B11" s="21">
        <v>3.5767280686673897E-2</v>
      </c>
      <c r="D11" s="20">
        <v>24473</v>
      </c>
      <c r="E11" s="21">
        <v>22039.895160951201</v>
      </c>
      <c r="G11" s="28">
        <f t="shared" si="0"/>
        <v>1967</v>
      </c>
      <c r="H11" s="22">
        <f t="shared" si="1"/>
        <v>1.622842596367879E-6</v>
      </c>
      <c r="J11" s="26" t="s">
        <v>1631</v>
      </c>
      <c r="K11" s="26" t="s">
        <v>1632</v>
      </c>
      <c r="P11" s="23">
        <v>43313</v>
      </c>
      <c r="Q11" s="21">
        <v>100.31</v>
      </c>
      <c r="S11" s="26" t="s">
        <v>1630</v>
      </c>
      <c r="T11" s="26" t="s">
        <v>1644</v>
      </c>
    </row>
    <row r="12" spans="1:43" x14ac:dyDescent="0.25">
      <c r="A12" s="20">
        <v>24838</v>
      </c>
      <c r="B12" s="21">
        <v>4.9452883586818298E-2</v>
      </c>
      <c r="D12" s="20">
        <v>24838</v>
      </c>
      <c r="E12" s="21">
        <v>22831.571132942201</v>
      </c>
      <c r="G12" s="28">
        <f t="shared" si="0"/>
        <v>1968</v>
      </c>
      <c r="H12" s="22">
        <f t="shared" si="1"/>
        <v>2.1659868827627864E-6</v>
      </c>
      <c r="P12" s="23">
        <v>43344</v>
      </c>
      <c r="Q12" s="21">
        <v>100.51</v>
      </c>
      <c r="S12" s="26" t="s">
        <v>1631</v>
      </c>
      <c r="T12" s="26" t="s">
        <v>1645</v>
      </c>
    </row>
    <row r="13" spans="1:43" x14ac:dyDescent="0.25">
      <c r="A13" s="20">
        <v>25204</v>
      </c>
      <c r="B13" s="21">
        <v>7.2043045877725698E-2</v>
      </c>
      <c r="D13" s="20">
        <v>25204</v>
      </c>
      <c r="E13" s="21">
        <v>23730.674586489698</v>
      </c>
      <c r="G13" s="28">
        <f t="shared" si="0"/>
        <v>1969</v>
      </c>
      <c r="H13" s="22">
        <f t="shared" si="1"/>
        <v>3.0358616909584654E-6</v>
      </c>
      <c r="P13" s="23">
        <v>43374</v>
      </c>
      <c r="Q13" s="21">
        <v>100.91</v>
      </c>
    </row>
    <row r="14" spans="1:43" x14ac:dyDescent="0.25">
      <c r="A14" s="20">
        <v>25569</v>
      </c>
      <c r="B14" s="21">
        <v>0.103127324280625</v>
      </c>
      <c r="D14" s="20">
        <v>25569</v>
      </c>
      <c r="E14" s="21">
        <v>24164.700786703499</v>
      </c>
      <c r="G14" s="28">
        <f t="shared" si="0"/>
        <v>1970</v>
      </c>
      <c r="H14" s="22">
        <f t="shared" si="1"/>
        <v>4.2676847187518363E-6</v>
      </c>
      <c r="P14" s="23">
        <v>43405</v>
      </c>
      <c r="Q14" s="21">
        <v>100.82</v>
      </c>
    </row>
    <row r="15" spans="1:43" x14ac:dyDescent="0.25">
      <c r="A15" s="20">
        <v>25934</v>
      </c>
      <c r="B15" s="21">
        <v>0.132786177206515</v>
      </c>
      <c r="D15" s="20">
        <v>25934</v>
      </c>
      <c r="E15" s="21">
        <v>26441.664715937201</v>
      </c>
      <c r="G15" s="28">
        <f t="shared" si="0"/>
        <v>1971</v>
      </c>
      <c r="H15" s="22">
        <f t="shared" si="1"/>
        <v>5.0218539049275788E-6</v>
      </c>
      <c r="P15" s="23">
        <v>43435</v>
      </c>
      <c r="Q15" s="21">
        <v>100.64</v>
      </c>
    </row>
    <row r="16" spans="1:43" x14ac:dyDescent="0.25">
      <c r="A16" s="20">
        <v>26299</v>
      </c>
      <c r="B16" s="21">
        <v>0.24655942367578401</v>
      </c>
      <c r="D16" s="20">
        <v>26299</v>
      </c>
      <c r="E16" s="21">
        <v>26171.9735397162</v>
      </c>
      <c r="G16" s="28">
        <f t="shared" si="0"/>
        <v>1972</v>
      </c>
      <c r="H16" s="22">
        <f t="shared" si="1"/>
        <v>9.4207425092199459E-6</v>
      </c>
      <c r="P16" s="23">
        <v>43466</v>
      </c>
      <c r="Q16" s="21">
        <v>100.75</v>
      </c>
    </row>
    <row r="17" spans="1:17" x14ac:dyDescent="0.25">
      <c r="A17" s="20">
        <v>26665</v>
      </c>
      <c r="B17" s="21">
        <v>1.20547630438486</v>
      </c>
      <c r="D17" s="20">
        <v>26665</v>
      </c>
      <c r="E17" s="21">
        <v>24855.719990956899</v>
      </c>
      <c r="G17" s="28">
        <f t="shared" si="0"/>
        <v>1973</v>
      </c>
      <c r="H17" s="22">
        <f t="shared" si="1"/>
        <v>4.8498949329306933E-5</v>
      </c>
      <c r="P17" s="23">
        <v>43497</v>
      </c>
      <c r="Q17" s="21">
        <v>100.79</v>
      </c>
    </row>
    <row r="18" spans="1:17" x14ac:dyDescent="0.25">
      <c r="A18" s="20">
        <v>27030</v>
      </c>
      <c r="B18" s="21">
        <v>9.6095276208550509</v>
      </c>
      <c r="D18" s="20">
        <v>27030</v>
      </c>
      <c r="E18" s="21">
        <v>25447.820358796998</v>
      </c>
      <c r="G18" s="28">
        <f t="shared" si="0"/>
        <v>1974</v>
      </c>
      <c r="H18" s="22">
        <f t="shared" si="1"/>
        <v>3.7761692299643866E-4</v>
      </c>
      <c r="P18" s="23">
        <v>43525</v>
      </c>
      <c r="Q18" s="21">
        <v>101.27</v>
      </c>
    </row>
    <row r="19" spans="1:17" x14ac:dyDescent="0.25">
      <c r="A19" s="20">
        <v>27395</v>
      </c>
      <c r="B19" s="21">
        <v>37.425087222906299</v>
      </c>
      <c r="D19" s="20">
        <v>27395</v>
      </c>
      <c r="E19" s="21">
        <v>22161.9720785309</v>
      </c>
      <c r="G19" s="28">
        <f t="shared" si="0"/>
        <v>1975</v>
      </c>
      <c r="H19" s="22">
        <f t="shared" si="1"/>
        <v>1.6887074440077167E-3</v>
      </c>
      <c r="P19" s="23">
        <v>43556</v>
      </c>
      <c r="Q19" s="21">
        <v>101.54</v>
      </c>
    </row>
    <row r="20" spans="1:17" x14ac:dyDescent="0.25">
      <c r="A20" s="20">
        <v>27760</v>
      </c>
      <c r="B20" s="21">
        <v>134.962124459786</v>
      </c>
      <c r="D20" s="20">
        <v>27760</v>
      </c>
      <c r="E20" s="21">
        <v>23011.348276437799</v>
      </c>
      <c r="G20" s="28">
        <f t="shared" si="0"/>
        <v>1976</v>
      </c>
      <c r="H20" s="22">
        <f t="shared" si="1"/>
        <v>5.865024632128092E-3</v>
      </c>
      <c r="P20" s="23">
        <v>43586</v>
      </c>
      <c r="Q20" s="21">
        <v>102.15</v>
      </c>
    </row>
    <row r="21" spans="1:17" x14ac:dyDescent="0.25">
      <c r="A21" s="20">
        <v>28126</v>
      </c>
      <c r="B21" s="21">
        <v>300.76072430628699</v>
      </c>
      <c r="D21" s="20">
        <v>28126</v>
      </c>
      <c r="E21" s="21">
        <v>25414.811434632498</v>
      </c>
      <c r="G21" s="28">
        <f t="shared" si="0"/>
        <v>1977</v>
      </c>
      <c r="H21" s="22">
        <f t="shared" si="1"/>
        <v>1.1834072626501706E-2</v>
      </c>
      <c r="P21" s="23">
        <v>43617</v>
      </c>
      <c r="Q21" s="21">
        <v>102.2</v>
      </c>
    </row>
    <row r="22" spans="1:17" x14ac:dyDescent="0.25">
      <c r="A22" s="20">
        <v>28491</v>
      </c>
      <c r="B22" s="21">
        <v>506.241301247058</v>
      </c>
      <c r="D22" s="20">
        <v>28491</v>
      </c>
      <c r="E22" s="21">
        <v>27372.032394184898</v>
      </c>
      <c r="G22" s="28">
        <f t="shared" si="0"/>
        <v>1978</v>
      </c>
      <c r="H22" s="22">
        <f t="shared" si="1"/>
        <v>1.8494837867962167E-2</v>
      </c>
      <c r="P22" s="23">
        <v>43647</v>
      </c>
      <c r="Q22" s="21">
        <v>102.43</v>
      </c>
    </row>
    <row r="23" spans="1:17" x14ac:dyDescent="0.25">
      <c r="A23" s="20">
        <v>28856</v>
      </c>
      <c r="B23" s="21">
        <v>812.18771274474898</v>
      </c>
      <c r="D23" s="20">
        <v>28856</v>
      </c>
      <c r="E23" s="21">
        <v>29676.293479917102</v>
      </c>
      <c r="G23" s="28">
        <f t="shared" si="0"/>
        <v>1979</v>
      </c>
      <c r="H23" s="22">
        <f t="shared" si="1"/>
        <v>2.736823293968239E-2</v>
      </c>
      <c r="P23" s="23">
        <v>43678</v>
      </c>
      <c r="Q23" s="21">
        <v>102.62</v>
      </c>
    </row>
    <row r="24" spans="1:17" x14ac:dyDescent="0.25">
      <c r="A24" s="20">
        <v>29221</v>
      </c>
      <c r="B24" s="21">
        <v>1132.4316850482201</v>
      </c>
      <c r="D24" s="20">
        <v>29221</v>
      </c>
      <c r="E24" s="21">
        <v>32046.4264949918</v>
      </c>
      <c r="G24" s="28">
        <f t="shared" si="0"/>
        <v>1980</v>
      </c>
      <c r="H24" s="22">
        <f t="shared" si="1"/>
        <v>3.5337221927855073E-2</v>
      </c>
      <c r="P24" s="23">
        <v>43709</v>
      </c>
      <c r="Q24" s="21">
        <v>102.63</v>
      </c>
    </row>
    <row r="25" spans="1:17" x14ac:dyDescent="0.25">
      <c r="A25" s="20">
        <v>29587</v>
      </c>
      <c r="B25" s="21">
        <v>1345.8852437082101</v>
      </c>
      <c r="D25" s="20">
        <v>29587</v>
      </c>
      <c r="E25" s="21">
        <v>34137.5745127255</v>
      </c>
      <c r="G25" s="28">
        <f t="shared" si="0"/>
        <v>1981</v>
      </c>
      <c r="H25" s="22">
        <f t="shared" si="1"/>
        <v>3.9425333021433702E-2</v>
      </c>
      <c r="P25" s="23">
        <v>43739</v>
      </c>
      <c r="Q25" s="21">
        <v>103.47</v>
      </c>
    </row>
    <row r="26" spans="1:17" x14ac:dyDescent="0.25">
      <c r="A26" s="20">
        <v>29952</v>
      </c>
      <c r="B26" s="21">
        <v>1289.3412230643301</v>
      </c>
      <c r="D26" s="20">
        <v>29952</v>
      </c>
      <c r="E26" s="21">
        <v>30377.5579154847</v>
      </c>
      <c r="G26" s="28">
        <f t="shared" si="0"/>
        <v>1982</v>
      </c>
      <c r="H26" s="22">
        <f t="shared" si="1"/>
        <v>4.2443873422988339E-2</v>
      </c>
      <c r="P26" s="23">
        <v>43770</v>
      </c>
      <c r="Q26" s="21">
        <v>103.55</v>
      </c>
    </row>
    <row r="27" spans="1:17" x14ac:dyDescent="0.25">
      <c r="A27" s="20">
        <v>30317</v>
      </c>
      <c r="B27" s="21">
        <v>1603.8460282636299</v>
      </c>
      <c r="D27" s="20">
        <v>30317</v>
      </c>
      <c r="E27" s="21">
        <v>28853.388089708798</v>
      </c>
      <c r="G27" s="28">
        <f t="shared" si="0"/>
        <v>1983</v>
      </c>
      <c r="H27" s="22">
        <f t="shared" si="1"/>
        <v>5.5586055380292661E-2</v>
      </c>
      <c r="P27" s="23">
        <v>43800</v>
      </c>
      <c r="Q27" s="21">
        <v>103.66</v>
      </c>
    </row>
    <row r="28" spans="1:17" x14ac:dyDescent="0.25">
      <c r="A28" s="20">
        <v>30682</v>
      </c>
      <c r="B28" s="21">
        <v>1932.4265062177701</v>
      </c>
      <c r="D28" s="20">
        <v>30682</v>
      </c>
      <c r="E28" s="21">
        <v>30037.439741358801</v>
      </c>
      <c r="G28" s="28">
        <f t="shared" si="0"/>
        <v>1984</v>
      </c>
      <c r="H28" s="22">
        <f t="shared" si="1"/>
        <v>6.4333928685572889E-2</v>
      </c>
      <c r="P28" s="23">
        <v>43831</v>
      </c>
      <c r="Q28" s="21">
        <v>104.24</v>
      </c>
    </row>
    <row r="29" spans="1:17" x14ac:dyDescent="0.25">
      <c r="A29" s="20">
        <v>31048</v>
      </c>
      <c r="B29" s="21">
        <v>2847.6861443614898</v>
      </c>
      <c r="D29" s="20">
        <v>31048</v>
      </c>
      <c r="E29" s="21">
        <v>31241.915904211</v>
      </c>
      <c r="G29" s="28">
        <f t="shared" si="0"/>
        <v>1985</v>
      </c>
      <c r="H29" s="22">
        <f t="shared" si="1"/>
        <v>9.1149536190181568E-2</v>
      </c>
      <c r="P29" s="23">
        <v>43862</v>
      </c>
      <c r="Q29" s="21">
        <v>104.71</v>
      </c>
    </row>
    <row r="30" spans="1:17" x14ac:dyDescent="0.25">
      <c r="A30" s="20">
        <v>31413</v>
      </c>
      <c r="B30" s="21">
        <v>3644.6500486484401</v>
      </c>
      <c r="D30" s="20">
        <v>31413</v>
      </c>
      <c r="E30" s="21">
        <v>32922.010017148998</v>
      </c>
      <c r="G30" s="28">
        <f t="shared" si="0"/>
        <v>1986</v>
      </c>
      <c r="H30" s="22">
        <f t="shared" si="1"/>
        <v>0.11070557498615517</v>
      </c>
      <c r="P30" s="23">
        <v>43891</v>
      </c>
      <c r="Q30" s="21">
        <v>105.06</v>
      </c>
    </row>
    <row r="31" spans="1:17" x14ac:dyDescent="0.25">
      <c r="A31" s="20">
        <v>31778</v>
      </c>
      <c r="B31" s="21">
        <v>4883.0590000743196</v>
      </c>
      <c r="D31" s="20">
        <v>31778</v>
      </c>
      <c r="E31" s="21">
        <v>35048.926113231697</v>
      </c>
      <c r="G31" s="28">
        <f t="shared" si="0"/>
        <v>1987</v>
      </c>
      <c r="H31" s="22">
        <f t="shared" si="1"/>
        <v>0.13932121584264071</v>
      </c>
      <c r="P31" s="23">
        <v>43922</v>
      </c>
      <c r="Q31" s="21">
        <v>105.01</v>
      </c>
    </row>
    <row r="32" spans="1:17" x14ac:dyDescent="0.25">
      <c r="A32" s="20">
        <v>32143</v>
      </c>
      <c r="B32" s="21">
        <v>6380.1167015671599</v>
      </c>
      <c r="D32" s="20">
        <v>32143</v>
      </c>
      <c r="E32" s="21">
        <v>37623.308449402903</v>
      </c>
      <c r="G32" s="28">
        <f t="shared" si="0"/>
        <v>1988</v>
      </c>
      <c r="H32" s="22">
        <f t="shared" si="1"/>
        <v>0.1695788319665549</v>
      </c>
      <c r="P32" s="23">
        <v>43952</v>
      </c>
      <c r="Q32" s="21">
        <v>104.96</v>
      </c>
    </row>
    <row r="33" spans="1:17" x14ac:dyDescent="0.25">
      <c r="A33" s="20">
        <v>32509</v>
      </c>
      <c r="B33" s="21">
        <v>7977.98364894115</v>
      </c>
      <c r="D33" s="20">
        <v>32509</v>
      </c>
      <c r="E33" s="21">
        <v>41356.813405414803</v>
      </c>
      <c r="G33" s="28">
        <f t="shared" si="0"/>
        <v>1989</v>
      </c>
      <c r="H33" s="22">
        <f t="shared" si="1"/>
        <v>0.192906149966975</v>
      </c>
      <c r="P33" s="23">
        <v>43983</v>
      </c>
      <c r="Q33" s="21">
        <v>104.89</v>
      </c>
    </row>
    <row r="34" spans="1:17" x14ac:dyDescent="0.25">
      <c r="A34" s="20">
        <v>32874</v>
      </c>
      <c r="B34" s="21">
        <v>10096.424395673699</v>
      </c>
      <c r="D34" s="20">
        <v>32874</v>
      </c>
      <c r="E34" s="21">
        <v>42735.469857680502</v>
      </c>
      <c r="G34" s="28">
        <f t="shared" si="0"/>
        <v>1990</v>
      </c>
      <c r="H34" s="22">
        <f t="shared" si="1"/>
        <v>0.2362539695783677</v>
      </c>
      <c r="P34" s="23">
        <v>44013</v>
      </c>
      <c r="Q34" s="21">
        <v>104.99</v>
      </c>
    </row>
    <row r="35" spans="1:17" x14ac:dyDescent="0.25">
      <c r="A35" s="20">
        <v>33239</v>
      </c>
      <c r="B35" s="21">
        <v>13212.666666519101</v>
      </c>
      <c r="D35" s="20">
        <v>33239</v>
      </c>
      <c r="E35" s="21">
        <v>46070.713528149099</v>
      </c>
      <c r="G35" s="28">
        <f t="shared" si="0"/>
        <v>1991</v>
      </c>
      <c r="H35" s="22">
        <f t="shared" si="1"/>
        <v>0.28679101439239035</v>
      </c>
      <c r="P35" s="23">
        <v>44044</v>
      </c>
      <c r="Q35" s="21">
        <v>105.13</v>
      </c>
    </row>
    <row r="36" spans="1:17" x14ac:dyDescent="0.25">
      <c r="A36" s="20">
        <v>33604</v>
      </c>
      <c r="B36" s="21">
        <v>16665.745886324901</v>
      </c>
      <c r="D36" s="20">
        <v>33604</v>
      </c>
      <c r="E36" s="21">
        <v>51215.2954586743</v>
      </c>
      <c r="G36" s="28">
        <f t="shared" si="0"/>
        <v>1992</v>
      </c>
      <c r="H36" s="22">
        <f t="shared" si="1"/>
        <v>0.3254056378484142</v>
      </c>
    </row>
    <row r="37" spans="1:17" x14ac:dyDescent="0.25">
      <c r="A37" s="20">
        <v>33970</v>
      </c>
      <c r="B37" s="21">
        <v>19924.680966010801</v>
      </c>
      <c r="D37" s="20">
        <v>33970</v>
      </c>
      <c r="E37" s="21">
        <v>54589.760562598298</v>
      </c>
      <c r="G37" s="28">
        <f t="shared" si="0"/>
        <v>1993</v>
      </c>
      <c r="H37" s="22">
        <f t="shared" si="1"/>
        <v>0.36498934526673898</v>
      </c>
    </row>
    <row r="38" spans="1:17" x14ac:dyDescent="0.25">
      <c r="A38" s="20">
        <v>34335</v>
      </c>
      <c r="B38" s="21">
        <v>23953.8001408153</v>
      </c>
      <c r="D38" s="20">
        <v>34335</v>
      </c>
      <c r="E38" s="21">
        <v>57335.733594338897</v>
      </c>
      <c r="G38" s="28">
        <f t="shared" si="0"/>
        <v>1994</v>
      </c>
      <c r="H38" s="22">
        <f t="shared" si="1"/>
        <v>0.41778134924186971</v>
      </c>
    </row>
    <row r="39" spans="1:17" x14ac:dyDescent="0.25">
      <c r="A39" s="20">
        <v>34700</v>
      </c>
      <c r="B39" s="21">
        <v>29141.5913131503</v>
      </c>
      <c r="D39" s="20">
        <v>34700</v>
      </c>
      <c r="E39" s="21">
        <v>62457.704315236297</v>
      </c>
      <c r="G39" s="28">
        <f t="shared" si="0"/>
        <v>1995</v>
      </c>
      <c r="H39" s="22">
        <f t="shared" si="1"/>
        <v>0.46658121095945132</v>
      </c>
    </row>
    <row r="40" spans="1:17" x14ac:dyDescent="0.25">
      <c r="A40" s="20">
        <v>35065</v>
      </c>
      <c r="B40" s="21">
        <v>32173.374439801599</v>
      </c>
      <c r="D40" s="20">
        <v>35065</v>
      </c>
      <c r="E40" s="21">
        <v>66706.649847384499</v>
      </c>
      <c r="G40" s="28">
        <f t="shared" si="0"/>
        <v>1996</v>
      </c>
      <c r="H40" s="22">
        <f t="shared" si="1"/>
        <v>0.48231135146810383</v>
      </c>
    </row>
    <row r="41" spans="1:17" x14ac:dyDescent="0.25">
      <c r="A41" s="20">
        <v>35431</v>
      </c>
      <c r="B41" s="21">
        <v>35621.374458411701</v>
      </c>
      <c r="D41" s="20">
        <v>35431</v>
      </c>
      <c r="E41" s="21">
        <v>71661.546292613493</v>
      </c>
      <c r="G41" s="28">
        <f t="shared" si="0"/>
        <v>1997</v>
      </c>
      <c r="H41" s="22">
        <f t="shared" si="1"/>
        <v>0.49707794907131903</v>
      </c>
    </row>
    <row r="42" spans="1:17" x14ac:dyDescent="0.25">
      <c r="A42" s="20">
        <v>35796</v>
      </c>
      <c r="B42" s="21">
        <v>37549.275338224499</v>
      </c>
      <c r="D42" s="20">
        <v>35796</v>
      </c>
      <c r="E42" s="21">
        <v>74760.606830738994</v>
      </c>
      <c r="G42" s="28">
        <f t="shared" si="0"/>
        <v>1998</v>
      </c>
      <c r="H42" s="22">
        <f t="shared" si="1"/>
        <v>0.50226017323852867</v>
      </c>
    </row>
    <row r="43" spans="1:17" x14ac:dyDescent="0.25">
      <c r="A43" s="20">
        <v>36161</v>
      </c>
      <c r="B43" s="21">
        <v>38246.9231642089</v>
      </c>
      <c r="D43" s="20">
        <v>36161</v>
      </c>
      <c r="E43" s="21">
        <v>74452.521235475098</v>
      </c>
      <c r="G43" s="28">
        <f t="shared" si="0"/>
        <v>1999</v>
      </c>
      <c r="H43" s="22">
        <f t="shared" si="1"/>
        <v>0.51370890507848943</v>
      </c>
    </row>
    <row r="44" spans="1:17" x14ac:dyDescent="0.25">
      <c r="A44" s="20">
        <v>36526</v>
      </c>
      <c r="B44" s="21">
        <v>42005.194286644903</v>
      </c>
      <c r="D44" s="20">
        <v>36526</v>
      </c>
      <c r="E44" s="21">
        <v>78418.561193229296</v>
      </c>
      <c r="G44" s="28">
        <f t="shared" si="0"/>
        <v>2000</v>
      </c>
      <c r="H44" s="22">
        <f t="shared" si="1"/>
        <v>0.53565372339771589</v>
      </c>
    </row>
    <row r="45" spans="1:17" x14ac:dyDescent="0.25">
      <c r="A45" s="20">
        <v>36892</v>
      </c>
      <c r="B45" s="21">
        <v>45067.992919379998</v>
      </c>
      <c r="D45" s="20">
        <v>36892</v>
      </c>
      <c r="E45" s="21">
        <v>81008.763371237204</v>
      </c>
      <c r="G45" s="28">
        <f t="shared" si="0"/>
        <v>2001</v>
      </c>
      <c r="H45" s="22">
        <f t="shared" si="1"/>
        <v>0.55633478458185848</v>
      </c>
    </row>
    <row r="46" spans="1:17" x14ac:dyDescent="0.25">
      <c r="A46" s="20">
        <v>37257</v>
      </c>
      <c r="B46" s="21">
        <v>48044.4788701199</v>
      </c>
      <c r="D46" s="20">
        <v>37257</v>
      </c>
      <c r="E46" s="21">
        <v>83525.681777727805</v>
      </c>
      <c r="G46" s="28">
        <f t="shared" si="0"/>
        <v>2002</v>
      </c>
      <c r="H46" s="22">
        <f t="shared" si="1"/>
        <v>0.57520606653618478</v>
      </c>
    </row>
    <row r="47" spans="1:17" x14ac:dyDescent="0.25">
      <c r="A47" s="20">
        <v>37622</v>
      </c>
      <c r="B47" s="21">
        <v>52299.888133072098</v>
      </c>
      <c r="D47" s="20">
        <v>37622</v>
      </c>
      <c r="E47" s="21">
        <v>86942.757248194306</v>
      </c>
      <c r="G47" s="28">
        <f t="shared" si="0"/>
        <v>2003</v>
      </c>
      <c r="H47" s="22">
        <f t="shared" si="1"/>
        <v>0.60154393290946961</v>
      </c>
    </row>
    <row r="48" spans="1:17" x14ac:dyDescent="0.25">
      <c r="A48" s="20">
        <v>37987</v>
      </c>
      <c r="B48" s="21">
        <v>60471.710758510599</v>
      </c>
      <c r="D48" s="20">
        <v>37987</v>
      </c>
      <c r="E48" s="21">
        <v>93210.929856484901</v>
      </c>
      <c r="G48" s="28">
        <f t="shared" si="0"/>
        <v>2004</v>
      </c>
      <c r="H48" s="22">
        <f t="shared" si="1"/>
        <v>0.64876201590969795</v>
      </c>
    </row>
    <row r="49" spans="1:8" x14ac:dyDescent="0.25">
      <c r="A49" s="20">
        <v>38353</v>
      </c>
      <c r="B49" s="21">
        <v>68831.705427037698</v>
      </c>
      <c r="D49" s="20">
        <v>38353</v>
      </c>
      <c r="E49" s="21">
        <v>98563.875555807506</v>
      </c>
      <c r="G49" s="28">
        <f t="shared" si="0"/>
        <v>2005</v>
      </c>
      <c r="H49" s="22">
        <f t="shared" si="1"/>
        <v>0.69834617438581481</v>
      </c>
    </row>
    <row r="50" spans="1:8" x14ac:dyDescent="0.25">
      <c r="A50" s="20">
        <v>38718</v>
      </c>
      <c r="B50" s="21">
        <v>82080.219853930394</v>
      </c>
      <c r="D50" s="20">
        <v>38718</v>
      </c>
      <c r="E50" s="21">
        <v>104790.32938532899</v>
      </c>
      <c r="G50" s="28">
        <f t="shared" si="0"/>
        <v>2006</v>
      </c>
      <c r="H50" s="22">
        <f t="shared" si="1"/>
        <v>0.78328048337466061</v>
      </c>
    </row>
    <row r="51" spans="1:8" x14ac:dyDescent="0.25">
      <c r="A51" s="20">
        <v>39083</v>
      </c>
      <c r="B51" s="21">
        <v>90702.903280006707</v>
      </c>
      <c r="D51" s="20">
        <v>39083</v>
      </c>
      <c r="E51" s="21">
        <v>109930.63509004501</v>
      </c>
      <c r="G51" s="28">
        <f t="shared" si="0"/>
        <v>2007</v>
      </c>
      <c r="H51" s="22">
        <f t="shared" si="1"/>
        <v>0.82509214292914146</v>
      </c>
    </row>
    <row r="52" spans="1:8" x14ac:dyDescent="0.25">
      <c r="A52" s="20">
        <v>39448</v>
      </c>
      <c r="B52" s="21">
        <v>93854.108404160404</v>
      </c>
      <c r="D52" s="20">
        <v>39448</v>
      </c>
      <c r="E52" s="21">
        <v>113810.670442915</v>
      </c>
      <c r="G52" s="28">
        <f t="shared" si="0"/>
        <v>2008</v>
      </c>
      <c r="H52" s="22">
        <f t="shared" si="1"/>
        <v>0.82465122153230452</v>
      </c>
    </row>
    <row r="53" spans="1:8" x14ac:dyDescent="0.25">
      <c r="A53" s="20">
        <v>39814</v>
      </c>
      <c r="B53" s="21">
        <v>96686.356858733605</v>
      </c>
      <c r="D53" s="20">
        <v>39814</v>
      </c>
      <c r="E53" s="21">
        <v>112030.39904548399</v>
      </c>
      <c r="G53" s="28">
        <f t="shared" si="0"/>
        <v>2009</v>
      </c>
      <c r="H53" s="22">
        <f t="shared" si="1"/>
        <v>0.86303679789160836</v>
      </c>
    </row>
    <row r="54" spans="1:8" x14ac:dyDescent="0.25">
      <c r="A54" s="20">
        <v>40179</v>
      </c>
      <c r="B54" s="21">
        <v>111508.61068002701</v>
      </c>
      <c r="D54" s="20">
        <v>40179</v>
      </c>
      <c r="E54" s="21">
        <v>118577.654190885</v>
      </c>
      <c r="G54" s="28">
        <f t="shared" si="0"/>
        <v>2010</v>
      </c>
      <c r="H54" s="22">
        <f t="shared" si="1"/>
        <v>0.94038469086697962</v>
      </c>
    </row>
    <row r="55" spans="1:8" x14ac:dyDescent="0.25">
      <c r="A55" s="20">
        <v>40544</v>
      </c>
      <c r="B55" s="21">
        <v>122006.090354937</v>
      </c>
      <c r="D55" s="20">
        <v>40544</v>
      </c>
      <c r="E55" s="21">
        <v>125823.83838798301</v>
      </c>
      <c r="G55" s="28">
        <f t="shared" si="0"/>
        <v>2011</v>
      </c>
      <c r="H55" s="22">
        <f t="shared" si="1"/>
        <v>0.96965799102969796</v>
      </c>
    </row>
    <row r="56" spans="1:8" x14ac:dyDescent="0.25">
      <c r="A56" s="20">
        <v>40909</v>
      </c>
      <c r="B56" s="21">
        <v>129947.34229703499</v>
      </c>
      <c r="D56" s="20">
        <v>40909</v>
      </c>
      <c r="E56" s="21">
        <v>132515.94028770999</v>
      </c>
      <c r="G56" s="28">
        <f t="shared" si="0"/>
        <v>2012</v>
      </c>
      <c r="H56" s="22">
        <f t="shared" si="1"/>
        <v>0.98061668667861224</v>
      </c>
    </row>
    <row r="57" spans="1:8" x14ac:dyDescent="0.25">
      <c r="A57" s="20">
        <v>41275</v>
      </c>
      <c r="B57" s="21">
        <v>137876.21576806999</v>
      </c>
      <c r="D57" s="20">
        <v>41275</v>
      </c>
      <c r="E57" s="21">
        <v>137876.21576806999</v>
      </c>
      <c r="G57" s="28">
        <f t="shared" si="0"/>
        <v>2013</v>
      </c>
      <c r="H57" s="22">
        <f t="shared" si="1"/>
        <v>1</v>
      </c>
    </row>
    <row r="58" spans="1:8" x14ac:dyDescent="0.25">
      <c r="A58" s="20">
        <v>41640</v>
      </c>
      <c r="B58" s="21">
        <v>148599.45387498999</v>
      </c>
      <c r="D58" s="20">
        <v>41640</v>
      </c>
      <c r="E58" s="21">
        <v>140312.12972421999</v>
      </c>
      <c r="G58" s="28">
        <f t="shared" si="0"/>
        <v>2014</v>
      </c>
      <c r="H58" s="22">
        <f t="shared" si="1"/>
        <v>1.0590634905696217</v>
      </c>
    </row>
    <row r="59" spans="1:8" x14ac:dyDescent="0.25">
      <c r="A59" s="20">
        <v>42005</v>
      </c>
      <c r="B59" s="21">
        <v>159553.34830983001</v>
      </c>
      <c r="D59" s="20">
        <v>42005</v>
      </c>
      <c r="E59" s="21">
        <v>143544.59431648999</v>
      </c>
      <c r="G59" s="28">
        <f t="shared" si="0"/>
        <v>2015</v>
      </c>
      <c r="H59" s="22">
        <f t="shared" si="1"/>
        <v>1.1115246036924498</v>
      </c>
    </row>
    <row r="60" spans="1:8" x14ac:dyDescent="0.25">
      <c r="A60" s="20">
        <v>42370</v>
      </c>
      <c r="B60" s="21">
        <v>169537.38772237001</v>
      </c>
      <c r="D60" s="20">
        <v>42370</v>
      </c>
      <c r="E60" s="21">
        <v>146000.77049431001</v>
      </c>
      <c r="G60" s="28">
        <f t="shared" si="0"/>
        <v>2016</v>
      </c>
      <c r="H60" s="22">
        <f t="shared" si="1"/>
        <v>1.161208856284613</v>
      </c>
    </row>
    <row r="61" spans="1:8" x14ac:dyDescent="0.25">
      <c r="A61" s="20">
        <v>42736</v>
      </c>
      <c r="B61" s="21">
        <v>179756.12579676</v>
      </c>
      <c r="D61" s="20">
        <v>42736</v>
      </c>
      <c r="E61" s="21">
        <v>147736.09562235</v>
      </c>
      <c r="G61" s="28">
        <f t="shared" si="0"/>
        <v>2017</v>
      </c>
      <c r="H61" s="22">
        <f t="shared" si="1"/>
        <v>1.2167380289801426</v>
      </c>
    </row>
    <row r="62" spans="1:8" x14ac:dyDescent="0.25">
      <c r="A62" s="20">
        <v>43101</v>
      </c>
      <c r="B62" s="21">
        <v>191265.95207219999</v>
      </c>
      <c r="D62" s="20">
        <v>43101</v>
      </c>
      <c r="E62" s="21">
        <v>153570.66811023999</v>
      </c>
      <c r="G62" s="28">
        <f t="shared" si="0"/>
        <v>2018</v>
      </c>
      <c r="H62" s="22">
        <f t="shared" si="1"/>
        <v>1.2454588784812775</v>
      </c>
    </row>
    <row r="63" spans="1:8" x14ac:dyDescent="0.25">
      <c r="A63" s="20">
        <v>43466</v>
      </c>
      <c r="B63" s="21">
        <v>198440.70682682001</v>
      </c>
      <c r="D63" s="20">
        <v>43466</v>
      </c>
      <c r="E63" s="21">
        <v>155189.98258025001</v>
      </c>
      <c r="G63" s="28">
        <f t="shared" si="0"/>
        <v>2019</v>
      </c>
      <c r="H63" s="22">
        <f t="shared" si="1"/>
        <v>1.2786953354041695</v>
      </c>
    </row>
    <row r="64" spans="1:8" x14ac:dyDescent="0.25">
      <c r="G64" s="28">
        <f>YEAR(P35)</f>
        <v>2020</v>
      </c>
      <c r="H64" s="22">
        <f xml:space="preserve"> H63 + Q35/Q23-1</f>
        <v>1.3031545051566544</v>
      </c>
    </row>
  </sheetData>
  <hyperlinks>
    <hyperlink ref="Y1" r:id="rId1" xr:uid="{2B3515F6-7BA2-483C-A233-BA5CAF9E0B2D}"/>
    <hyperlink ref="AQ1" r:id="rId2" xr:uid="{E1717206-D9E6-4D54-AB8D-77810877B045}"/>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dataeval</vt:lpstr>
      <vt:lpstr>Notas reunion</vt:lpstr>
      <vt:lpstr>fuentes</vt:lpstr>
      <vt:lpstr>Deflactor</vt:lpstr>
      <vt:lpstr>fuentes!Área_de_extracción</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2020-11-29T03:14:08Z</dcterms:modified>
</cp:coreProperties>
</file>